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zudainiya/Desktop/Clean Desktop/Kimberly Clark/"/>
    </mc:Choice>
  </mc:AlternateContent>
  <xr:revisionPtr revIDLastSave="0" documentId="13_ncr:1_{1305BA5C-5759-7D4C-9858-A58A38B4B99E}" xr6:coauthVersionLast="47" xr6:coauthVersionMax="47" xr10:uidLastSave="{00000000-0000-0000-0000-000000000000}"/>
  <bookViews>
    <workbookView xWindow="0" yWindow="500" windowWidth="28800" windowHeight="16100" activeTab="12" xr2:uid="{CB6BB388-19BE-9748-985F-76A220464310}"/>
  </bookViews>
  <sheets>
    <sheet name="Cover" sheetId="15" r:id="rId1"/>
    <sheet name="DCF" sheetId="8" r:id="rId2"/>
    <sheet name="Wall Street Consensus" sheetId="11" r:id="rId3"/>
    <sheet name="Ke" sheetId="7" r:id="rId4"/>
    <sheet name="Revenue" sheetId="1" state="hidden" r:id="rId5"/>
    <sheet name="Revenue Cleaned" sheetId="13" r:id="rId6"/>
    <sheet name="IS" sheetId="2" r:id="rId7"/>
    <sheet name="BS" sheetId="3" r:id="rId8"/>
    <sheet name="Fundamental Growth" sheetId="21" state="hidden" r:id="rId9"/>
    <sheet name="Derived CF" sheetId="5" r:id="rId10"/>
    <sheet name="Share Details" sheetId="20" state="hidden" r:id="rId11"/>
    <sheet name="PPE Detailed" sheetId="18" state="hidden" r:id="rId12"/>
    <sheet name="Comps" sheetId="10" r:id="rId13"/>
    <sheet name="Comps-Num" sheetId="19" r:id="rId14"/>
    <sheet name="Historic CF" sheetId="4" r:id="rId15"/>
    <sheet name="Debt Schedule" sheetId="12" r:id="rId16"/>
    <sheet name="Correlations" sheetId="6" r:id="rId17"/>
    <sheet name="Price History" sheetId="9" r:id="rId1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0" l="1"/>
  <c r="B22" i="10"/>
  <c r="H22" i="10"/>
  <c r="C10" i="10"/>
  <c r="H34" i="10"/>
  <c r="I22" i="10"/>
  <c r="I34" i="10"/>
  <c r="J22" i="10"/>
  <c r="J34" i="10"/>
  <c r="Q22" i="10" a="1"/>
  <c r="Q22" i="10"/>
  <c r="K34" i="10"/>
  <c r="L34" i="10"/>
  <c r="M34" i="10"/>
  <c r="E10" i="10"/>
  <c r="F10" i="10"/>
  <c r="G10" i="10" a="1"/>
  <c r="G10" i="10"/>
  <c r="H10" i="10"/>
  <c r="I10" i="10"/>
  <c r="N22" i="10" a="1"/>
  <c r="N22" i="10"/>
  <c r="N34" i="10"/>
  <c r="O22" i="10" a="1"/>
  <c r="O22" i="10"/>
  <c r="O34" i="10"/>
  <c r="P22" i="10" a="1"/>
  <c r="P22" i="10"/>
  <c r="P34" i="10"/>
  <c r="J10" i="10" a="1"/>
  <c r="J10" i="10"/>
  <c r="D34" i="10"/>
  <c r="D22" i="10" a="1"/>
  <c r="D22" i="10"/>
  <c r="E34" i="10"/>
  <c r="E22" i="10" a="1"/>
  <c r="E22" i="10"/>
  <c r="F34" i="10"/>
  <c r="F22" i="10" a="1"/>
  <c r="F22" i="10"/>
  <c r="G34" i="10"/>
  <c r="B32" i="10"/>
  <c r="B20" i="10"/>
  <c r="H20" i="10"/>
  <c r="C8" i="10"/>
  <c r="H32" i="10"/>
  <c r="Q20" i="10" a="1"/>
  <c r="Q20" i="10"/>
  <c r="K32" i="10"/>
  <c r="I20" i="10"/>
  <c r="I32" i="10"/>
  <c r="L32" i="10"/>
  <c r="J20" i="10"/>
  <c r="J32" i="10"/>
  <c r="M32" i="10"/>
  <c r="B19" i="10"/>
  <c r="Q19" i="10" a="1"/>
  <c r="Q19" i="10"/>
  <c r="B21" i="10"/>
  <c r="Q21" i="10" a="1"/>
  <c r="Q21" i="10"/>
  <c r="B23" i="10"/>
  <c r="Q23" i="10" a="1"/>
  <c r="Q23" i="10"/>
  <c r="B24" i="10"/>
  <c r="Q24" i="10" a="1"/>
  <c r="Q24" i="10"/>
  <c r="K22" i="10" a="1"/>
  <c r="K22" i="10"/>
  <c r="L22" i="10" a="1"/>
  <c r="L22" i="10"/>
  <c r="M22" i="10" a="1"/>
  <c r="M22" i="10"/>
  <c r="H4" i="8"/>
  <c r="H5" i="8"/>
  <c r="E40" i="8"/>
  <c r="E11" i="7"/>
  <c r="E12" i="7"/>
  <c r="E16" i="7"/>
  <c r="E18" i="7"/>
  <c r="E20" i="7"/>
  <c r="E22" i="7"/>
  <c r="E27" i="7"/>
  <c r="F27" i="7"/>
  <c r="E28" i="7"/>
  <c r="N10" i="19"/>
  <c r="E24" i="7"/>
  <c r="E29" i="7"/>
  <c r="E31" i="7"/>
  <c r="C4" i="8"/>
  <c r="M29" i="13"/>
  <c r="M26" i="13"/>
  <c r="M4" i="13"/>
  <c r="N29" i="13"/>
  <c r="N26" i="13"/>
  <c r="N4" i="13"/>
  <c r="M41" i="13"/>
  <c r="M38" i="13"/>
  <c r="M5" i="13"/>
  <c r="N41" i="13"/>
  <c r="N38" i="13"/>
  <c r="N5" i="13"/>
  <c r="M53" i="13"/>
  <c r="M50" i="13"/>
  <c r="M6" i="13"/>
  <c r="N53" i="13"/>
  <c r="N50" i="13"/>
  <c r="N6" i="13"/>
  <c r="M7" i="13"/>
  <c r="N7" i="13"/>
  <c r="N8" i="13"/>
  <c r="N4" i="2"/>
  <c r="N31" i="2"/>
  <c r="N5" i="2"/>
  <c r="N6" i="2"/>
  <c r="N7" i="2"/>
  <c r="N36" i="2"/>
  <c r="N8" i="2"/>
  <c r="N9" i="2"/>
  <c r="N10" i="2"/>
  <c r="N13" i="2"/>
  <c r="M14" i="2"/>
  <c r="N14" i="2"/>
  <c r="L13" i="3"/>
  <c r="M13" i="3"/>
  <c r="N15" i="2"/>
  <c r="J43" i="3"/>
  <c r="M25" i="3"/>
  <c r="N16" i="2"/>
  <c r="N17" i="2"/>
  <c r="N40" i="2"/>
  <c r="N18" i="2"/>
  <c r="N19" i="2"/>
  <c r="N20" i="2"/>
  <c r="N21" i="2"/>
  <c r="M22" i="2"/>
  <c r="N22" i="2"/>
  <c r="N23" i="2"/>
  <c r="D4" i="5"/>
  <c r="M8" i="13"/>
  <c r="M4" i="2"/>
  <c r="L6" i="3"/>
  <c r="M6" i="3"/>
  <c r="D8" i="5"/>
  <c r="M31" i="2"/>
  <c r="M5" i="2"/>
  <c r="L7" i="3"/>
  <c r="M7" i="3"/>
  <c r="D9" i="5"/>
  <c r="L8" i="3"/>
  <c r="M8" i="3"/>
  <c r="D10" i="5"/>
  <c r="K7" i="18"/>
  <c r="J10" i="3"/>
  <c r="L10" i="3"/>
  <c r="M10" i="3"/>
  <c r="D12" i="5"/>
  <c r="L11" i="3"/>
  <c r="M11" i="3"/>
  <c r="D13" i="5"/>
  <c r="L16" i="3"/>
  <c r="M16" i="3"/>
  <c r="D18" i="5"/>
  <c r="M21" i="3"/>
  <c r="L21" i="3"/>
  <c r="D24" i="5"/>
  <c r="M22" i="3"/>
  <c r="M7" i="2"/>
  <c r="M8" i="2"/>
  <c r="M9" i="2"/>
  <c r="M10" i="2"/>
  <c r="L22" i="3"/>
  <c r="D25" i="5"/>
  <c r="M64" i="3"/>
  <c r="M65" i="3"/>
  <c r="M23" i="3"/>
  <c r="M6" i="2"/>
  <c r="M13" i="2"/>
  <c r="L25" i="3"/>
  <c r="M16" i="2"/>
  <c r="M17" i="2"/>
  <c r="M18" i="2"/>
  <c r="M19" i="2"/>
  <c r="M21" i="2"/>
  <c r="M23" i="2"/>
  <c r="L64" i="3"/>
  <c r="L65" i="3"/>
  <c r="L23" i="3"/>
  <c r="D26" i="5"/>
  <c r="M26" i="3"/>
  <c r="L26" i="3"/>
  <c r="D29" i="5"/>
  <c r="M28" i="3"/>
  <c r="L28" i="3"/>
  <c r="D31" i="5"/>
  <c r="D44" i="5"/>
  <c r="D15" i="5"/>
  <c r="L14" i="3"/>
  <c r="M14" i="3"/>
  <c r="D16" i="5"/>
  <c r="L15" i="3"/>
  <c r="M15" i="3"/>
  <c r="D17" i="5"/>
  <c r="D28" i="5"/>
  <c r="L27" i="3"/>
  <c r="M27" i="3"/>
  <c r="D30" i="5"/>
  <c r="L29" i="3"/>
  <c r="M29" i="3"/>
  <c r="D32" i="5"/>
  <c r="L33" i="3"/>
  <c r="M33" i="3"/>
  <c r="D34" i="5"/>
  <c r="L34" i="3"/>
  <c r="M34" i="3"/>
  <c r="D35" i="5"/>
  <c r="L69" i="3"/>
  <c r="L72" i="3"/>
  <c r="L35" i="3"/>
  <c r="M69" i="3"/>
  <c r="M72" i="3"/>
  <c r="M35" i="3"/>
  <c r="D36" i="5"/>
  <c r="L37" i="3"/>
  <c r="M37" i="3"/>
  <c r="D38" i="5"/>
  <c r="L39" i="3"/>
  <c r="M39" i="3"/>
  <c r="D40" i="5"/>
  <c r="D23" i="5"/>
  <c r="D46" i="5"/>
  <c r="D53" i="5"/>
  <c r="E17" i="8"/>
  <c r="E41" i="8"/>
  <c r="E42" i="8"/>
  <c r="F40" i="8"/>
  <c r="O29" i="13"/>
  <c r="O26" i="13"/>
  <c r="O4" i="13"/>
  <c r="O41" i="13"/>
  <c r="O38" i="13"/>
  <c r="O5" i="13"/>
  <c r="O53" i="13"/>
  <c r="O50" i="13"/>
  <c r="O6" i="13"/>
  <c r="O7" i="13"/>
  <c r="O8" i="13"/>
  <c r="O4" i="2"/>
  <c r="O31" i="2"/>
  <c r="O5" i="2"/>
  <c r="O6" i="2"/>
  <c r="O7" i="2"/>
  <c r="O36" i="2"/>
  <c r="O8" i="2"/>
  <c r="O9" i="2"/>
  <c r="O10" i="2"/>
  <c r="O13" i="2"/>
  <c r="O14" i="2"/>
  <c r="O38" i="2"/>
  <c r="N13" i="3"/>
  <c r="O15" i="2"/>
  <c r="O39" i="2"/>
  <c r="N25" i="3"/>
  <c r="O16" i="2"/>
  <c r="O17" i="2"/>
  <c r="O40" i="2"/>
  <c r="O18" i="2"/>
  <c r="O19" i="2"/>
  <c r="O20" i="2"/>
  <c r="O21" i="2"/>
  <c r="O22" i="2"/>
  <c r="O23" i="2"/>
  <c r="E4" i="5"/>
  <c r="N6" i="3"/>
  <c r="E8" i="5"/>
  <c r="N7" i="3"/>
  <c r="E9" i="5"/>
  <c r="N8" i="3"/>
  <c r="E10" i="5"/>
  <c r="N10" i="3"/>
  <c r="E12" i="5"/>
  <c r="N11" i="3"/>
  <c r="E13" i="5"/>
  <c r="N16" i="3"/>
  <c r="E18" i="5"/>
  <c r="N21" i="3"/>
  <c r="E24" i="5"/>
  <c r="N22" i="3"/>
  <c r="E25" i="5"/>
  <c r="N64" i="3"/>
  <c r="N65" i="3"/>
  <c r="N23" i="3"/>
  <c r="E26" i="5"/>
  <c r="N26" i="3"/>
  <c r="E29" i="5"/>
  <c r="N28" i="3"/>
  <c r="E31" i="5"/>
  <c r="E44" i="5"/>
  <c r="E15" i="5"/>
  <c r="N14" i="3"/>
  <c r="E16" i="5"/>
  <c r="N15" i="3"/>
  <c r="E17" i="5"/>
  <c r="E28" i="5"/>
  <c r="N27" i="3"/>
  <c r="E30" i="5"/>
  <c r="N29" i="3"/>
  <c r="E32" i="5"/>
  <c r="N33" i="3"/>
  <c r="E34" i="5"/>
  <c r="N34" i="3"/>
  <c r="E35" i="5"/>
  <c r="N69" i="3"/>
  <c r="N72" i="3"/>
  <c r="N35" i="3"/>
  <c r="E36" i="5"/>
  <c r="N37" i="3"/>
  <c r="E38" i="5"/>
  <c r="N39" i="3"/>
  <c r="E40" i="5"/>
  <c r="E23" i="5"/>
  <c r="E46" i="5"/>
  <c r="E53" i="5"/>
  <c r="F17" i="8"/>
  <c r="F41" i="8"/>
  <c r="F42" i="8"/>
  <c r="G40" i="8"/>
  <c r="P29" i="13"/>
  <c r="P26" i="13"/>
  <c r="P4" i="13"/>
  <c r="P41" i="13"/>
  <c r="P38" i="13"/>
  <c r="P5" i="13"/>
  <c r="P53" i="13"/>
  <c r="P50" i="13"/>
  <c r="P6" i="13"/>
  <c r="P7" i="13"/>
  <c r="P8" i="13"/>
  <c r="P4" i="2"/>
  <c r="P31" i="2"/>
  <c r="P5" i="2"/>
  <c r="P6" i="2"/>
  <c r="P7" i="2"/>
  <c r="P36" i="2"/>
  <c r="P8" i="2"/>
  <c r="P9" i="2"/>
  <c r="P10" i="2"/>
  <c r="P13" i="2"/>
  <c r="P14" i="2"/>
  <c r="P38" i="2"/>
  <c r="O13" i="3"/>
  <c r="P15" i="2"/>
  <c r="P39" i="2"/>
  <c r="O25" i="3"/>
  <c r="P16" i="2"/>
  <c r="P17" i="2"/>
  <c r="P40" i="2"/>
  <c r="P18" i="2"/>
  <c r="P19" i="2"/>
  <c r="P20" i="2"/>
  <c r="P21" i="2"/>
  <c r="P22" i="2"/>
  <c r="P23" i="2"/>
  <c r="F4" i="5"/>
  <c r="O6" i="3"/>
  <c r="F8" i="5"/>
  <c r="O7" i="3"/>
  <c r="F9" i="5"/>
  <c r="O8" i="3"/>
  <c r="F10" i="5"/>
  <c r="O10" i="3"/>
  <c r="F12" i="5"/>
  <c r="O11" i="3"/>
  <c r="F13" i="5"/>
  <c r="O16" i="3"/>
  <c r="F18" i="5"/>
  <c r="O21" i="3"/>
  <c r="F24" i="5"/>
  <c r="O22" i="3"/>
  <c r="F25" i="5"/>
  <c r="O64" i="3"/>
  <c r="O65" i="3"/>
  <c r="O23" i="3"/>
  <c r="F26" i="5"/>
  <c r="O26" i="3"/>
  <c r="F29" i="5"/>
  <c r="O28" i="3"/>
  <c r="F31" i="5"/>
  <c r="F44" i="5"/>
  <c r="F15" i="5"/>
  <c r="O14" i="3"/>
  <c r="F16" i="5"/>
  <c r="O15" i="3"/>
  <c r="F17" i="5"/>
  <c r="F28" i="5"/>
  <c r="O27" i="3"/>
  <c r="F30" i="5"/>
  <c r="O29" i="3"/>
  <c r="F32" i="5"/>
  <c r="O33" i="3"/>
  <c r="F34" i="5"/>
  <c r="O34" i="3"/>
  <c r="F35" i="5"/>
  <c r="O69" i="3"/>
  <c r="O72" i="3"/>
  <c r="O35" i="3"/>
  <c r="F36" i="5"/>
  <c r="O37" i="3"/>
  <c r="F38" i="5"/>
  <c r="O39" i="3"/>
  <c r="F40" i="5"/>
  <c r="F23" i="5"/>
  <c r="F46" i="5"/>
  <c r="F53" i="5"/>
  <c r="G17" i="8"/>
  <c r="G41" i="8"/>
  <c r="G42" i="8"/>
  <c r="H40" i="8"/>
  <c r="Q29" i="13"/>
  <c r="Q26" i="13"/>
  <c r="Q4" i="13"/>
  <c r="Q41" i="13"/>
  <c r="Q38" i="13"/>
  <c r="Q5" i="13"/>
  <c r="Q53" i="13"/>
  <c r="Q50" i="13"/>
  <c r="Q6" i="13"/>
  <c r="Q7" i="13"/>
  <c r="Q8" i="13"/>
  <c r="Q4" i="2"/>
  <c r="Q31" i="2"/>
  <c r="Q5" i="2"/>
  <c r="Q6" i="2"/>
  <c r="Q7" i="2"/>
  <c r="Q36" i="2"/>
  <c r="Q8" i="2"/>
  <c r="Q9" i="2"/>
  <c r="Q10" i="2"/>
  <c r="Q13" i="2"/>
  <c r="Q14" i="2"/>
  <c r="Q38" i="2"/>
  <c r="P13" i="3"/>
  <c r="Q15" i="2"/>
  <c r="Q39" i="2"/>
  <c r="P25" i="3"/>
  <c r="Q16" i="2"/>
  <c r="Q17" i="2"/>
  <c r="Q40" i="2"/>
  <c r="Q18" i="2"/>
  <c r="Q19" i="2"/>
  <c r="Q20" i="2"/>
  <c r="Q21" i="2"/>
  <c r="Q22" i="2"/>
  <c r="Q23" i="2"/>
  <c r="G4" i="5"/>
  <c r="P6" i="3"/>
  <c r="G8" i="5"/>
  <c r="P7" i="3"/>
  <c r="G9" i="5"/>
  <c r="P8" i="3"/>
  <c r="G10" i="5"/>
  <c r="P10" i="3"/>
  <c r="G12" i="5"/>
  <c r="P11" i="3"/>
  <c r="G13" i="5"/>
  <c r="P16" i="3"/>
  <c r="G18" i="5"/>
  <c r="P21" i="3"/>
  <c r="G24" i="5"/>
  <c r="P22" i="3"/>
  <c r="G25" i="5"/>
  <c r="P64" i="3"/>
  <c r="P65" i="3"/>
  <c r="P23" i="3"/>
  <c r="G26" i="5"/>
  <c r="P26" i="3"/>
  <c r="G29" i="5"/>
  <c r="P28" i="3"/>
  <c r="G31" i="5"/>
  <c r="G44" i="5"/>
  <c r="G15" i="5"/>
  <c r="P14" i="3"/>
  <c r="G16" i="5"/>
  <c r="P15" i="3"/>
  <c r="G17" i="5"/>
  <c r="G28" i="5"/>
  <c r="P27" i="3"/>
  <c r="G30" i="5"/>
  <c r="P29" i="3"/>
  <c r="G32" i="5"/>
  <c r="P33" i="3"/>
  <c r="G34" i="5"/>
  <c r="P34" i="3"/>
  <c r="G35" i="5"/>
  <c r="P69" i="3"/>
  <c r="P72" i="3"/>
  <c r="P35" i="3"/>
  <c r="G36" i="5"/>
  <c r="P37" i="3"/>
  <c r="G38" i="5"/>
  <c r="P39" i="3"/>
  <c r="G40" i="5"/>
  <c r="G23" i="5"/>
  <c r="G46" i="5"/>
  <c r="G53" i="5"/>
  <c r="H17" i="8"/>
  <c r="H41" i="8"/>
  <c r="H42" i="8"/>
  <c r="I40" i="8"/>
  <c r="R29" i="13"/>
  <c r="R26" i="13"/>
  <c r="R4" i="13"/>
  <c r="R39" i="13"/>
  <c r="R40" i="13"/>
  <c r="R41" i="13"/>
  <c r="R38" i="13"/>
  <c r="R5" i="13"/>
  <c r="R53" i="13"/>
  <c r="R50" i="13"/>
  <c r="R6" i="13"/>
  <c r="R7" i="13"/>
  <c r="R8" i="13"/>
  <c r="R4" i="2"/>
  <c r="R31" i="2"/>
  <c r="R5" i="2"/>
  <c r="R6" i="2"/>
  <c r="R7" i="2"/>
  <c r="R36" i="2"/>
  <c r="R8" i="2"/>
  <c r="R9" i="2"/>
  <c r="R10" i="2"/>
  <c r="R13" i="2"/>
  <c r="R14" i="2"/>
  <c r="R38" i="2"/>
  <c r="Q13" i="3"/>
  <c r="R15" i="2"/>
  <c r="R39" i="2"/>
  <c r="Q20" i="3"/>
  <c r="Q25" i="3"/>
  <c r="R16" i="2"/>
  <c r="R17" i="2"/>
  <c r="R40" i="2"/>
  <c r="R18" i="2"/>
  <c r="R19" i="2"/>
  <c r="R20" i="2"/>
  <c r="R21" i="2"/>
  <c r="R22" i="2"/>
  <c r="R23" i="2"/>
  <c r="H4" i="5"/>
  <c r="Q6" i="3"/>
  <c r="H8" i="5"/>
  <c r="Q7" i="3"/>
  <c r="H9" i="5"/>
  <c r="Q8" i="3"/>
  <c r="H10" i="5"/>
  <c r="Q10" i="3"/>
  <c r="H12" i="5"/>
  <c r="Q11" i="3"/>
  <c r="H13" i="5"/>
  <c r="Q16" i="3"/>
  <c r="H18" i="5"/>
  <c r="Q21" i="3"/>
  <c r="H24" i="5"/>
  <c r="Q22" i="3"/>
  <c r="H25" i="5"/>
  <c r="Q64" i="3"/>
  <c r="Q65" i="3"/>
  <c r="Q23" i="3"/>
  <c r="H26" i="5"/>
  <c r="Q26" i="3"/>
  <c r="H29" i="5"/>
  <c r="Q28" i="3"/>
  <c r="H31" i="5"/>
  <c r="H44" i="5"/>
  <c r="H15" i="5"/>
  <c r="Q14" i="3"/>
  <c r="H16" i="5"/>
  <c r="Q15" i="3"/>
  <c r="H17" i="5"/>
  <c r="H23" i="5"/>
  <c r="H28" i="5"/>
  <c r="Q27" i="3"/>
  <c r="H30" i="5"/>
  <c r="Q29" i="3"/>
  <c r="H32" i="5"/>
  <c r="Q33" i="3"/>
  <c r="H34" i="5"/>
  <c r="Q34" i="3"/>
  <c r="H35" i="5"/>
  <c r="Q69" i="3"/>
  <c r="Q72" i="3"/>
  <c r="Q35" i="3"/>
  <c r="H36" i="5"/>
  <c r="Q37" i="3"/>
  <c r="H38" i="5"/>
  <c r="Q39" i="3"/>
  <c r="H40" i="5"/>
  <c r="H46" i="5"/>
  <c r="H53" i="5"/>
  <c r="I17" i="8"/>
  <c r="I41" i="8"/>
  <c r="I42" i="8"/>
  <c r="C44" i="8"/>
  <c r="C45" i="8"/>
  <c r="C46" i="8"/>
  <c r="L74" i="3"/>
  <c r="J4" i="8"/>
  <c r="J5" i="8"/>
  <c r="C47" i="8"/>
  <c r="M74" i="3"/>
  <c r="J6" i="8"/>
  <c r="S70" i="3"/>
  <c r="D72" i="3"/>
  <c r="E69" i="3"/>
  <c r="E72" i="3"/>
  <c r="F69" i="3"/>
  <c r="F72" i="3"/>
  <c r="G69" i="3"/>
  <c r="G72" i="3"/>
  <c r="H69" i="3"/>
  <c r="H72" i="3"/>
  <c r="I69" i="3"/>
  <c r="I72" i="3"/>
  <c r="J69" i="3"/>
  <c r="J72" i="3"/>
  <c r="E7" i="18"/>
  <c r="D10" i="3"/>
  <c r="E4" i="21"/>
  <c r="F7" i="18"/>
  <c r="E10" i="3"/>
  <c r="F4" i="21"/>
  <c r="G7" i="18"/>
  <c r="F10" i="3"/>
  <c r="G4" i="21"/>
  <c r="H7" i="18"/>
  <c r="G10" i="3"/>
  <c r="H4" i="21"/>
  <c r="I7" i="18"/>
  <c r="H10" i="3"/>
  <c r="I4" i="21"/>
  <c r="J7" i="18"/>
  <c r="I10" i="3"/>
  <c r="J4" i="21"/>
  <c r="K4" i="21"/>
  <c r="E5" i="21"/>
  <c r="F5" i="21"/>
  <c r="G5" i="21"/>
  <c r="H5" i="21"/>
  <c r="I5" i="21"/>
  <c r="J5" i="21"/>
  <c r="K5" i="21"/>
  <c r="E6" i="21"/>
  <c r="F6" i="21"/>
  <c r="G6" i="21"/>
  <c r="H6" i="21"/>
  <c r="I6" i="21"/>
  <c r="J6" i="21"/>
  <c r="K6" i="21"/>
  <c r="F7" i="21"/>
  <c r="G7" i="21"/>
  <c r="H7" i="21"/>
  <c r="I7" i="21"/>
  <c r="J7" i="21"/>
  <c r="K7" i="21"/>
  <c r="C48" i="5"/>
  <c r="C4" i="5"/>
  <c r="C8" i="5"/>
  <c r="C9" i="5"/>
  <c r="C10" i="5"/>
  <c r="C12" i="5"/>
  <c r="J11" i="3"/>
  <c r="C13" i="5"/>
  <c r="C15" i="5"/>
  <c r="C16" i="5"/>
  <c r="C17" i="5"/>
  <c r="C18" i="5"/>
  <c r="C23" i="5"/>
  <c r="C24" i="5"/>
  <c r="C25" i="5"/>
  <c r="C26" i="5"/>
  <c r="C28" i="5"/>
  <c r="C29" i="5"/>
  <c r="C30" i="5"/>
  <c r="C31" i="5"/>
  <c r="C32" i="5"/>
  <c r="C34" i="5"/>
  <c r="C35" i="5"/>
  <c r="C36" i="5"/>
  <c r="C38" i="5"/>
  <c r="C40" i="5"/>
  <c r="C44" i="5"/>
  <c r="C46" i="5"/>
  <c r="C49" i="5"/>
  <c r="D48" i="5"/>
  <c r="D49" i="5"/>
  <c r="E48" i="5"/>
  <c r="E49" i="5"/>
  <c r="F48" i="5"/>
  <c r="F49" i="5"/>
  <c r="G48" i="5"/>
  <c r="G49" i="5"/>
  <c r="P5" i="3"/>
  <c r="P9" i="3"/>
  <c r="P12" i="3"/>
  <c r="P17" i="3"/>
  <c r="O5" i="3"/>
  <c r="O9" i="3"/>
  <c r="O12" i="3"/>
  <c r="O17" i="3"/>
  <c r="P6" i="21"/>
  <c r="P4" i="21"/>
  <c r="P5" i="21"/>
  <c r="Q7" i="21"/>
  <c r="N5" i="3"/>
  <c r="N9" i="3"/>
  <c r="N12" i="3"/>
  <c r="N17" i="3"/>
  <c r="O6" i="21"/>
  <c r="O4" i="21"/>
  <c r="O5" i="21"/>
  <c r="P7" i="21"/>
  <c r="M5" i="3"/>
  <c r="M9" i="3"/>
  <c r="M12" i="3"/>
  <c r="M17" i="3"/>
  <c r="N6" i="21"/>
  <c r="N4" i="21"/>
  <c r="N5" i="21"/>
  <c r="O7" i="21"/>
  <c r="L5" i="3"/>
  <c r="L9" i="3"/>
  <c r="L12" i="3"/>
  <c r="L17" i="3"/>
  <c r="M6" i="21"/>
  <c r="M4" i="21"/>
  <c r="M5" i="21"/>
  <c r="N7" i="21"/>
  <c r="L6" i="21"/>
  <c r="L4" i="21"/>
  <c r="L5" i="21"/>
  <c r="M7" i="21"/>
  <c r="H48" i="5"/>
  <c r="H49" i="5"/>
  <c r="Q5" i="3"/>
  <c r="Q9" i="3"/>
  <c r="Q12" i="3"/>
  <c r="Q17" i="3"/>
  <c r="Q6" i="21"/>
  <c r="Q4" i="21"/>
  <c r="Q5" i="21"/>
  <c r="E43" i="3"/>
  <c r="F43" i="3"/>
  <c r="G43" i="3"/>
  <c r="H43" i="3"/>
  <c r="I43" i="3"/>
  <c r="K43" i="3"/>
  <c r="L43" i="3"/>
  <c r="M43" i="3"/>
  <c r="N43" i="3"/>
  <c r="O43" i="3"/>
  <c r="P43" i="3"/>
  <c r="Q43" i="3"/>
  <c r="D43" i="3"/>
  <c r="C53" i="5"/>
  <c r="D17" i="8"/>
  <c r="E20" i="8"/>
  <c r="F20" i="8"/>
  <c r="G20" i="8"/>
  <c r="H20" i="8"/>
  <c r="I20" i="8"/>
  <c r="R47" i="2"/>
  <c r="G47" i="2"/>
  <c r="P47" i="2"/>
  <c r="J36" i="2"/>
  <c r="C35" i="2"/>
  <c r="D35" i="2"/>
  <c r="E35" i="2"/>
  <c r="F35" i="2"/>
  <c r="G35" i="2"/>
  <c r="H35" i="2"/>
  <c r="I35" i="2"/>
  <c r="J35" i="2"/>
  <c r="C36" i="2"/>
  <c r="D36" i="2"/>
  <c r="E36" i="2"/>
  <c r="F36" i="2"/>
  <c r="G36" i="2"/>
  <c r="H36" i="2"/>
  <c r="I36" i="2"/>
  <c r="D9" i="2"/>
  <c r="D37" i="2"/>
  <c r="E9" i="2"/>
  <c r="E37" i="2"/>
  <c r="F9" i="2"/>
  <c r="F37" i="2"/>
  <c r="G9" i="2"/>
  <c r="G37" i="2"/>
  <c r="H9" i="2"/>
  <c r="H37" i="2"/>
  <c r="I9" i="2"/>
  <c r="I37" i="2"/>
  <c r="J9" i="2"/>
  <c r="J37" i="2"/>
  <c r="C9" i="2"/>
  <c r="C37" i="2"/>
  <c r="N67" i="2"/>
  <c r="J39" i="2"/>
  <c r="E39" i="2"/>
  <c r="F39" i="2"/>
  <c r="G39" i="2"/>
  <c r="H39" i="2"/>
  <c r="I39" i="2"/>
  <c r="D39" i="2"/>
  <c r="R34" i="2"/>
  <c r="R32" i="2"/>
  <c r="N32" i="2"/>
  <c r="O32" i="2"/>
  <c r="P32" i="2"/>
  <c r="Q32" i="2"/>
  <c r="N34" i="2"/>
  <c r="O34" i="2"/>
  <c r="P34" i="2"/>
  <c r="Q34" i="2"/>
  <c r="M32" i="2"/>
  <c r="M34" i="2"/>
  <c r="M38" i="2"/>
  <c r="E38" i="2"/>
  <c r="F38" i="2"/>
  <c r="G38" i="2"/>
  <c r="H38" i="2"/>
  <c r="I38" i="2"/>
  <c r="J38" i="2"/>
  <c r="K38" i="2"/>
  <c r="L38" i="2"/>
  <c r="D38" i="2"/>
  <c r="E30" i="7"/>
  <c r="D56" i="5"/>
  <c r="E56" i="5"/>
  <c r="F56" i="5"/>
  <c r="G56" i="5"/>
  <c r="H56" i="5"/>
  <c r="D57" i="5"/>
  <c r="E57" i="5"/>
  <c r="F57" i="5"/>
  <c r="G57" i="5"/>
  <c r="H57" i="5"/>
  <c r="C57" i="5"/>
  <c r="C56" i="5"/>
  <c r="K9" i="18"/>
  <c r="J9" i="18"/>
  <c r="I9" i="18"/>
  <c r="H9" i="18"/>
  <c r="G9" i="18"/>
  <c r="F9" i="18"/>
  <c r="E9" i="18"/>
  <c r="O64" i="2"/>
  <c r="P64" i="2"/>
  <c r="Q64" i="2"/>
  <c r="R64" i="2"/>
  <c r="O65" i="2"/>
  <c r="P65" i="2"/>
  <c r="Q65" i="2"/>
  <c r="R65" i="2"/>
  <c r="O66" i="2"/>
  <c r="P66" i="2"/>
  <c r="Q66" i="2"/>
  <c r="R66" i="2"/>
  <c r="O67" i="2"/>
  <c r="P67" i="2"/>
  <c r="Q67" i="2"/>
  <c r="R67" i="2"/>
  <c r="O69" i="2"/>
  <c r="P69" i="2"/>
  <c r="Q69" i="2"/>
  <c r="R69" i="2"/>
  <c r="O73" i="2"/>
  <c r="P73" i="2"/>
  <c r="Q73" i="2"/>
  <c r="R73" i="2"/>
  <c r="O74" i="2"/>
  <c r="P74" i="2"/>
  <c r="Q74" i="2"/>
  <c r="R74" i="2"/>
  <c r="O75" i="2"/>
  <c r="P75" i="2"/>
  <c r="Q75" i="2"/>
  <c r="R75" i="2"/>
  <c r="O76" i="2"/>
  <c r="P76" i="2"/>
  <c r="Q76" i="2"/>
  <c r="R76" i="2"/>
  <c r="O77" i="2"/>
  <c r="P77" i="2"/>
  <c r="Q77" i="2"/>
  <c r="R77" i="2"/>
  <c r="O78" i="2"/>
  <c r="P78" i="2"/>
  <c r="Q78" i="2"/>
  <c r="R78" i="2"/>
  <c r="O79" i="2"/>
  <c r="P79" i="2"/>
  <c r="Q79" i="2"/>
  <c r="R79" i="2"/>
  <c r="N79" i="2"/>
  <c r="N78" i="2"/>
  <c r="N77" i="2"/>
  <c r="N76" i="2"/>
  <c r="N75" i="2"/>
  <c r="N74" i="2"/>
  <c r="N73" i="2"/>
  <c r="N69" i="2"/>
  <c r="N66" i="2"/>
  <c r="N65" i="2"/>
  <c r="N64" i="2"/>
  <c r="L79" i="2"/>
  <c r="L78" i="2"/>
  <c r="L77" i="2"/>
  <c r="L76" i="2"/>
  <c r="L75" i="2"/>
  <c r="L74" i="2"/>
  <c r="L73" i="2"/>
  <c r="L72" i="2"/>
  <c r="L71" i="2"/>
  <c r="L70" i="2"/>
  <c r="L69" i="2"/>
  <c r="L67" i="2"/>
  <c r="L66" i="2"/>
  <c r="L65" i="2"/>
  <c r="L64" i="2"/>
  <c r="K13" i="10"/>
  <c r="A7" i="10" a="1"/>
  <c r="A7" i="10"/>
  <c r="A6" i="10" a="1"/>
  <c r="A6" i="10"/>
  <c r="N27" i="13"/>
  <c r="O27" i="13"/>
  <c r="P27" i="13"/>
  <c r="Q27" i="13"/>
  <c r="R27" i="13"/>
  <c r="M27" i="13"/>
  <c r="N39" i="13"/>
  <c r="O39" i="13"/>
  <c r="P39" i="13"/>
  <c r="Q39" i="13"/>
  <c r="R42" i="13"/>
  <c r="M39" i="13"/>
  <c r="M52" i="13"/>
  <c r="N52" i="13"/>
  <c r="T51" i="13"/>
  <c r="T50" i="13"/>
  <c r="T49" i="13"/>
  <c r="T48" i="13"/>
  <c r="T47" i="13"/>
  <c r="T46" i="13"/>
  <c r="T45" i="13"/>
  <c r="T39" i="13"/>
  <c r="T38" i="13"/>
  <c r="T37" i="13"/>
  <c r="T36" i="13"/>
  <c r="T35" i="13"/>
  <c r="T34" i="13"/>
  <c r="T33" i="13"/>
  <c r="T22" i="13"/>
  <c r="T23" i="13"/>
  <c r="T24" i="13"/>
  <c r="T25" i="13"/>
  <c r="T26" i="13"/>
  <c r="T27" i="13"/>
  <c r="T21" i="13"/>
  <c r="O52" i="13"/>
  <c r="O54" i="13"/>
  <c r="N54" i="13"/>
  <c r="M54" i="13"/>
  <c r="P54" i="13"/>
  <c r="P52" i="13"/>
  <c r="E30" i="3"/>
  <c r="F30" i="3"/>
  <c r="G30" i="3"/>
  <c r="H30" i="3"/>
  <c r="I30" i="3"/>
  <c r="J30" i="3"/>
  <c r="K30" i="3"/>
  <c r="D30" i="3"/>
  <c r="G38" i="3"/>
  <c r="G40" i="3"/>
  <c r="K72" i="3"/>
  <c r="C46" i="2"/>
  <c r="D46" i="2"/>
  <c r="E46" i="2"/>
  <c r="F46" i="2"/>
  <c r="G46" i="2"/>
  <c r="H46" i="2"/>
  <c r="I46" i="2"/>
  <c r="J46" i="2"/>
  <c r="K46" i="2"/>
  <c r="L46" i="2"/>
  <c r="C47" i="2"/>
  <c r="D47" i="2"/>
  <c r="E47" i="2"/>
  <c r="F47" i="2"/>
  <c r="H47" i="2"/>
  <c r="I47" i="2"/>
  <c r="J47" i="2"/>
  <c r="K47" i="2"/>
  <c r="L47" i="2"/>
  <c r="C48" i="2"/>
  <c r="D48" i="2"/>
  <c r="E48" i="2"/>
  <c r="F48" i="2"/>
  <c r="G48" i="2"/>
  <c r="H48" i="2"/>
  <c r="I48" i="2"/>
  <c r="J48" i="2"/>
  <c r="C49" i="2"/>
  <c r="D49" i="2"/>
  <c r="E49" i="2"/>
  <c r="F49" i="2"/>
  <c r="G49" i="2"/>
  <c r="H49" i="2"/>
  <c r="I49" i="2"/>
  <c r="J49" i="2"/>
  <c r="K49" i="2"/>
  <c r="L49" i="2"/>
  <c r="C50" i="2"/>
  <c r="D50" i="2"/>
  <c r="E50" i="2"/>
  <c r="F50" i="2"/>
  <c r="G50" i="2"/>
  <c r="H50" i="2"/>
  <c r="I50" i="2"/>
  <c r="J50" i="2"/>
  <c r="K50" i="2"/>
  <c r="L50" i="2"/>
  <c r="C51" i="2"/>
  <c r="D51" i="2"/>
  <c r="E51" i="2"/>
  <c r="F51" i="2"/>
  <c r="G51" i="2"/>
  <c r="H51" i="2"/>
  <c r="I51" i="2"/>
  <c r="J51" i="2"/>
  <c r="K51" i="2"/>
  <c r="L51" i="2"/>
  <c r="C52" i="2"/>
  <c r="D52" i="2"/>
  <c r="E52" i="2"/>
  <c r="F52" i="2"/>
  <c r="G52" i="2"/>
  <c r="H52" i="2"/>
  <c r="I52" i="2"/>
  <c r="J52" i="2"/>
  <c r="K52" i="2"/>
  <c r="L52" i="2"/>
  <c r="C53" i="2"/>
  <c r="D53" i="2"/>
  <c r="E53" i="2"/>
  <c r="F53" i="2"/>
  <c r="G53" i="2"/>
  <c r="H53" i="2"/>
  <c r="I53" i="2"/>
  <c r="J53" i="2"/>
  <c r="K53" i="2"/>
  <c r="L53" i="2"/>
  <c r="C54" i="2"/>
  <c r="D54" i="2"/>
  <c r="E54" i="2"/>
  <c r="F54" i="2"/>
  <c r="G54" i="2"/>
  <c r="H54" i="2"/>
  <c r="I54" i="2"/>
  <c r="J54" i="2"/>
  <c r="K54" i="2"/>
  <c r="L54" i="2"/>
  <c r="C55" i="2"/>
  <c r="D55" i="2"/>
  <c r="E55" i="2"/>
  <c r="F55" i="2"/>
  <c r="G55" i="2"/>
  <c r="H55" i="2"/>
  <c r="I55" i="2"/>
  <c r="J55" i="2"/>
  <c r="K55" i="2"/>
  <c r="L55" i="2"/>
  <c r="C56" i="2"/>
  <c r="D56" i="2"/>
  <c r="E56" i="2"/>
  <c r="F56" i="2"/>
  <c r="G56" i="2"/>
  <c r="H56" i="2"/>
  <c r="I56" i="2"/>
  <c r="J56" i="2"/>
  <c r="K56" i="2"/>
  <c r="L56" i="2"/>
  <c r="C57" i="2"/>
  <c r="D57" i="2"/>
  <c r="E57" i="2"/>
  <c r="F57" i="2"/>
  <c r="G57" i="2"/>
  <c r="H57" i="2"/>
  <c r="I57" i="2"/>
  <c r="J57" i="2"/>
  <c r="K57" i="2"/>
  <c r="L57" i="2"/>
  <c r="C58" i="2"/>
  <c r="D58" i="2"/>
  <c r="E58" i="2"/>
  <c r="F58" i="2"/>
  <c r="G58" i="2"/>
  <c r="H58" i="2"/>
  <c r="I58" i="2"/>
  <c r="J58" i="2"/>
  <c r="K58" i="2"/>
  <c r="L58" i="2"/>
  <c r="C59" i="2"/>
  <c r="D59" i="2"/>
  <c r="E59" i="2"/>
  <c r="F59" i="2"/>
  <c r="G59" i="2"/>
  <c r="H59" i="2"/>
  <c r="I59" i="2"/>
  <c r="J59" i="2"/>
  <c r="K59" i="2"/>
  <c r="L59" i="2"/>
  <c r="D45" i="2"/>
  <c r="E45" i="2"/>
  <c r="F45" i="2"/>
  <c r="G45" i="2"/>
  <c r="H45" i="2"/>
  <c r="I45" i="2"/>
  <c r="J45" i="2"/>
  <c r="K45" i="2"/>
  <c r="L45" i="2"/>
  <c r="C45" i="2"/>
  <c r="D12" i="13"/>
  <c r="E12" i="13"/>
  <c r="F12" i="13"/>
  <c r="G12" i="13"/>
  <c r="H12" i="13"/>
  <c r="I12" i="13"/>
  <c r="J12" i="13"/>
  <c r="K12" i="13"/>
  <c r="L12" i="13"/>
  <c r="D13" i="13"/>
  <c r="E13" i="13"/>
  <c r="F13" i="13"/>
  <c r="G13" i="13"/>
  <c r="H13" i="13"/>
  <c r="I13" i="13"/>
  <c r="J13" i="13"/>
  <c r="K13" i="13"/>
  <c r="L13" i="13"/>
  <c r="D14" i="13"/>
  <c r="E14" i="13"/>
  <c r="F14" i="13"/>
  <c r="G14" i="13"/>
  <c r="H14" i="13"/>
  <c r="I14" i="13"/>
  <c r="J14" i="13"/>
  <c r="K14" i="13"/>
  <c r="L14" i="13"/>
  <c r="D15" i="13"/>
  <c r="E15" i="13"/>
  <c r="F15" i="13"/>
  <c r="G15" i="13"/>
  <c r="H15" i="13"/>
  <c r="I15" i="13"/>
  <c r="J15" i="13"/>
  <c r="K15" i="13"/>
  <c r="L15" i="13"/>
  <c r="C13" i="13"/>
  <c r="C14" i="13"/>
  <c r="C15" i="13"/>
  <c r="C12" i="13"/>
  <c r="C58" i="19"/>
  <c r="H58" i="19"/>
  <c r="O58" i="19"/>
  <c r="H57" i="19"/>
  <c r="D57" i="19"/>
  <c r="M58" i="19"/>
  <c r="G58" i="19"/>
  <c r="L57" i="19"/>
  <c r="K57" i="19"/>
  <c r="F58" i="19"/>
  <c r="J58" i="19"/>
  <c r="E58" i="19"/>
  <c r="N58" i="19"/>
  <c r="I57" i="19"/>
  <c r="C57" i="19"/>
  <c r="C5" i="8"/>
  <c r="G57" i="19"/>
  <c r="D58" i="19"/>
  <c r="O57" i="19"/>
  <c r="M57" i="19"/>
  <c r="J57" i="19"/>
  <c r="E57" i="19"/>
  <c r="K58" i="19"/>
  <c r="L58" i="19"/>
  <c r="N57" i="19"/>
  <c r="I58" i="19"/>
  <c r="F57" i="19"/>
  <c r="E20" i="13"/>
  <c r="F20" i="13"/>
  <c r="G20" i="13"/>
  <c r="H20" i="13"/>
  <c r="I20" i="13"/>
  <c r="J20" i="13"/>
  <c r="D20" i="13"/>
  <c r="E32" i="13"/>
  <c r="F32" i="13"/>
  <c r="G32" i="13"/>
  <c r="H32" i="13"/>
  <c r="I32" i="13"/>
  <c r="J32" i="13"/>
  <c r="D32" i="13"/>
  <c r="E44" i="13"/>
  <c r="F44" i="13"/>
  <c r="G44" i="13"/>
  <c r="H44" i="13"/>
  <c r="I44" i="13"/>
  <c r="J44" i="13"/>
  <c r="D44" i="13"/>
  <c r="B1" i="8"/>
  <c r="B2" i="8"/>
  <c r="E11" i="3"/>
  <c r="F11" i="3"/>
  <c r="G11" i="3"/>
  <c r="H11" i="3"/>
  <c r="I11" i="3"/>
  <c r="D11" i="3"/>
  <c r="F59" i="3"/>
  <c r="G59" i="3"/>
  <c r="E65" i="3"/>
  <c r="E54" i="3"/>
  <c r="F65" i="3"/>
  <c r="F54" i="3"/>
  <c r="G65" i="3"/>
  <c r="G54" i="3"/>
  <c r="H65" i="3"/>
  <c r="H54" i="3"/>
  <c r="I65" i="3"/>
  <c r="I54" i="3"/>
  <c r="J65" i="3"/>
  <c r="D65" i="3"/>
  <c r="E64" i="3"/>
  <c r="F64" i="3"/>
  <c r="G64" i="3"/>
  <c r="H64" i="3"/>
  <c r="I64" i="3"/>
  <c r="J64" i="3"/>
  <c r="K64" i="3"/>
  <c r="D64" i="3"/>
  <c r="K52" i="3"/>
  <c r="E52" i="3"/>
  <c r="F52" i="3"/>
  <c r="G52" i="3"/>
  <c r="H52" i="3"/>
  <c r="I52" i="3"/>
  <c r="J52" i="3"/>
  <c r="D52" i="3"/>
  <c r="L63" i="3"/>
  <c r="D59" i="3"/>
  <c r="B31" i="10"/>
  <c r="B49" i="10"/>
  <c r="O49" i="10" a="1"/>
  <c r="O49" i="10"/>
  <c r="B25" i="10"/>
  <c r="Q25" i="10" a="1"/>
  <c r="Q25" i="10"/>
  <c r="R51" i="13"/>
  <c r="Q51" i="13"/>
  <c r="P51" i="13"/>
  <c r="O51" i="13"/>
  <c r="N51" i="13"/>
  <c r="M51" i="13"/>
  <c r="E48" i="3"/>
  <c r="F48" i="3"/>
  <c r="G48" i="3"/>
  <c r="H48" i="3"/>
  <c r="I48" i="3"/>
  <c r="J48" i="3"/>
  <c r="K48" i="3"/>
  <c r="D48" i="3"/>
  <c r="J56" i="3"/>
  <c r="E56" i="3"/>
  <c r="F56" i="3"/>
  <c r="G56" i="3"/>
  <c r="H56" i="3"/>
  <c r="I56" i="3"/>
  <c r="D56" i="3"/>
  <c r="E50" i="3"/>
  <c r="F50" i="3"/>
  <c r="G50" i="3"/>
  <c r="H50" i="3"/>
  <c r="I50" i="3"/>
  <c r="J50" i="3"/>
  <c r="K50" i="3"/>
  <c r="D50" i="3"/>
  <c r="J49" i="3"/>
  <c r="K49" i="3"/>
  <c r="E49" i="3"/>
  <c r="F49" i="3"/>
  <c r="G49" i="3"/>
  <c r="H49" i="3"/>
  <c r="I49" i="3"/>
  <c r="D49" i="3"/>
  <c r="E47" i="3"/>
  <c r="F47" i="3"/>
  <c r="G47" i="3"/>
  <c r="H47" i="3"/>
  <c r="I47" i="3"/>
  <c r="J47" i="3"/>
  <c r="K47" i="3"/>
  <c r="J13" i="10" a="1"/>
  <c r="J13" i="10"/>
  <c r="G13" i="10" a="1"/>
  <c r="G13" i="10"/>
  <c r="A13" i="10" a="1"/>
  <c r="A13" i="10"/>
  <c r="A55" i="10"/>
  <c r="J12" i="10" a="1"/>
  <c r="J12" i="10"/>
  <c r="G12" i="10" a="1"/>
  <c r="G12" i="10"/>
  <c r="A12" i="10" a="1"/>
  <c r="A12" i="10"/>
  <c r="A24" i="10"/>
  <c r="J11" i="10" a="1"/>
  <c r="J11" i="10"/>
  <c r="G11" i="10" a="1"/>
  <c r="G11" i="10"/>
  <c r="A11" i="10" a="1"/>
  <c r="A11" i="10"/>
  <c r="A35" i="10"/>
  <c r="A10" i="10" a="1"/>
  <c r="A10" i="10"/>
  <c r="A52" i="10"/>
  <c r="J9" i="10" a="1"/>
  <c r="J9" i="10"/>
  <c r="G9" i="10" a="1"/>
  <c r="G9" i="10"/>
  <c r="A9" i="10" a="1"/>
  <c r="A9" i="10"/>
  <c r="A51" i="10"/>
  <c r="J8" i="10" a="1"/>
  <c r="J8" i="10"/>
  <c r="G8" i="10" a="1"/>
  <c r="G8" i="10"/>
  <c r="A8" i="10" a="1"/>
  <c r="A8" i="10"/>
  <c r="A20" i="10"/>
  <c r="J7" i="10" a="1"/>
  <c r="J7" i="10"/>
  <c r="G7" i="10" a="1"/>
  <c r="G7" i="10"/>
  <c r="A49" i="10"/>
  <c r="J6" i="10" a="1"/>
  <c r="J6" i="10"/>
  <c r="G6" i="10" a="1"/>
  <c r="G6" i="10"/>
  <c r="A48" i="10"/>
  <c r="A53" i="10"/>
  <c r="B30" i="10"/>
  <c r="B33" i="10"/>
  <c r="B35" i="10"/>
  <c r="B36" i="10"/>
  <c r="B37" i="10"/>
  <c r="C6" i="10"/>
  <c r="D6" i="10"/>
  <c r="E6" i="10"/>
  <c r="H6" i="10"/>
  <c r="K6" i="10"/>
  <c r="L6" i="10"/>
  <c r="C7" i="10"/>
  <c r="C31" i="10"/>
  <c r="D7" i="10"/>
  <c r="E7" i="10"/>
  <c r="H7" i="10"/>
  <c r="K7" i="10"/>
  <c r="L7" i="10"/>
  <c r="C32" i="10"/>
  <c r="D8" i="10"/>
  <c r="E8" i="10"/>
  <c r="H8" i="10"/>
  <c r="K8" i="10"/>
  <c r="L8" i="10"/>
  <c r="C9" i="10"/>
  <c r="C33" i="10"/>
  <c r="D9" i="10"/>
  <c r="E9" i="10"/>
  <c r="H9" i="10"/>
  <c r="K9" i="10"/>
  <c r="L9" i="10"/>
  <c r="C34" i="10"/>
  <c r="D10" i="10"/>
  <c r="K10" i="10"/>
  <c r="L10" i="10"/>
  <c r="C11" i="10"/>
  <c r="C35" i="10"/>
  <c r="D11" i="10"/>
  <c r="E11" i="10"/>
  <c r="F11" i="10"/>
  <c r="H11" i="10"/>
  <c r="I11" i="10"/>
  <c r="K11" i="10"/>
  <c r="L11" i="10"/>
  <c r="C12" i="10"/>
  <c r="E12" i="10"/>
  <c r="F12" i="10"/>
  <c r="D12" i="10"/>
  <c r="H12" i="10"/>
  <c r="K12" i="10"/>
  <c r="L12" i="10"/>
  <c r="C13" i="10"/>
  <c r="C37" i="10"/>
  <c r="D13" i="10"/>
  <c r="E13" i="10"/>
  <c r="H13" i="10"/>
  <c r="L13" i="10"/>
  <c r="B18" i="10"/>
  <c r="G19" i="10"/>
  <c r="I19" i="10"/>
  <c r="P20" i="10" a="1"/>
  <c r="P20" i="10"/>
  <c r="G21" i="10"/>
  <c r="G22" i="10"/>
  <c r="G23" i="10"/>
  <c r="I23" i="10"/>
  <c r="P24" i="10" a="1"/>
  <c r="P24" i="10"/>
  <c r="G25" i="10"/>
  <c r="I61" i="3"/>
  <c r="E58" i="3"/>
  <c r="R52" i="13"/>
  <c r="R54" i="13"/>
  <c r="Q52" i="13"/>
  <c r="Q54" i="13"/>
  <c r="M42" i="13"/>
  <c r="M40" i="13"/>
  <c r="N40" i="13"/>
  <c r="N42" i="13"/>
  <c r="O42" i="13"/>
  <c r="O40" i="13"/>
  <c r="Q40" i="13"/>
  <c r="Q42" i="13"/>
  <c r="P42" i="13"/>
  <c r="P40" i="13"/>
  <c r="N30" i="13"/>
  <c r="N28" i="13"/>
  <c r="M30" i="13"/>
  <c r="M28" i="13"/>
  <c r="Q28" i="13"/>
  <c r="Q30" i="13"/>
  <c r="P30" i="13"/>
  <c r="P28" i="13"/>
  <c r="R28" i="13"/>
  <c r="R30" i="13"/>
  <c r="O30" i="13"/>
  <c r="O28" i="13"/>
  <c r="I58" i="3"/>
  <c r="A36" i="10"/>
  <c r="A23" i="10"/>
  <c r="J59" i="3"/>
  <c r="I59" i="3"/>
  <c r="H61" i="3"/>
  <c r="H59" i="3"/>
  <c r="J58" i="3"/>
  <c r="H58" i="3"/>
  <c r="F58" i="3"/>
  <c r="E59" i="3"/>
  <c r="G58" i="3"/>
  <c r="D61" i="3"/>
  <c r="G61" i="3"/>
  <c r="J61" i="3"/>
  <c r="J54" i="3"/>
  <c r="D54" i="3"/>
  <c r="F61" i="3"/>
  <c r="E61" i="3"/>
  <c r="A25" i="10"/>
  <c r="D35" i="10"/>
  <c r="J24" i="10"/>
  <c r="J36" i="10"/>
  <c r="A50" i="10"/>
  <c r="I24" i="10"/>
  <c r="I36" i="10"/>
  <c r="H24" i="10"/>
  <c r="H36" i="10"/>
  <c r="G24" i="10"/>
  <c r="F6" i="10"/>
  <c r="D30" i="10"/>
  <c r="A22" i="10"/>
  <c r="A34" i="10"/>
  <c r="F9" i="10"/>
  <c r="I9" i="10"/>
  <c r="A21" i="10"/>
  <c r="H19" i="10"/>
  <c r="H31" i="10"/>
  <c r="A54" i="10"/>
  <c r="J23" i="10"/>
  <c r="J35" i="10"/>
  <c r="I21" i="10"/>
  <c r="I33" i="10"/>
  <c r="G20" i="10"/>
  <c r="A32" i="10"/>
  <c r="F8" i="10"/>
  <c r="I8" i="10"/>
  <c r="P32" i="10"/>
  <c r="A31" i="10"/>
  <c r="A19" i="10"/>
  <c r="C30" i="10"/>
  <c r="A30" i="10"/>
  <c r="A18" i="10"/>
  <c r="A37" i="10"/>
  <c r="I12" i="10"/>
  <c r="D36" i="10"/>
  <c r="N18" i="10" a="1"/>
  <c r="N18" i="10"/>
  <c r="F18" i="10" a="1"/>
  <c r="F18" i="10"/>
  <c r="J18" i="10"/>
  <c r="J30" i="10"/>
  <c r="Q18" i="10" a="1"/>
  <c r="Q18" i="10"/>
  <c r="M18" i="10" a="1"/>
  <c r="M18" i="10"/>
  <c r="E18" i="10" a="1"/>
  <c r="E18" i="10"/>
  <c r="B48" i="10"/>
  <c r="P18" i="10" a="1"/>
  <c r="P18" i="10"/>
  <c r="L18" i="10" a="1"/>
  <c r="L18" i="10"/>
  <c r="D18" i="10" a="1"/>
  <c r="D18" i="10"/>
  <c r="O18" i="10" a="1"/>
  <c r="O18" i="10"/>
  <c r="K18" i="10" a="1"/>
  <c r="K18" i="10"/>
  <c r="C18" i="10" a="1"/>
  <c r="C18" i="10"/>
  <c r="B52" i="10"/>
  <c r="C22" i="10" a="1"/>
  <c r="C22" i="10"/>
  <c r="H23" i="10"/>
  <c r="H35" i="10"/>
  <c r="O19" i="10" a="1"/>
  <c r="O19" i="10"/>
  <c r="K19" i="10" a="1"/>
  <c r="K19" i="10"/>
  <c r="C19" i="10" a="1"/>
  <c r="C19" i="10"/>
  <c r="N19" i="10" a="1"/>
  <c r="N19" i="10"/>
  <c r="F19" i="10" a="1"/>
  <c r="F19" i="10"/>
  <c r="M19" i="10" a="1"/>
  <c r="M19" i="10"/>
  <c r="E19" i="10" a="1"/>
  <c r="E19" i="10"/>
  <c r="P19" i="10" a="1"/>
  <c r="P19" i="10"/>
  <c r="L19" i="10" a="1"/>
  <c r="L19" i="10"/>
  <c r="D19" i="10" a="1"/>
  <c r="D19" i="10"/>
  <c r="C36" i="10"/>
  <c r="I31" i="10"/>
  <c r="J21" i="10"/>
  <c r="J33" i="10"/>
  <c r="I35" i="10"/>
  <c r="O23" i="10" a="1"/>
  <c r="O23" i="10"/>
  <c r="O35" i="10"/>
  <c r="K23" i="10" a="1"/>
  <c r="K23" i="10"/>
  <c r="C23" i="10" a="1"/>
  <c r="C23" i="10"/>
  <c r="N23" i="10" a="1"/>
  <c r="N23" i="10"/>
  <c r="N35" i="10"/>
  <c r="F23" i="10" a="1"/>
  <c r="F23" i="10"/>
  <c r="G35" i="10"/>
  <c r="B53" i="10"/>
  <c r="M23" i="10" a="1"/>
  <c r="M23" i="10"/>
  <c r="E23" i="10" a="1"/>
  <c r="E23" i="10"/>
  <c r="F35" i="10"/>
  <c r="P23" i="10" a="1"/>
  <c r="P23" i="10"/>
  <c r="P35" i="10"/>
  <c r="L23" i="10" a="1"/>
  <c r="L23" i="10"/>
  <c r="D23" i="10" a="1"/>
  <c r="D23" i="10"/>
  <c r="E35" i="10"/>
  <c r="I18" i="10"/>
  <c r="I30" i="10"/>
  <c r="F13" i="10"/>
  <c r="H18" i="10"/>
  <c r="H30" i="10"/>
  <c r="M25" i="10" a="1"/>
  <c r="M25" i="10"/>
  <c r="E25" i="10" a="1"/>
  <c r="E25" i="10"/>
  <c r="H25" i="10"/>
  <c r="H37" i="10"/>
  <c r="P25" i="10" a="1"/>
  <c r="P25" i="10"/>
  <c r="L25" i="10" a="1"/>
  <c r="L25" i="10"/>
  <c r="D25" i="10" a="1"/>
  <c r="D25" i="10"/>
  <c r="B55" i="10"/>
  <c r="O25" i="10" a="1"/>
  <c r="O25" i="10"/>
  <c r="K25" i="10" a="1"/>
  <c r="K25" i="10"/>
  <c r="C25" i="10" a="1"/>
  <c r="C25" i="10"/>
  <c r="N25" i="10" a="1"/>
  <c r="N25" i="10"/>
  <c r="F25" i="10" a="1"/>
  <c r="F25" i="10"/>
  <c r="J25" i="10"/>
  <c r="J37" i="10"/>
  <c r="I25" i="10"/>
  <c r="I37" i="10"/>
  <c r="M21" i="10" a="1"/>
  <c r="M21" i="10"/>
  <c r="E21" i="10" a="1"/>
  <c r="E21" i="10"/>
  <c r="H21" i="10"/>
  <c r="H33" i="10"/>
  <c r="P21" i="10" a="1"/>
  <c r="P21" i="10"/>
  <c r="L21" i="10" a="1"/>
  <c r="L21" i="10"/>
  <c r="D21" i="10" a="1"/>
  <c r="D21" i="10"/>
  <c r="B51" i="10"/>
  <c r="O21" i="10" a="1"/>
  <c r="O21" i="10"/>
  <c r="K21" i="10" a="1"/>
  <c r="K21" i="10"/>
  <c r="C21" i="10" a="1"/>
  <c r="C21" i="10"/>
  <c r="N21" i="10" a="1"/>
  <c r="N21" i="10"/>
  <c r="F21" i="10" a="1"/>
  <c r="F21" i="10"/>
  <c r="J19" i="10"/>
  <c r="J31" i="10"/>
  <c r="G18" i="10"/>
  <c r="F7" i="10"/>
  <c r="I7" i="10"/>
  <c r="A33" i="10"/>
  <c r="E20" i="10" a="1"/>
  <c r="E20" i="10"/>
  <c r="M20" i="10" a="1"/>
  <c r="M20" i="10"/>
  <c r="E24" i="10" a="1"/>
  <c r="E24" i="10"/>
  <c r="F36" i="10"/>
  <c r="M24" i="10" a="1"/>
  <c r="M24" i="10"/>
  <c r="F20" i="10" a="1"/>
  <c r="F20" i="10"/>
  <c r="G32" i="10"/>
  <c r="N20" i="10" a="1"/>
  <c r="N20" i="10"/>
  <c r="F24" i="10" a="1"/>
  <c r="F24" i="10"/>
  <c r="G36" i="10"/>
  <c r="N24" i="10" a="1"/>
  <c r="N24" i="10"/>
  <c r="B54" i="10"/>
  <c r="B50" i="10"/>
  <c r="C20" i="10" a="1"/>
  <c r="C20" i="10"/>
  <c r="K20" i="10" a="1"/>
  <c r="K20" i="10"/>
  <c r="O20" i="10" a="1"/>
  <c r="O20" i="10"/>
  <c r="C24" i="10" a="1"/>
  <c r="C24" i="10"/>
  <c r="K24" i="10" a="1"/>
  <c r="K24" i="10"/>
  <c r="O24" i="10" a="1"/>
  <c r="O24" i="10"/>
  <c r="D20" i="10" a="1"/>
  <c r="D20" i="10"/>
  <c r="L20" i="10" a="1"/>
  <c r="L20" i="10"/>
  <c r="D24" i="10" a="1"/>
  <c r="D24" i="10"/>
  <c r="E36" i="10"/>
  <c r="L24" i="10" a="1"/>
  <c r="L24" i="10"/>
  <c r="N36" i="10"/>
  <c r="O33" i="10"/>
  <c r="L30" i="10"/>
  <c r="L33" i="10"/>
  <c r="L39" i="10"/>
  <c r="L42" i="10"/>
  <c r="F30" i="10"/>
  <c r="N32" i="10"/>
  <c r="D32" i="10"/>
  <c r="I6" i="10"/>
  <c r="N30" i="10"/>
  <c r="N31" i="10"/>
  <c r="E33" i="10"/>
  <c r="G33" i="10"/>
  <c r="P33" i="10"/>
  <c r="N33" i="10"/>
  <c r="E30" i="10"/>
  <c r="G30" i="10"/>
  <c r="F32" i="10"/>
  <c r="F33" i="10"/>
  <c r="D33" i="10"/>
  <c r="L37" i="10"/>
  <c r="M37" i="10"/>
  <c r="E32" i="10"/>
  <c r="K33" i="10"/>
  <c r="K37" i="10"/>
  <c r="M33" i="10"/>
  <c r="O32" i="10"/>
  <c r="D31" i="10"/>
  <c r="O31" i="10"/>
  <c r="F31" i="10"/>
  <c r="J40" i="10"/>
  <c r="J43" i="10"/>
  <c r="J39" i="10"/>
  <c r="J42" i="10"/>
  <c r="M30" i="10"/>
  <c r="I13" i="10"/>
  <c r="E37" i="10"/>
  <c r="G37" i="10"/>
  <c r="G53" i="10" a="1"/>
  <c r="G53" i="10"/>
  <c r="C53" i="10" a="1"/>
  <c r="C53" i="10"/>
  <c r="N53" i="10"/>
  <c r="F53" i="10" a="1"/>
  <c r="F53" i="10"/>
  <c r="O53" i="10" a="1"/>
  <c r="O53" i="10"/>
  <c r="E53" i="10" a="1"/>
  <c r="E53" i="10"/>
  <c r="I53" i="10"/>
  <c r="J53" i="10" a="1"/>
  <c r="J53" i="10"/>
  <c r="D53" i="10" a="1"/>
  <c r="D53" i="10"/>
  <c r="L53" i="10"/>
  <c r="H53" i="10"/>
  <c r="K53" i="10"/>
  <c r="M53" i="10"/>
  <c r="G49" i="10" a="1"/>
  <c r="G49" i="10"/>
  <c r="C49" i="10" a="1"/>
  <c r="C49" i="10"/>
  <c r="N49" i="10"/>
  <c r="F49" i="10" a="1"/>
  <c r="F49" i="10"/>
  <c r="E49" i="10" a="1"/>
  <c r="E49" i="10"/>
  <c r="I49" i="10"/>
  <c r="J49" i="10" a="1"/>
  <c r="J49" i="10"/>
  <c r="D49" i="10" a="1"/>
  <c r="D49" i="10"/>
  <c r="L49" i="10"/>
  <c r="H49" i="10"/>
  <c r="K49" i="10"/>
  <c r="M49" i="10"/>
  <c r="P31" i="10"/>
  <c r="F37" i="10"/>
  <c r="I39" i="10"/>
  <c r="I42" i="10"/>
  <c r="I40" i="10"/>
  <c r="I43" i="10"/>
  <c r="J50" i="10" a="1"/>
  <c r="J50" i="10"/>
  <c r="D50" i="10" a="1"/>
  <c r="D50" i="10"/>
  <c r="N50" i="10"/>
  <c r="G50" i="10" a="1"/>
  <c r="G50" i="10"/>
  <c r="C50" i="10" a="1"/>
  <c r="C50" i="10"/>
  <c r="F50" i="10" a="1"/>
  <c r="F50" i="10"/>
  <c r="I50" i="10"/>
  <c r="O50" i="10" a="1"/>
  <c r="O50" i="10"/>
  <c r="E50" i="10" a="1"/>
  <c r="E50" i="10"/>
  <c r="L50" i="10"/>
  <c r="M50" i="10"/>
  <c r="H50" i="10"/>
  <c r="K50" i="10"/>
  <c r="H40" i="10"/>
  <c r="H43" i="10"/>
  <c r="K30" i="10"/>
  <c r="H39" i="10"/>
  <c r="H42" i="10"/>
  <c r="F48" i="10" a="1"/>
  <c r="F48" i="10"/>
  <c r="N48" i="10"/>
  <c r="O48" i="10" a="1"/>
  <c r="O48" i="10"/>
  <c r="E48" i="10" a="1"/>
  <c r="E48" i="10"/>
  <c r="J48" i="10" a="1"/>
  <c r="J48" i="10"/>
  <c r="D48" i="10" a="1"/>
  <c r="D48" i="10"/>
  <c r="I48" i="10"/>
  <c r="G48" i="10" a="1"/>
  <c r="G48" i="10"/>
  <c r="C48" i="10" a="1"/>
  <c r="C48" i="10"/>
  <c r="L48" i="10"/>
  <c r="M48" i="10"/>
  <c r="H48" i="10"/>
  <c r="K48" i="10"/>
  <c r="J54" i="10" a="1"/>
  <c r="J54" i="10"/>
  <c r="D54" i="10" a="1"/>
  <c r="D54" i="10"/>
  <c r="N54" i="10"/>
  <c r="G54" i="10" a="1"/>
  <c r="G54" i="10"/>
  <c r="C54" i="10" a="1"/>
  <c r="C54" i="10"/>
  <c r="F54" i="10" a="1"/>
  <c r="F54" i="10"/>
  <c r="I54" i="10"/>
  <c r="O54" i="10" a="1"/>
  <c r="O54" i="10"/>
  <c r="E54" i="10" a="1"/>
  <c r="E54" i="10"/>
  <c r="L54" i="10"/>
  <c r="M54" i="10"/>
  <c r="H54" i="10"/>
  <c r="K54" i="10"/>
  <c r="O51" i="10" a="1"/>
  <c r="O51" i="10"/>
  <c r="E51" i="10" a="1"/>
  <c r="E51" i="10"/>
  <c r="N51" i="10"/>
  <c r="J51" i="10" a="1"/>
  <c r="J51" i="10"/>
  <c r="D51" i="10" a="1"/>
  <c r="D51" i="10"/>
  <c r="G51" i="10" a="1"/>
  <c r="G51" i="10"/>
  <c r="C51" i="10" a="1"/>
  <c r="C51" i="10"/>
  <c r="I51" i="10"/>
  <c r="F51" i="10" a="1"/>
  <c r="F51" i="10"/>
  <c r="L51" i="10"/>
  <c r="H51" i="10"/>
  <c r="K51" i="10"/>
  <c r="M51" i="10"/>
  <c r="O55" i="10" a="1"/>
  <c r="O55" i="10"/>
  <c r="E55" i="10" a="1"/>
  <c r="E55" i="10"/>
  <c r="N55" i="10"/>
  <c r="J55" i="10" a="1"/>
  <c r="J55" i="10"/>
  <c r="D55" i="10" a="1"/>
  <c r="D55" i="10"/>
  <c r="G55" i="10" a="1"/>
  <c r="G55" i="10"/>
  <c r="C55" i="10" a="1"/>
  <c r="C55" i="10"/>
  <c r="I55" i="10"/>
  <c r="F55" i="10" a="1"/>
  <c r="F55" i="10"/>
  <c r="L55" i="10"/>
  <c r="H55" i="10"/>
  <c r="K55" i="10"/>
  <c r="M55" i="10"/>
  <c r="P36" i="10"/>
  <c r="O36" i="10"/>
  <c r="D37" i="10"/>
  <c r="G31" i="10"/>
  <c r="F52" i="10" a="1"/>
  <c r="F52" i="10"/>
  <c r="N52" i="10"/>
  <c r="O52" i="10" a="1"/>
  <c r="O52" i="10"/>
  <c r="E52" i="10" a="1"/>
  <c r="E52" i="10"/>
  <c r="J52" i="10" a="1"/>
  <c r="J52" i="10"/>
  <c r="D52" i="10" a="1"/>
  <c r="D52" i="10"/>
  <c r="I52" i="10"/>
  <c r="G52" i="10" a="1"/>
  <c r="G52" i="10"/>
  <c r="C52" i="10" a="1"/>
  <c r="C52" i="10"/>
  <c r="L52" i="10"/>
  <c r="M52" i="10"/>
  <c r="H52" i="10"/>
  <c r="K52" i="10"/>
  <c r="E31" i="10"/>
  <c r="N39" i="10"/>
  <c r="N42" i="10"/>
  <c r="G40" i="10"/>
  <c r="G43" i="10"/>
  <c r="P30" i="10"/>
  <c r="P39" i="10"/>
  <c r="P42" i="10"/>
  <c r="E39" i="10"/>
  <c r="E42" i="10"/>
  <c r="N40" i="10"/>
  <c r="N43" i="10"/>
  <c r="C59" i="10"/>
  <c r="C58" i="10"/>
  <c r="F59" i="10"/>
  <c r="F58" i="10"/>
  <c r="G59" i="10"/>
  <c r="G58" i="10"/>
  <c r="D39" i="10"/>
  <c r="D42" i="10"/>
  <c r="F39" i="10"/>
  <c r="F42" i="10"/>
  <c r="D58" i="10"/>
  <c r="D59" i="10"/>
  <c r="I58" i="10"/>
  <c r="I59" i="10"/>
  <c r="K58" i="10"/>
  <c r="K59" i="10"/>
  <c r="J58" i="10"/>
  <c r="J59" i="10"/>
  <c r="H59" i="10"/>
  <c r="H58" i="10"/>
  <c r="E58" i="10"/>
  <c r="E59" i="10"/>
  <c r="M58" i="10"/>
  <c r="M59" i="10"/>
  <c r="O59" i="10"/>
  <c r="O58" i="10"/>
  <c r="L58" i="10"/>
  <c r="L59" i="10"/>
  <c r="N59" i="10"/>
  <c r="N58" i="10"/>
  <c r="D40" i="10"/>
  <c r="D43" i="10"/>
  <c r="L40" i="10"/>
  <c r="L43" i="10"/>
  <c r="F40" i="10"/>
  <c r="F43" i="10"/>
  <c r="G39" i="10"/>
  <c r="G42" i="10"/>
  <c r="O30" i="10"/>
  <c r="O39" i="10"/>
  <c r="O42" i="10"/>
  <c r="E40" i="10"/>
  <c r="E43" i="10"/>
  <c r="K39" i="10"/>
  <c r="K42" i="10"/>
  <c r="K40" i="10"/>
  <c r="K43" i="10"/>
  <c r="M39" i="10"/>
  <c r="M42" i="10"/>
  <c r="M40" i="10"/>
  <c r="M43" i="10"/>
  <c r="O37" i="10"/>
  <c r="P37" i="10"/>
  <c r="N37" i="10"/>
  <c r="P40" i="10"/>
  <c r="P43" i="10"/>
  <c r="O40" i="10"/>
  <c r="O43" i="10"/>
  <c r="B15" i="7"/>
  <c r="E53" i="3"/>
  <c r="F53" i="3"/>
  <c r="G53" i="3"/>
  <c r="H53" i="3"/>
  <c r="I53" i="3"/>
  <c r="J53" i="3"/>
  <c r="K54" i="3"/>
  <c r="E55" i="3"/>
  <c r="F55" i="3"/>
  <c r="G55" i="3"/>
  <c r="H55" i="3"/>
  <c r="I55" i="3"/>
  <c r="J55" i="3"/>
  <c r="K55" i="3"/>
  <c r="D53" i="3"/>
  <c r="D55" i="3"/>
  <c r="D47" i="3"/>
  <c r="E33" i="7"/>
  <c r="C53" i="8"/>
  <c r="G49" i="8"/>
  <c r="H49" i="8"/>
  <c r="I49" i="8"/>
  <c r="J49" i="8"/>
  <c r="C32" i="8"/>
  <c r="C33" i="8"/>
  <c r="C30" i="8"/>
  <c r="C29" i="8"/>
  <c r="H27" i="8"/>
  <c r="I27" i="8"/>
  <c r="J27" i="8"/>
  <c r="F27" i="8"/>
  <c r="E27" i="8"/>
  <c r="D27" i="8"/>
  <c r="K31" i="2"/>
  <c r="K40" i="2"/>
  <c r="L40" i="2"/>
  <c r="L39" i="2"/>
  <c r="L31" i="2"/>
  <c r="L12" i="2"/>
  <c r="K12" i="2"/>
  <c r="K48" i="2"/>
  <c r="E147" i="3"/>
  <c r="F147" i="3"/>
  <c r="E148" i="3"/>
  <c r="F148" i="3"/>
  <c r="H147" i="3"/>
  <c r="I147" i="3"/>
  <c r="J147" i="3"/>
  <c r="H148" i="3"/>
  <c r="I148" i="3"/>
  <c r="J148" i="3"/>
  <c r="G147" i="3"/>
  <c r="G148" i="3"/>
  <c r="E155" i="3"/>
  <c r="E156" i="3"/>
  <c r="E121" i="3"/>
  <c r="F121" i="3"/>
  <c r="G121" i="3"/>
  <c r="H121" i="3"/>
  <c r="I121" i="3"/>
  <c r="J121" i="3"/>
  <c r="E122" i="3"/>
  <c r="F122" i="3"/>
  <c r="G122" i="3"/>
  <c r="H122" i="3"/>
  <c r="I122" i="3"/>
  <c r="J122" i="3"/>
  <c r="E123" i="3"/>
  <c r="F123" i="3"/>
  <c r="G123" i="3"/>
  <c r="H123" i="3"/>
  <c r="I123" i="3"/>
  <c r="J123" i="3"/>
  <c r="E124" i="3"/>
  <c r="F124" i="3"/>
  <c r="G124" i="3"/>
  <c r="H124" i="3"/>
  <c r="I124" i="3"/>
  <c r="J124" i="3"/>
  <c r="E125" i="3"/>
  <c r="F125" i="3"/>
  <c r="G125" i="3"/>
  <c r="H125" i="3"/>
  <c r="I125" i="3"/>
  <c r="J125" i="3"/>
  <c r="E126" i="3"/>
  <c r="F126" i="3"/>
  <c r="G126" i="3"/>
  <c r="H126" i="3"/>
  <c r="I126" i="3"/>
  <c r="J126" i="3"/>
  <c r="E127" i="3"/>
  <c r="F127" i="3"/>
  <c r="G127" i="3"/>
  <c r="H127" i="3"/>
  <c r="I127" i="3"/>
  <c r="J127" i="3"/>
  <c r="E129" i="3"/>
  <c r="F129" i="3"/>
  <c r="G129" i="3"/>
  <c r="H129" i="3"/>
  <c r="I129" i="3"/>
  <c r="J129" i="3"/>
  <c r="E130" i="3"/>
  <c r="F130" i="3"/>
  <c r="G130" i="3"/>
  <c r="H130" i="3"/>
  <c r="I130" i="3"/>
  <c r="J130" i="3"/>
  <c r="E134" i="3"/>
  <c r="F134" i="3"/>
  <c r="G134" i="3"/>
  <c r="H134" i="3"/>
  <c r="I134" i="3"/>
  <c r="J134" i="3"/>
  <c r="E135" i="3"/>
  <c r="F135" i="3"/>
  <c r="G135" i="3"/>
  <c r="H135" i="3"/>
  <c r="I135" i="3"/>
  <c r="J135" i="3"/>
  <c r="E136" i="3"/>
  <c r="F136" i="3"/>
  <c r="G136" i="3"/>
  <c r="H136" i="3"/>
  <c r="I136" i="3"/>
  <c r="J136" i="3"/>
  <c r="E137" i="3"/>
  <c r="F137" i="3"/>
  <c r="G137" i="3"/>
  <c r="H137" i="3"/>
  <c r="I137" i="3"/>
  <c r="J137" i="3"/>
  <c r="E138" i="3"/>
  <c r="F138" i="3"/>
  <c r="G138" i="3"/>
  <c r="H138" i="3"/>
  <c r="I138" i="3"/>
  <c r="J138" i="3"/>
  <c r="E139" i="3"/>
  <c r="F139" i="3"/>
  <c r="G139" i="3"/>
  <c r="H139" i="3"/>
  <c r="I139" i="3"/>
  <c r="J139" i="3"/>
  <c r="E140" i="3"/>
  <c r="F140" i="3"/>
  <c r="G140" i="3"/>
  <c r="H140" i="3"/>
  <c r="I140" i="3"/>
  <c r="J140" i="3"/>
  <c r="E141" i="3"/>
  <c r="F141" i="3"/>
  <c r="G141" i="3"/>
  <c r="H141" i="3"/>
  <c r="I141" i="3"/>
  <c r="J141" i="3"/>
  <c r="E142" i="3"/>
  <c r="F142" i="3"/>
  <c r="G142" i="3"/>
  <c r="H142" i="3"/>
  <c r="I142" i="3"/>
  <c r="J142" i="3"/>
  <c r="E143" i="3"/>
  <c r="F143" i="3"/>
  <c r="G143" i="3"/>
  <c r="H143" i="3"/>
  <c r="I143" i="3"/>
  <c r="J143" i="3"/>
  <c r="E150" i="3"/>
  <c r="F150" i="3"/>
  <c r="G150" i="3"/>
  <c r="H150" i="3"/>
  <c r="I150" i="3"/>
  <c r="J150" i="3"/>
  <c r="E151" i="3"/>
  <c r="F151" i="3"/>
  <c r="G151" i="3"/>
  <c r="H151" i="3"/>
  <c r="I151" i="3"/>
  <c r="J151" i="3"/>
  <c r="E152" i="3"/>
  <c r="F152" i="3"/>
  <c r="G152" i="3"/>
  <c r="H152" i="3"/>
  <c r="I152" i="3"/>
  <c r="J152" i="3"/>
  <c r="E153" i="3"/>
  <c r="F153" i="3"/>
  <c r="G153" i="3"/>
  <c r="H153" i="3"/>
  <c r="I153" i="3"/>
  <c r="J153" i="3"/>
  <c r="E154" i="3"/>
  <c r="F154" i="3"/>
  <c r="G154" i="3"/>
  <c r="H154" i="3"/>
  <c r="I154" i="3"/>
  <c r="J154" i="3"/>
  <c r="F155" i="3"/>
  <c r="G155" i="3"/>
  <c r="H155" i="3"/>
  <c r="I155" i="3"/>
  <c r="J155" i="3"/>
  <c r="F156" i="3"/>
  <c r="G156" i="3"/>
  <c r="H156" i="3"/>
  <c r="I156" i="3"/>
  <c r="J156" i="3"/>
  <c r="F120" i="3"/>
  <c r="G120" i="3"/>
  <c r="H120" i="3"/>
  <c r="I120" i="3"/>
  <c r="J120" i="3"/>
  <c r="E120" i="3"/>
  <c r="D109" i="3"/>
  <c r="E109" i="3"/>
  <c r="F109" i="3"/>
  <c r="G109" i="3"/>
  <c r="H109" i="3"/>
  <c r="I109" i="3"/>
  <c r="J109" i="3"/>
  <c r="D110" i="3"/>
  <c r="E110" i="3"/>
  <c r="F110" i="3"/>
  <c r="G110" i="3"/>
  <c r="H110" i="3"/>
  <c r="I110" i="3"/>
  <c r="J110" i="3"/>
  <c r="D111" i="3"/>
  <c r="E111" i="3"/>
  <c r="F111" i="3"/>
  <c r="G111" i="3"/>
  <c r="H111" i="3"/>
  <c r="I111" i="3"/>
  <c r="J111" i="3"/>
  <c r="D112" i="3"/>
  <c r="E112" i="3"/>
  <c r="F112" i="3"/>
  <c r="G112" i="3"/>
  <c r="H112" i="3"/>
  <c r="I112" i="3"/>
  <c r="J112" i="3"/>
  <c r="D113" i="3"/>
  <c r="E113" i="3"/>
  <c r="F113" i="3"/>
  <c r="G113" i="3"/>
  <c r="H113" i="3"/>
  <c r="I113" i="3"/>
  <c r="J113" i="3"/>
  <c r="D80" i="3"/>
  <c r="E80" i="3"/>
  <c r="F80" i="3"/>
  <c r="G80" i="3"/>
  <c r="H80" i="3"/>
  <c r="I80" i="3"/>
  <c r="J80" i="3"/>
  <c r="D81" i="3"/>
  <c r="E81" i="3"/>
  <c r="F81" i="3"/>
  <c r="G81" i="3"/>
  <c r="H81" i="3"/>
  <c r="I81" i="3"/>
  <c r="J81" i="3"/>
  <c r="D82" i="3"/>
  <c r="E82" i="3"/>
  <c r="F82" i="3"/>
  <c r="G82" i="3"/>
  <c r="H82" i="3"/>
  <c r="I82" i="3"/>
  <c r="J82" i="3"/>
  <c r="D83" i="3"/>
  <c r="E83" i="3"/>
  <c r="F83" i="3"/>
  <c r="G83" i="3"/>
  <c r="H83" i="3"/>
  <c r="I83" i="3"/>
  <c r="J83" i="3"/>
  <c r="D84" i="3"/>
  <c r="E84" i="3"/>
  <c r="F84" i="3"/>
  <c r="G84" i="3"/>
  <c r="H84" i="3"/>
  <c r="I84" i="3"/>
  <c r="J84" i="3"/>
  <c r="D85" i="3"/>
  <c r="E85" i="3"/>
  <c r="F85" i="3"/>
  <c r="G85" i="3"/>
  <c r="H85" i="3"/>
  <c r="I85" i="3"/>
  <c r="J85" i="3"/>
  <c r="D86" i="3"/>
  <c r="E86" i="3"/>
  <c r="F86" i="3"/>
  <c r="G86" i="3"/>
  <c r="H86" i="3"/>
  <c r="I86" i="3"/>
  <c r="J86" i="3"/>
  <c r="D87" i="3"/>
  <c r="E87" i="3"/>
  <c r="F87" i="3"/>
  <c r="G87" i="3"/>
  <c r="H87" i="3"/>
  <c r="I87" i="3"/>
  <c r="J87" i="3"/>
  <c r="D88" i="3"/>
  <c r="E88" i="3"/>
  <c r="F88" i="3"/>
  <c r="G88" i="3"/>
  <c r="H88" i="3"/>
  <c r="I88" i="3"/>
  <c r="J88" i="3"/>
  <c r="D89" i="3"/>
  <c r="E89" i="3"/>
  <c r="F89" i="3"/>
  <c r="G89" i="3"/>
  <c r="H89" i="3"/>
  <c r="I89" i="3"/>
  <c r="J89" i="3"/>
  <c r="D92" i="3"/>
  <c r="E92" i="3"/>
  <c r="F92" i="3"/>
  <c r="G92" i="3"/>
  <c r="H92" i="3"/>
  <c r="I92" i="3"/>
  <c r="J92" i="3"/>
  <c r="D93" i="3"/>
  <c r="E93" i="3"/>
  <c r="F93" i="3"/>
  <c r="G93" i="3"/>
  <c r="H93" i="3"/>
  <c r="I93" i="3"/>
  <c r="J93" i="3"/>
  <c r="D94" i="3"/>
  <c r="E94" i="3"/>
  <c r="F94" i="3"/>
  <c r="G94" i="3"/>
  <c r="H94" i="3"/>
  <c r="I94" i="3"/>
  <c r="J94" i="3"/>
  <c r="D95" i="3"/>
  <c r="E95" i="3"/>
  <c r="F95" i="3"/>
  <c r="G95" i="3"/>
  <c r="H95" i="3"/>
  <c r="I95" i="3"/>
  <c r="J95" i="3"/>
  <c r="D96" i="3"/>
  <c r="E96" i="3"/>
  <c r="F96" i="3"/>
  <c r="G96" i="3"/>
  <c r="H96" i="3"/>
  <c r="I96" i="3"/>
  <c r="J96" i="3"/>
  <c r="D97" i="3"/>
  <c r="E97" i="3"/>
  <c r="F97" i="3"/>
  <c r="G97" i="3"/>
  <c r="H97" i="3"/>
  <c r="I97" i="3"/>
  <c r="J97" i="3"/>
  <c r="D98" i="3"/>
  <c r="E98" i="3"/>
  <c r="F98" i="3"/>
  <c r="G98" i="3"/>
  <c r="H98" i="3"/>
  <c r="I98" i="3"/>
  <c r="J98" i="3"/>
  <c r="D99" i="3"/>
  <c r="E99" i="3"/>
  <c r="F99" i="3"/>
  <c r="G99" i="3"/>
  <c r="H99" i="3"/>
  <c r="I99" i="3"/>
  <c r="J99" i="3"/>
  <c r="D100" i="3"/>
  <c r="E100" i="3"/>
  <c r="F100" i="3"/>
  <c r="G100" i="3"/>
  <c r="H100" i="3"/>
  <c r="I100" i="3"/>
  <c r="J100" i="3"/>
  <c r="D101" i="3"/>
  <c r="E101" i="3"/>
  <c r="F101" i="3"/>
  <c r="G101" i="3"/>
  <c r="H101" i="3"/>
  <c r="I101" i="3"/>
  <c r="J101" i="3"/>
  <c r="D104" i="3"/>
  <c r="E104" i="3"/>
  <c r="F104" i="3"/>
  <c r="G104" i="3"/>
  <c r="H104" i="3"/>
  <c r="I104" i="3"/>
  <c r="J104" i="3"/>
  <c r="D105" i="3"/>
  <c r="E105" i="3"/>
  <c r="F105" i="3"/>
  <c r="G105" i="3"/>
  <c r="H105" i="3"/>
  <c r="I105" i="3"/>
  <c r="J105" i="3"/>
  <c r="D107" i="3"/>
  <c r="E107" i="3"/>
  <c r="F107" i="3"/>
  <c r="G107" i="3"/>
  <c r="H107" i="3"/>
  <c r="I107" i="3"/>
  <c r="J107" i="3"/>
  <c r="D108" i="3"/>
  <c r="E108" i="3"/>
  <c r="F108" i="3"/>
  <c r="G108" i="3"/>
  <c r="H108" i="3"/>
  <c r="I108" i="3"/>
  <c r="J108" i="3"/>
  <c r="E79" i="3"/>
  <c r="F79" i="3"/>
  <c r="G79" i="3"/>
  <c r="H79" i="3"/>
  <c r="I79" i="3"/>
  <c r="J79" i="3"/>
  <c r="D79" i="3"/>
  <c r="D40" i="2"/>
  <c r="E40" i="2"/>
  <c r="F40" i="2"/>
  <c r="G40" i="2"/>
  <c r="H40" i="2"/>
  <c r="I40" i="2"/>
  <c r="J40" i="2"/>
  <c r="C40" i="2"/>
  <c r="D31" i="2"/>
  <c r="E31" i="2"/>
  <c r="F31" i="2"/>
  <c r="G31" i="2"/>
  <c r="H31" i="2"/>
  <c r="I31" i="2"/>
  <c r="J31" i="2"/>
  <c r="C31" i="2"/>
  <c r="D65" i="2"/>
  <c r="E65" i="2"/>
  <c r="F65" i="2"/>
  <c r="G65" i="2"/>
  <c r="H65" i="2"/>
  <c r="I65" i="2"/>
  <c r="J65" i="2"/>
  <c r="D66" i="2"/>
  <c r="E66" i="2"/>
  <c r="F66" i="2"/>
  <c r="G66" i="2"/>
  <c r="H66" i="2"/>
  <c r="I66" i="2"/>
  <c r="J66" i="2"/>
  <c r="D67" i="2"/>
  <c r="E67" i="2"/>
  <c r="F67" i="2"/>
  <c r="G67" i="2"/>
  <c r="H67" i="2"/>
  <c r="I67" i="2"/>
  <c r="J67" i="2"/>
  <c r="D69" i="2"/>
  <c r="E69" i="2"/>
  <c r="F69" i="2"/>
  <c r="G69" i="2"/>
  <c r="H69" i="2"/>
  <c r="I69" i="2"/>
  <c r="J69" i="2"/>
  <c r="D70" i="2"/>
  <c r="E70" i="2"/>
  <c r="F70" i="2"/>
  <c r="G70" i="2"/>
  <c r="H70" i="2"/>
  <c r="I70" i="2"/>
  <c r="J70" i="2"/>
  <c r="D71" i="2"/>
  <c r="E71" i="2"/>
  <c r="F71" i="2"/>
  <c r="G71" i="2"/>
  <c r="H71" i="2"/>
  <c r="I71" i="2"/>
  <c r="J71" i="2"/>
  <c r="D72" i="2"/>
  <c r="E72" i="2"/>
  <c r="F72" i="2"/>
  <c r="G72" i="2"/>
  <c r="H72" i="2"/>
  <c r="I72" i="2"/>
  <c r="J72" i="2"/>
  <c r="D73" i="2"/>
  <c r="E73" i="2"/>
  <c r="F73" i="2"/>
  <c r="G73" i="2"/>
  <c r="H73" i="2"/>
  <c r="I73" i="2"/>
  <c r="J73" i="2"/>
  <c r="D74" i="2"/>
  <c r="E74" i="2"/>
  <c r="F74" i="2"/>
  <c r="G74" i="2"/>
  <c r="H74" i="2"/>
  <c r="I74" i="2"/>
  <c r="J74" i="2"/>
  <c r="D75" i="2"/>
  <c r="E75" i="2"/>
  <c r="F75" i="2"/>
  <c r="G75" i="2"/>
  <c r="H75" i="2"/>
  <c r="I75" i="2"/>
  <c r="J75" i="2"/>
  <c r="D76" i="2"/>
  <c r="E76" i="2"/>
  <c r="F76" i="2"/>
  <c r="G76" i="2"/>
  <c r="H76" i="2"/>
  <c r="I76" i="2"/>
  <c r="J76" i="2"/>
  <c r="D77" i="2"/>
  <c r="E77" i="2"/>
  <c r="F77" i="2"/>
  <c r="G77" i="2"/>
  <c r="H77" i="2"/>
  <c r="I77" i="2"/>
  <c r="J77" i="2"/>
  <c r="D78" i="2"/>
  <c r="E78" i="2"/>
  <c r="F78" i="2"/>
  <c r="G78" i="2"/>
  <c r="H78" i="2"/>
  <c r="I78" i="2"/>
  <c r="J78" i="2"/>
  <c r="D79" i="2"/>
  <c r="E79" i="2"/>
  <c r="F79" i="2"/>
  <c r="G79" i="2"/>
  <c r="H79" i="2"/>
  <c r="I79" i="2"/>
  <c r="J79" i="2"/>
  <c r="E64" i="2"/>
  <c r="F64" i="2"/>
  <c r="G64" i="2"/>
  <c r="H64" i="2"/>
  <c r="I64" i="2"/>
  <c r="J64" i="2"/>
  <c r="D64" i="2"/>
  <c r="K53" i="3"/>
  <c r="L48" i="2"/>
  <c r="N44" i="13"/>
  <c r="M44" i="13"/>
  <c r="M32" i="13"/>
  <c r="M20" i="13"/>
  <c r="F49" i="8"/>
  <c r="E49" i="8"/>
  <c r="D49" i="8"/>
  <c r="C52" i="8"/>
  <c r="C55" i="8"/>
  <c r="C34" i="8"/>
  <c r="C28" i="8"/>
  <c r="C51" i="8"/>
  <c r="D40" i="8"/>
  <c r="D16" i="8"/>
  <c r="E16" i="8"/>
  <c r="F16" i="8"/>
  <c r="G16" i="8"/>
  <c r="H16" i="8"/>
  <c r="I16" i="8"/>
  <c r="C54" i="8"/>
  <c r="T39" i="2"/>
  <c r="T40" i="2"/>
  <c r="T37" i="2"/>
  <c r="T31" i="2"/>
  <c r="N20" i="13"/>
  <c r="M9" i="13"/>
  <c r="N32" i="13"/>
  <c r="C50" i="8"/>
  <c r="C56" i="8"/>
  <c r="C4" i="11"/>
  <c r="M15" i="13"/>
  <c r="M14" i="13"/>
  <c r="M13" i="13"/>
  <c r="M12" i="13"/>
  <c r="D4" i="11"/>
  <c r="N15" i="13"/>
  <c r="N14" i="13"/>
  <c r="N13" i="13"/>
  <c r="N12" i="13"/>
  <c r="O44" i="13"/>
  <c r="N9" i="13"/>
  <c r="O12" i="13"/>
  <c r="O20" i="13"/>
  <c r="O32" i="13"/>
  <c r="N48" i="2"/>
  <c r="N52" i="2"/>
  <c r="N56" i="2"/>
  <c r="N51" i="2"/>
  <c r="N50" i="2"/>
  <c r="N58" i="2"/>
  <c r="M50" i="2"/>
  <c r="M58" i="2"/>
  <c r="M51" i="2"/>
  <c r="M52" i="2"/>
  <c r="M56" i="2"/>
  <c r="M48" i="2"/>
  <c r="N47" i="2"/>
  <c r="M45" i="2"/>
  <c r="O9" i="13"/>
  <c r="E4" i="11"/>
  <c r="O13" i="13"/>
  <c r="O15" i="13"/>
  <c r="O14" i="13"/>
  <c r="P12" i="13"/>
  <c r="P20" i="13"/>
  <c r="P32" i="13"/>
  <c r="P44" i="13"/>
  <c r="M47" i="2"/>
  <c r="O51" i="2"/>
  <c r="O48" i="2"/>
  <c r="O52" i="2"/>
  <c r="O56" i="2"/>
  <c r="O50" i="2"/>
  <c r="O58" i="2"/>
  <c r="N46" i="2"/>
  <c r="N45" i="2"/>
  <c r="O47" i="2"/>
  <c r="P9" i="13"/>
  <c r="F4" i="11"/>
  <c r="P13" i="13"/>
  <c r="P14" i="13"/>
  <c r="P15" i="13"/>
  <c r="R32" i="13"/>
  <c r="Q32" i="13"/>
  <c r="Q12" i="13"/>
  <c r="Q20" i="13"/>
  <c r="R44" i="13"/>
  <c r="Q44" i="13"/>
  <c r="P48" i="2"/>
  <c r="P52" i="2"/>
  <c r="P56" i="2"/>
  <c r="P51" i="2"/>
  <c r="P50" i="2"/>
  <c r="P58" i="2"/>
  <c r="O45" i="2"/>
  <c r="M46" i="2"/>
  <c r="Q9" i="13"/>
  <c r="Q14" i="13"/>
  <c r="Q13" i="13"/>
  <c r="Q15" i="13"/>
  <c r="G4" i="11"/>
  <c r="R20" i="13"/>
  <c r="R12" i="13"/>
  <c r="O46" i="2"/>
  <c r="Q48" i="2"/>
  <c r="Q52" i="2"/>
  <c r="Q56" i="2"/>
  <c r="Q51" i="2"/>
  <c r="Q50" i="2"/>
  <c r="Q58" i="2"/>
  <c r="P45" i="2"/>
  <c r="M49" i="2"/>
  <c r="N49" i="2"/>
  <c r="R9" i="13"/>
  <c r="R15" i="13"/>
  <c r="H4" i="11"/>
  <c r="R13" i="13"/>
  <c r="R14" i="13"/>
  <c r="N53" i="2"/>
  <c r="Q45" i="2"/>
  <c r="M53" i="2"/>
  <c r="R46" i="2"/>
  <c r="R50" i="2"/>
  <c r="R51" i="2"/>
  <c r="R48" i="2"/>
  <c r="R52" i="2"/>
  <c r="R56" i="2"/>
  <c r="R58" i="2"/>
  <c r="Q47" i="2"/>
  <c r="P46" i="2"/>
  <c r="O49" i="2"/>
  <c r="M54" i="2"/>
  <c r="N54" i="2"/>
  <c r="P49" i="2"/>
  <c r="O53" i="2"/>
  <c r="Q46" i="2"/>
  <c r="R45" i="2"/>
  <c r="Q49" i="2"/>
  <c r="O54" i="2"/>
  <c r="N55" i="2"/>
  <c r="R49" i="2"/>
  <c r="P53" i="2"/>
  <c r="M55" i="2"/>
  <c r="N57" i="2"/>
  <c r="C5" i="11"/>
  <c r="M57" i="2"/>
  <c r="P54" i="2"/>
  <c r="O55" i="2"/>
  <c r="R53" i="2"/>
  <c r="Q53" i="2"/>
  <c r="D5" i="11"/>
  <c r="P55" i="2"/>
  <c r="M59" i="2"/>
  <c r="N59" i="2"/>
  <c r="O57" i="2"/>
  <c r="Q54" i="2"/>
  <c r="R54" i="2"/>
  <c r="M24" i="3"/>
  <c r="M30" i="3"/>
  <c r="E5" i="11"/>
  <c r="R55" i="2"/>
  <c r="L67" i="3"/>
  <c r="Q55" i="2"/>
  <c r="O59" i="2"/>
  <c r="P57" i="2"/>
  <c r="D6" i="11"/>
  <c r="F5" i="11"/>
  <c r="M63" i="3"/>
  <c r="M67" i="3"/>
  <c r="L36" i="3"/>
  <c r="L38" i="3"/>
  <c r="L40" i="3"/>
  <c r="L24" i="3"/>
  <c r="P59" i="2"/>
  <c r="N24" i="3"/>
  <c r="N30" i="3"/>
  <c r="Q57" i="2"/>
  <c r="R57" i="2"/>
  <c r="G5" i="11"/>
  <c r="E6" i="11"/>
  <c r="H5" i="11"/>
  <c r="L30" i="3"/>
  <c r="L41" i="3"/>
  <c r="Q59" i="2"/>
  <c r="R59" i="2"/>
  <c r="M36" i="3"/>
  <c r="M38" i="3"/>
  <c r="M40" i="3"/>
  <c r="M41" i="3"/>
  <c r="N63" i="3"/>
  <c r="N67" i="3"/>
  <c r="P24" i="3"/>
  <c r="P30" i="3"/>
  <c r="O24" i="3"/>
  <c r="O30" i="3"/>
  <c r="C6" i="11"/>
  <c r="F6" i="11"/>
  <c r="Q24" i="3"/>
  <c r="O63" i="3"/>
  <c r="O67" i="3"/>
  <c r="N36" i="3"/>
  <c r="N38" i="3"/>
  <c r="N40" i="3"/>
  <c r="N41" i="3"/>
  <c r="C51" i="5"/>
  <c r="D41" i="8"/>
  <c r="G6" i="11"/>
  <c r="P63" i="3"/>
  <c r="P67" i="3"/>
  <c r="O36" i="3"/>
  <c r="O38" i="3"/>
  <c r="O40" i="3"/>
  <c r="O41" i="3"/>
  <c r="D51" i="5"/>
  <c r="Q30" i="3"/>
  <c r="H6" i="11"/>
  <c r="P36" i="3"/>
  <c r="P38" i="3"/>
  <c r="P40" i="3"/>
  <c r="P41" i="3"/>
  <c r="Q63" i="3"/>
  <c r="Q67" i="3"/>
  <c r="Q36" i="3"/>
  <c r="Q38" i="3"/>
  <c r="Q40" i="3"/>
  <c r="Q41" i="3"/>
  <c r="E51" i="5"/>
  <c r="F51" i="5"/>
  <c r="H51" i="5"/>
  <c r="G51" i="5"/>
  <c r="C10" i="8"/>
  <c r="J10" i="8"/>
  <c r="C15" i="15"/>
  <c r="C16" i="15"/>
  <c r="C12" i="15"/>
  <c r="C49" i="8"/>
  <c r="D18" i="8"/>
  <c r="E18" i="8"/>
  <c r="F18" i="8"/>
  <c r="G18" i="8"/>
  <c r="H18" i="8"/>
  <c r="I18" i="8"/>
  <c r="C22" i="8"/>
  <c r="C23" i="8"/>
  <c r="C24" i="8"/>
  <c r="C25" i="8"/>
  <c r="C27" i="8"/>
  <c r="C9" i="8"/>
  <c r="J9" i="8"/>
  <c r="C14" i="15"/>
  <c r="C11" i="15"/>
  <c r="C7" i="11"/>
  <c r="D42" i="8"/>
  <c r="C1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tc={5780E7B7-C9F5-2F4D-94C2-603CC04B6865}</author>
    <author>tc={92D05C6D-3BBF-6D4E-95E5-C97407AF9A48}</author>
  </authors>
  <commentList>
    <comment ref="E17" authorId="0" shapeId="0" xr:uid="{5780E7B7-C9F5-2F4D-94C2-603CC04B6865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to FY2025 Value</t>
      </text>
    </comment>
    <comment ref="E31" authorId="1" shapeId="0" xr:uid="{92D05C6D-3BBF-6D4E-95E5-C97407AF9A48}">
      <text>
        <t>[Threaded comment]
Your version of Excel allows you to read this threaded comment; however, any edits to it will get removed if the file is opened in a newer version of Excel. Learn more: https://go.microsoft.com/fwlink/?linkid=870924
Comment:
    More weight given to historic beta as the forward beta seems uncharacteristically high.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tc={312CD9CC-D0A5-E145-95D0-FA1D73018247}</author>
    <author>tc={C6573625-C51D-4A4A-8A14-E8DCD5C8A3FB}</author>
  </authors>
  <commentList>
    <comment ref="B62" authorId="0" shapeId="0" xr:uid="{312CD9CC-D0A5-E145-95D0-FA1D7301824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D&amp;E Markets comprise Eastern Europe, the Middle East and Africa, Latin America and Asia-Pacific, excluding Australia and South Korea
</t>
      </text>
    </comment>
    <comment ref="B63" authorId="1" shapeId="0" xr:uid="{C6573625-C51D-4A4A-8A14-E8DCD5C8A3FB}">
      <text>
        <t>[Threaded comment]
Your version of Excel allows you to read this threaded comment; however, any edits to it will get removed if the file is opened in a newer version of Excel. Learn more: https://go.microsoft.com/fwlink/?linkid=870924
Comment:
    Developed Markets consist of Western and Central Europe, Australia and South Korea.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tc={7FB13636-7A4D-2743-A897-BAC2636935A8}</author>
    <author>tc={58E0B062-6D40-C745-B674-407EB9526C83}</author>
    <author>tc={B0656247-C56C-1D41-9A81-ABB2243935A1}</author>
    <author>tc={1097AB0C-831A-0D4B-9332-F751B8BAC2C2}</author>
    <author>tc={B136F389-598A-E443-9D29-AC8991CA174D}</author>
    <author>tc={6AC9C974-3AC7-5D4A-B283-6CCFEAE0BF9E}</author>
  </authors>
  <commentList>
    <comment ref="J15" authorId="0" shapeId="0" xr:uid="{7FB13636-7A4D-2743-A897-BAC2636935A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explanation details shared on 10K. Only mentioned as earned from non earning securities.</t>
      </text>
    </comment>
    <comment ref="M33" authorId="1" shapeId="0" xr:uid="{58E0B062-6D40-C745-B674-407EB9526C83}">
      <text>
        <t>[Threaded comment]
Your version of Excel allows you to read this threaded comment; however, any edits to it will get removed if the file is opened in a newer version of Excel. Learn more: https://go.microsoft.com/fwlink/?linkid=870924
Comment:
    Q3 Cogs percentage</t>
      </text>
    </comment>
    <comment ref="N33" authorId="2" shapeId="0" xr:uid="{B0656247-C56C-1D41-9A81-ABB2243935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Decresed as they have been implementing cost cutting measures all around the company. Futhermore the cogs were recently higher due to lingering covid effects.
There was also a new operating model implemented link - https://www.nasdaq.com/articles/kimberly-clark-announces-new-operating-model-to-incur-approx.-$1.5-bln-in-reorganization
</t>
      </text>
    </comment>
    <comment ref="N35" authorId="3" shapeId="0" xr:uid="{1097AB0C-831A-0D4B-9332-F751B8BAC2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Due to their decrease in Volume. It’s important for them to keep Adv high
</t>
      </text>
    </comment>
    <comment ref="N37" authorId="4" shapeId="0" xr:uid="{B136F389-598A-E443-9D29-AC8991CA174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have been focusing on cost cutting measures and hence I kept SGA a bit lower</t>
      </text>
    </comment>
    <comment ref="S40" authorId="5" shapeId="0" xr:uid="{6AC9C974-3AC7-5D4A-B283-6CCFEAE0BF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Guidance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<sst xmlns="http://schemas.openxmlformats.org/spreadsheetml/2006/main" count="3060" uniqueCount="1610">
  <si>
    <t>12 Months Ended</t>
  </si>
  <si>
    <t>Dec. 31, 2023</t>
  </si>
  <si>
    <t>Dec. 31, 2022</t>
  </si>
  <si>
    <t>Dec. 31, 2021</t>
  </si>
  <si>
    <t> </t>
  </si>
  <si>
    <t>Net Sales</t>
  </si>
  <si>
    <t>Cost of products sold</t>
  </si>
  <si>
    <t>Gross Profit</t>
  </si>
  <si>
    <t>Marketing, research and general expenses</t>
  </si>
  <si>
    <t>Other (income) and expense, net</t>
  </si>
  <si>
    <t>Operating Profit</t>
  </si>
  <si>
    <t>Nonoperating expense</t>
  </si>
  <si>
    <t>Interest income</t>
  </si>
  <si>
    <t>Interest expense</t>
  </si>
  <si>
    <t>Income Before Income Taxes and Equity Interests</t>
  </si>
  <si>
    <t>Provision for income taxes</t>
  </si>
  <si>
    <t>Income Before Equity Interests</t>
  </si>
  <si>
    <t>Share of net income of equity companies</t>
  </si>
  <si>
    <t>Net income</t>
  </si>
  <si>
    <t>Net income attributable to noncontrolling interests</t>
  </si>
  <si>
    <t>Net Income Attributable to Kimberly-Clark Corporation</t>
  </si>
  <si>
    <t>Earnings Per Share [Abstract]</t>
  </si>
  <si>
    <t>Basic</t>
  </si>
  <si>
    <t>Diluted</t>
  </si>
  <si>
    <t>Impairment of Intangible Assets (Excluding Goodwill)</t>
  </si>
  <si>
    <t>Current Assets</t>
  </si>
  <si>
    <t>Cash and cash equivalents</t>
  </si>
  <si>
    <t>Accounts receivable, net</t>
  </si>
  <si>
    <t>Inventories</t>
  </si>
  <si>
    <t>Other current assets</t>
  </si>
  <si>
    <t>Total Current Assets</t>
  </si>
  <si>
    <t>Property, Plant and Equipment, Net</t>
  </si>
  <si>
    <t>Investments in Equity Companies</t>
  </si>
  <si>
    <t>Goodwill</t>
  </si>
  <si>
    <t>Intangible Assets, Net (Excluding Goodwill)</t>
  </si>
  <si>
    <t>Other Assets</t>
  </si>
  <si>
    <t>TOTAL ASSETS</t>
  </si>
  <si>
    <t>Current Liabilities</t>
  </si>
  <si>
    <t>Debt payable within one year</t>
  </si>
  <si>
    <t>Trade accounts payable</t>
  </si>
  <si>
    <t>Accrued expenses and other current liabilities</t>
  </si>
  <si>
    <t>Dividends payable</t>
  </si>
  <si>
    <t>Total Current Liabilities</t>
  </si>
  <si>
    <t>Long-Term Debt</t>
  </si>
  <si>
    <t>Noncurrent Employee Benefits</t>
  </si>
  <si>
    <t>Deferred Income Tax Liabilities, Net</t>
  </si>
  <si>
    <t>Other Liabilities</t>
  </si>
  <si>
    <t>Redeemable Common and Preferred Securities of Subsidiaries</t>
  </si>
  <si>
    <t>Preferred stock, par value per share</t>
  </si>
  <si>
    <t>Preferred stock, shares issued</t>
  </si>
  <si>
    <t>Preferred stock, shares authorized</t>
  </si>
  <si>
    <t>Common stock, shares authorized</t>
  </si>
  <si>
    <t>Common stock, shares issued</t>
  </si>
  <si>
    <t>Common stock, par value per share</t>
  </si>
  <si>
    <t>Stockholders' Equity</t>
  </si>
  <si>
    <t>Common stock - $1.25 par value - authorized 1.2 billion shares; issued 378.6 million shares at December 31, 2023 and 2022</t>
  </si>
  <si>
    <t>Additional paid-in capital</t>
  </si>
  <si>
    <t>Treasury Stock, Common, Shares</t>
  </si>
  <si>
    <t>Common stock held in treasury, at cost - 41.6 and 41.1 million shares at December 31, 2023 and 2022, respectively</t>
  </si>
  <si>
    <t>Retained earnings</t>
  </si>
  <si>
    <t>Accumulated other comprehensive income (loss)</t>
  </si>
  <si>
    <t>Total Kimberly-Clark Corporation Stockholders' Equity</t>
  </si>
  <si>
    <t>Noncontrolling Interests</t>
  </si>
  <si>
    <t>Total Stockholders' Equity</t>
  </si>
  <si>
    <t>TOTAL LIABILITIES AND STOCKHOLDERS' EQUITY</t>
  </si>
  <si>
    <t>Dec. 31, 2020</t>
  </si>
  <si>
    <t>Dec. 31, 2019</t>
  </si>
  <si>
    <t>Consolidated Cash Flow Statement - USD ($) $ in Millions</t>
  </si>
  <si>
    <t>Operating Activities</t>
  </si>
  <si>
    <t>Depreciation and amortization</t>
  </si>
  <si>
    <t>Asset Impairments</t>
  </si>
  <si>
    <t>Business Combination, Step Acquisition, Equity Interest in Acquiree, Remeasurement Gain</t>
  </si>
  <si>
    <t>Stock-based compensation</t>
  </si>
  <si>
    <t>Deferred income taxes</t>
  </si>
  <si>
    <t>Net (gains) losses on asset dispositions</t>
  </si>
  <si>
    <t>Equity companies' earnings (in excess of) less than dividends paid</t>
  </si>
  <si>
    <t>Operating working capital</t>
  </si>
  <si>
    <t>Postretirement benefits</t>
  </si>
  <si>
    <t>Other</t>
  </si>
  <si>
    <t>Cash Provided by Operations</t>
  </si>
  <si>
    <t>Investing Activities</t>
  </si>
  <si>
    <t>Capital spending</t>
  </si>
  <si>
    <t>Payments to Acquire Businesses, Net of Cash Acquired</t>
  </si>
  <si>
    <t>Proceeds from dispositions of property</t>
  </si>
  <si>
    <t>Investments in time deposits</t>
  </si>
  <si>
    <t>Maturities of time deposits</t>
  </si>
  <si>
    <t>Cash Used for Investing</t>
  </si>
  <si>
    <t>Financing Activities</t>
  </si>
  <si>
    <t>Cash dividends paid</t>
  </si>
  <si>
    <t>Change in short-term debt</t>
  </si>
  <si>
    <t>Debt proceeds</t>
  </si>
  <si>
    <t>Debt repayments</t>
  </si>
  <si>
    <t>Proceeds from exercise of stock options</t>
  </si>
  <si>
    <t>Acquisitions of common stock for the treasury</t>
  </si>
  <si>
    <t>Payments to Noncontrolling Interests</t>
  </si>
  <si>
    <t>Cash Used for Financing</t>
  </si>
  <si>
    <t>Effect of Exchange Rate on Cash, Cash Equivalents, Restricted Cash, and Restricted Cash Equivalents, Continuing Operations</t>
  </si>
  <si>
    <t>Payments of Ordinary Dividends [Abstract]</t>
  </si>
  <si>
    <t>Payments of Ordinary Dividends, Noncontrolling Interest</t>
  </si>
  <si>
    <t>Cash, Cash Equivalents, Restricted Cash, and Restricted Cash Equivalents, Period Increase (Decrease), Including Exchange Rate Effect [Abstract]</t>
  </si>
  <si>
    <t>Change in Cash and Cash Equivalents</t>
  </si>
  <si>
    <t>Cash, Cash Equivalents, Restricted Cash, and Restricted Cash Equivalents</t>
  </si>
  <si>
    <t>Dec. 31, 2018</t>
  </si>
  <si>
    <t>Dec. 31, 2017</t>
  </si>
  <si>
    <t>Dec. 31, 2016</t>
  </si>
  <si>
    <t>Personal Care</t>
  </si>
  <si>
    <t>Volume</t>
  </si>
  <si>
    <t>Net Price</t>
  </si>
  <si>
    <t>Mix/Other</t>
  </si>
  <si>
    <t>Currency</t>
  </si>
  <si>
    <t>Total Personal Care</t>
  </si>
  <si>
    <t>North America</t>
  </si>
  <si>
    <t>D&amp;E Markets</t>
  </si>
  <si>
    <t>Developed Markets</t>
  </si>
  <si>
    <t>Currency Translation</t>
  </si>
  <si>
    <t>Total</t>
  </si>
  <si>
    <t>-</t>
  </si>
  <si>
    <t>Consumer Tissue</t>
  </si>
  <si>
    <t>Total Consumer Tissue</t>
  </si>
  <si>
    <t>K-C Professional</t>
  </si>
  <si>
    <t>Total K-C Professional</t>
  </si>
  <si>
    <t>Weighted-</t>
  </si>
  <si>
    <t>Average</t>
  </si>
  <si>
    <t>Notes and debentures</t>
  </si>
  <si>
    <t>Industrial development revenue bonds</t>
  </si>
  <si>
    <t>Bank loans and other financings in various currencies</t>
  </si>
  <si>
    <t>Total long-term debt</t>
  </si>
  <si>
    <t>Less current portion</t>
  </si>
  <si>
    <t>Long-term portion</t>
  </si>
  <si>
    <t>Maturities</t>
  </si>
  <si>
    <t>2024 - 2050</t>
  </si>
  <si>
    <t>2024 - 2039</t>
  </si>
  <si>
    <t>Average Interest</t>
  </si>
  <si>
    <t>Rate</t>
  </si>
  <si>
    <t>2024 - 2051</t>
  </si>
  <si>
    <t>Acquisition</t>
  </si>
  <si>
    <t>Total Revenue</t>
  </si>
  <si>
    <t>Corporate and Other</t>
  </si>
  <si>
    <t>Price</t>
  </si>
  <si>
    <t>NetPrice</t>
  </si>
  <si>
    <t>K-CProfessional</t>
  </si>
  <si>
    <t>NetSales</t>
  </si>
  <si>
    <t>PersonalCare</t>
  </si>
  <si>
    <t>ConsumerTissue</t>
  </si>
  <si>
    <t>Totalmaynotequalthesumofvolume,netprice,mix/otherandcurrencyduetorounding.</t>
  </si>
  <si>
    <t>Totalmaynote</t>
  </si>
  <si>
    <t>Totalmaynotequalthesum</t>
  </si>
  <si>
    <t>Totalmay</t>
  </si>
  <si>
    <t>Totalmaynot</t>
  </si>
  <si>
    <t>PercentChange</t>
  </si>
  <si>
    <t>2022vs.2021</t>
  </si>
  <si>
    <t>2021vs.2020</t>
  </si>
  <si>
    <t>2020vs.2019</t>
  </si>
  <si>
    <t>2019vs.2018</t>
  </si>
  <si>
    <t>2018vs.2017</t>
  </si>
  <si>
    <t>OperatingProfit</t>
  </si>
  <si>
    <t>2017vs.2016</t>
  </si>
  <si>
    <t>InputCosts</t>
  </si>
  <si>
    <t>CurrencyTranslation</t>
  </si>
  <si>
    <t>PercentChangeinNetSales</t>
  </si>
  <si>
    <t>2023vs.2022</t>
  </si>
  <si>
    <t>TotalPersonalCare</t>
  </si>
  <si>
    <t>NorthAmerica</t>
  </si>
  <si>
    <t>D&amp;EMarkets</t>
  </si>
  <si>
    <t>DevelopedMarkets</t>
  </si>
  <si>
    <t>PercentChangein</t>
  </si>
  <si>
    <t>Twelvemonthsended</t>
  </si>
  <si>
    <t>TotalConsumerTissue</t>
  </si>
  <si>
    <t>% change in Total</t>
  </si>
  <si>
    <t>Exited Business</t>
  </si>
  <si>
    <t>Assumptions</t>
  </si>
  <si>
    <t>Common Size</t>
  </si>
  <si>
    <t>YOY Growth</t>
  </si>
  <si>
    <t>COGS</t>
  </si>
  <si>
    <t>% of Revenue</t>
  </si>
  <si>
    <t>Interest Expense</t>
  </si>
  <si>
    <t>Tax</t>
  </si>
  <si>
    <t>Tax rate</t>
  </si>
  <si>
    <t>2024E</t>
  </si>
  <si>
    <t>2025E</t>
  </si>
  <si>
    <t>2026E</t>
  </si>
  <si>
    <t>2027E</t>
  </si>
  <si>
    <t>2028E</t>
  </si>
  <si>
    <t>2029E</t>
  </si>
  <si>
    <t>Sep. 30, 2024</t>
  </si>
  <si>
    <t>Sep. 30, 2023</t>
  </si>
  <si>
    <t>Divestitures and Business Exits</t>
  </si>
  <si>
    <t>2023Q3</t>
  </si>
  <si>
    <t>2024Q3</t>
  </si>
  <si>
    <t>Share count</t>
  </si>
  <si>
    <t>Cost of Equity</t>
  </si>
  <si>
    <t>Today</t>
  </si>
  <si>
    <t>Number of Shares</t>
  </si>
  <si>
    <t>One year</t>
  </si>
  <si>
    <t>Two year</t>
  </si>
  <si>
    <t>Actual Price:</t>
  </si>
  <si>
    <t>Price Appreciation</t>
  </si>
  <si>
    <t>Model Valuation:</t>
  </si>
  <si>
    <t>Model 12 Month Price Target:</t>
  </si>
  <si>
    <t>Price Appreciation (12 month)</t>
  </si>
  <si>
    <t>Model Current Valuation with Sensitivity of Ke</t>
  </si>
  <si>
    <t>Time period (years)</t>
  </si>
  <si>
    <t>Nominal FCFE:</t>
  </si>
  <si>
    <t>PV FCFE:</t>
  </si>
  <si>
    <t>Terminal Growth Rate</t>
  </si>
  <si>
    <t>Terminal Value in 2030</t>
  </si>
  <si>
    <t>PV of Terminal Value</t>
  </si>
  <si>
    <t>Total PV:</t>
  </si>
  <si>
    <t>Valuation per Share ($):</t>
  </si>
  <si>
    <t>Beta</t>
  </si>
  <si>
    <t>Growth step</t>
  </si>
  <si>
    <t>Ke step</t>
  </si>
  <si>
    <t>Cost Of Equity Ke</t>
  </si>
  <si>
    <t>Model 12 Month Price Target with Sensitivity of Ke</t>
  </si>
  <si>
    <t>Time period</t>
  </si>
  <si>
    <t>Company Name:</t>
  </si>
  <si>
    <t>Company Ticker:</t>
  </si>
  <si>
    <t>S&amp;P 500 Data</t>
  </si>
  <si>
    <t>Source</t>
  </si>
  <si>
    <t>S&amp;P500 Forward P/E</t>
  </si>
  <si>
    <t>WSJ</t>
  </si>
  <si>
    <t>Yahoo!Finance</t>
  </si>
  <si>
    <t>https://www.cnbc.com/quotes/US10Y</t>
  </si>
  <si>
    <t>Calculation</t>
  </si>
  <si>
    <t>Forward Beta Calculation:</t>
  </si>
  <si>
    <t>Current Price (P)</t>
  </si>
  <si>
    <t>Forward EPS (E)</t>
  </si>
  <si>
    <t>Forward P/E Ratio</t>
  </si>
  <si>
    <t>Projected EPS growth rate (g)</t>
  </si>
  <si>
    <t>Implied required return on equity (Re)</t>
  </si>
  <si>
    <t xml:space="preserve"> </t>
  </si>
  <si>
    <t>Forward (Bf)</t>
  </si>
  <si>
    <t>Historic (Bh)</t>
  </si>
  <si>
    <t>Cost of Equity:</t>
  </si>
  <si>
    <t>Historic equity risk premium</t>
  </si>
  <si>
    <t>Damodaran/Mayer Fund</t>
  </si>
  <si>
    <t>Using Forward Beta</t>
  </si>
  <si>
    <t>Using Comps Beta</t>
  </si>
  <si>
    <t>Using Historic Beta</t>
  </si>
  <si>
    <t>Weighted-Average Beta</t>
  </si>
  <si>
    <t>Weighted COE</t>
  </si>
  <si>
    <t>Market COE (beta = 1)</t>
  </si>
  <si>
    <t>% of Rev</t>
  </si>
  <si>
    <t>% of cogs</t>
  </si>
  <si>
    <t>Capex as % of Rev</t>
  </si>
  <si>
    <t>Constant</t>
  </si>
  <si>
    <t>% of Expenses</t>
  </si>
  <si>
    <t>% of SGA</t>
  </si>
  <si>
    <t xml:space="preserve">Constant </t>
  </si>
  <si>
    <t>const</t>
  </si>
  <si>
    <t>NI - Dividends - Stock Repurchasse</t>
  </si>
  <si>
    <t>Acccumulated Depriciation</t>
  </si>
  <si>
    <t>Kimberly-Clark Corporation</t>
  </si>
  <si>
    <t>KMB</t>
  </si>
  <si>
    <t>Total-a</t>
  </si>
  <si>
    <t>Organic-b</t>
  </si>
  <si>
    <t>CostSavings-c</t>
  </si>
  <si>
    <t>Other-d</t>
  </si>
  <si>
    <t>ExitedBusiness-e</t>
  </si>
  <si>
    <t>-aTotalmaynotequalthesumofv</t>
  </si>
  <si>
    <t>Acquisition/ExitedBusinesses-e</t>
  </si>
  <si>
    <t>-a</t>
  </si>
  <si>
    <t>ExitedBusinesses-e</t>
  </si>
  <si>
    <t>Totala</t>
  </si>
  <si>
    <t>Organicb</t>
  </si>
  <si>
    <t>Acqusitions</t>
  </si>
  <si>
    <t>Organic</t>
  </si>
  <si>
    <t>Exited Business/Acquisition</t>
  </si>
  <si>
    <t>USD</t>
  </si>
  <si>
    <t>COMPARABLE COMPANY ANALYSIS</t>
  </si>
  <si>
    <t>COMPANY DATA</t>
  </si>
  <si>
    <t>(in millions)</t>
  </si>
  <si>
    <t>Recent</t>
  </si>
  <si>
    <t>52 week</t>
  </si>
  <si>
    <t>Shares</t>
  </si>
  <si>
    <t>Market</t>
  </si>
  <si>
    <t>Enterprise</t>
  </si>
  <si>
    <t>Book</t>
  </si>
  <si>
    <t>WS 12-mo</t>
  </si>
  <si>
    <t>Company Name</t>
  </si>
  <si>
    <t>Ticker</t>
  </si>
  <si>
    <t>High</t>
  </si>
  <si>
    <t>Out</t>
  </si>
  <si>
    <t>Cap</t>
  </si>
  <si>
    <t>Debt</t>
  </si>
  <si>
    <t>Cash</t>
  </si>
  <si>
    <t>Value</t>
  </si>
  <si>
    <t>Price Target</t>
  </si>
  <si>
    <t>I/B/E/S  ESTIMATES</t>
  </si>
  <si>
    <t>CM</t>
  </si>
  <si>
    <t>SALES</t>
  </si>
  <si>
    <t>EPS</t>
  </si>
  <si>
    <t>EBIT</t>
  </si>
  <si>
    <t>EPS 5-yr</t>
  </si>
  <si>
    <t>Last FY</t>
  </si>
  <si>
    <t>FYR1</t>
  </si>
  <si>
    <t>FYR2</t>
  </si>
  <si>
    <t>FYR3</t>
  </si>
  <si>
    <t>Growth %</t>
  </si>
  <si>
    <t>VALUATION MULTIPLES</t>
  </si>
  <si>
    <t xml:space="preserve">Price / </t>
  </si>
  <si>
    <t>Price/Sales</t>
  </si>
  <si>
    <t>P/E</t>
  </si>
  <si>
    <t>PEG</t>
  </si>
  <si>
    <t>Median</t>
  </si>
  <si>
    <t>ws.OperatingProfitMargin[ws.cpa]</t>
  </si>
  <si>
    <t>ws.AssetTurnover[ws.cpa]</t>
  </si>
  <si>
    <t>ws.InventoryTurnover[ws.cpa]</t>
  </si>
  <si>
    <t>ws.ReceivablesTurnover[ws.cpa]</t>
  </si>
  <si>
    <t>ws.TotalDebtPctCommonEquity[ws.cpa]</t>
  </si>
  <si>
    <t>ws.LTDebtPctCommonEquity[ws.cpa]</t>
  </si>
  <si>
    <t>ws.LTDebtPctTotalCapital[ws.cpa]</t>
  </si>
  <si>
    <t>RATIO ANALYSIS</t>
  </si>
  <si>
    <t>Gross</t>
  </si>
  <si>
    <t>Operating</t>
  </si>
  <si>
    <t>Net</t>
  </si>
  <si>
    <t>Asset</t>
  </si>
  <si>
    <t>Inventory</t>
  </si>
  <si>
    <t>Receivables</t>
  </si>
  <si>
    <t>Quick</t>
  </si>
  <si>
    <t>Margin</t>
  </si>
  <si>
    <t>ROA</t>
  </si>
  <si>
    <t>ROE</t>
  </si>
  <si>
    <t>Turnvover</t>
  </si>
  <si>
    <t>Debt/E</t>
  </si>
  <si>
    <t>LTD/TC</t>
  </si>
  <si>
    <t>Ratio</t>
  </si>
  <si>
    <t/>
  </si>
  <si>
    <t>EBITDA</t>
  </si>
  <si>
    <t>EV/EBITDA</t>
  </si>
  <si>
    <t>ws.QuickRatio[ws.cpa]</t>
  </si>
  <si>
    <t>ws.CurrentRatio[ws.cpa]</t>
  </si>
  <si>
    <t>Current</t>
  </si>
  <si>
    <t>Interest</t>
  </si>
  <si>
    <t>Coverage</t>
  </si>
  <si>
    <t>CLX</t>
  </si>
  <si>
    <t>UL</t>
  </si>
  <si>
    <t>CL</t>
  </si>
  <si>
    <t>PG</t>
  </si>
  <si>
    <t>ESW.F</t>
  </si>
  <si>
    <t>Sum</t>
  </si>
  <si>
    <t>Beginning Retained Earnings</t>
  </si>
  <si>
    <t xml:space="preserve"> + Net Income</t>
  </si>
  <si>
    <t xml:space="preserve"> - Dividends</t>
  </si>
  <si>
    <t>Ending Retained Earnings</t>
  </si>
  <si>
    <t>Beginning Treasury Stock</t>
  </si>
  <si>
    <t xml:space="preserve"> = Ending Treasury Stock</t>
  </si>
  <si>
    <t>Calc Below</t>
  </si>
  <si>
    <t>From Derived CF</t>
  </si>
  <si>
    <t>Mean</t>
  </si>
  <si>
    <t>Summary of Property, Plant and Equipment, Net</t>
  </si>
  <si>
    <t>Land</t>
  </si>
  <si>
    <t>Buildings</t>
  </si>
  <si>
    <t>Machinery and equipment</t>
  </si>
  <si>
    <t>Construction in progress</t>
  </si>
  <si>
    <t>Less accumulated depreciation</t>
  </si>
  <si>
    <t>% of Cogs</t>
  </si>
  <si>
    <t>Dividend payout ratio</t>
  </si>
  <si>
    <t>% of Dividends</t>
  </si>
  <si>
    <t>PPE GROSS</t>
  </si>
  <si>
    <t>Property, Plant and Equipment, net</t>
  </si>
  <si>
    <t>PPE, gross</t>
  </si>
  <si>
    <t>Accumulated Depriciation</t>
  </si>
  <si>
    <t>Flat</t>
  </si>
  <si>
    <t>% of Pre Tax Income</t>
  </si>
  <si>
    <t>Net Income</t>
  </si>
  <si>
    <t>Dividends</t>
  </si>
  <si>
    <t>FCF</t>
  </si>
  <si>
    <t>Cash at Beginning</t>
  </si>
  <si>
    <t>Cash at End</t>
  </si>
  <si>
    <t>Balance Sheet Check</t>
  </si>
  <si>
    <t>Correlations</t>
  </si>
  <si>
    <t>ACI</t>
  </si>
  <si>
    <t>HSY</t>
  </si>
  <si>
    <t>PEP</t>
  </si>
  <si>
    <t>STZ</t>
  </si>
  <si>
    <t>$19.38 </t>
  </si>
  <si>
    <t>$175.54 </t>
  </si>
  <si>
    <t>$163.05 </t>
  </si>
  <si>
    <t>$241.67 </t>
  </si>
  <si>
    <t>$139.14 </t>
  </si>
  <si>
    <t>$19.37 </t>
  </si>
  <si>
    <t>$174.81 </t>
  </si>
  <si>
    <t>$162.00 </t>
  </si>
  <si>
    <t>$239.66 </t>
  </si>
  <si>
    <t>$138.42 </t>
  </si>
  <si>
    <t>$19.06 </t>
  </si>
  <si>
    <t>$174.95 </t>
  </si>
  <si>
    <t>$160.34 </t>
  </si>
  <si>
    <t>$240.76 </t>
  </si>
  <si>
    <t>$137.03 </t>
  </si>
  <si>
    <t>$19.12 </t>
  </si>
  <si>
    <t>$174.00 </t>
  </si>
  <si>
    <t>$158.74 </t>
  </si>
  <si>
    <t>$239.75 </t>
  </si>
  <si>
    <t>$136.37 </t>
  </si>
  <si>
    <t>$19.27 </t>
  </si>
  <si>
    <t>$170.24 </t>
  </si>
  <si>
    <t>$156.72 </t>
  </si>
  <si>
    <t>$240.44 </t>
  </si>
  <si>
    <t>$135.61 </t>
  </si>
  <si>
    <t>$19.01 </t>
  </si>
  <si>
    <t>$169.99 </t>
  </si>
  <si>
    <t>$158.33 </t>
  </si>
  <si>
    <t>$238.06 </t>
  </si>
  <si>
    <t>$136.01 </t>
  </si>
  <si>
    <t>$18.88 </t>
  </si>
  <si>
    <t>$170.92 </t>
  </si>
  <si>
    <t>$158.62 </t>
  </si>
  <si>
    <t>$237.51 </t>
  </si>
  <si>
    <t>$134.08 </t>
  </si>
  <si>
    <t>$19.10 </t>
  </si>
  <si>
    <t>$178.94 </t>
  </si>
  <si>
    <t>$165.15 </t>
  </si>
  <si>
    <t>$242.00 </t>
  </si>
  <si>
    <t>$131.68 </t>
  </si>
  <si>
    <t>$184.45 </t>
  </si>
  <si>
    <t>$164.74 </t>
  </si>
  <si>
    <t>$240.71 </t>
  </si>
  <si>
    <t>$132.19 </t>
  </si>
  <si>
    <t>$19.52 </t>
  </si>
  <si>
    <t>$181.50 </t>
  </si>
  <si>
    <t>$164.34 </t>
  </si>
  <si>
    <t>$238.29 </t>
  </si>
  <si>
    <t>$132.14 </t>
  </si>
  <si>
    <t>$19.36 </t>
  </si>
  <si>
    <t>$178.51 </t>
  </si>
  <si>
    <t>$164.26 </t>
  </si>
  <si>
    <t>$236.20 </t>
  </si>
  <si>
    <t>$133.26 </t>
  </si>
  <si>
    <t>$19.26 </t>
  </si>
  <si>
    <t>$175.67 </t>
  </si>
  <si>
    <t>$165.11 </t>
  </si>
  <si>
    <t>$234.38 </t>
  </si>
  <si>
    <t>$133.61 </t>
  </si>
  <si>
    <t>$19.34 </t>
  </si>
  <si>
    <t>$172.85 </t>
  </si>
  <si>
    <t>$164.00 </t>
  </si>
  <si>
    <t>$233.28 </t>
  </si>
  <si>
    <t>$132.25 </t>
  </si>
  <si>
    <t>$18.85 </t>
  </si>
  <si>
    <t>$176.82 </t>
  </si>
  <si>
    <t>$164.71 </t>
  </si>
  <si>
    <t>$229.58 </t>
  </si>
  <si>
    <t>$131.64 </t>
  </si>
  <si>
    <t>$18.55 </t>
  </si>
  <si>
    <t>$180.11 </t>
  </si>
  <si>
    <t>$167.85 </t>
  </si>
  <si>
    <t>$237.15 </t>
  </si>
  <si>
    <t>$134.83 </t>
  </si>
  <si>
    <t>$18.45 </t>
  </si>
  <si>
    <t>$179.00 </t>
  </si>
  <si>
    <t>$166.34 </t>
  </si>
  <si>
    <t>$239.74 </t>
  </si>
  <si>
    <t>$133.74 </t>
  </si>
  <si>
    <t>$18.66 </t>
  </si>
  <si>
    <t>$179.26 </t>
  </si>
  <si>
    <t>$165.59 </t>
  </si>
  <si>
    <t>$232.77 </t>
  </si>
  <si>
    <t>$134.61 </t>
  </si>
  <si>
    <t>$18.10 </t>
  </si>
  <si>
    <t>$177.58 </t>
  </si>
  <si>
    <t>$166.08 </t>
  </si>
  <si>
    <t>$232.34 </t>
  </si>
  <si>
    <t>$134.18 </t>
  </si>
  <si>
    <t>$18.23 </t>
  </si>
  <si>
    <t>$177.50 </t>
  </si>
  <si>
    <t>$166.21 </t>
  </si>
  <si>
    <t>$235.47 </t>
  </si>
  <si>
    <t>$134.41 </t>
  </si>
  <si>
    <t>$18.01 </t>
  </si>
  <si>
    <t>$180.02 </t>
  </si>
  <si>
    <t>$167.50 </t>
  </si>
  <si>
    <t>$236.07 </t>
  </si>
  <si>
    <t>$134.51 </t>
  </si>
  <si>
    <t>$18.34 </t>
  </si>
  <si>
    <t>$182.85 </t>
  </si>
  <si>
    <t>$169.84 </t>
  </si>
  <si>
    <t>$135.62 </t>
  </si>
  <si>
    <t>$18.41 </t>
  </si>
  <si>
    <t>$181.26 </t>
  </si>
  <si>
    <t>$171.79 </t>
  </si>
  <si>
    <t>$239.38 </t>
  </si>
  <si>
    <t>$135.52 </t>
  </si>
  <si>
    <t>$18.77 </t>
  </si>
  <si>
    <t>$182.20 </t>
  </si>
  <si>
    <t>$172.16 </t>
  </si>
  <si>
    <t>$137.01 </t>
  </si>
  <si>
    <t>$18.94 </t>
  </si>
  <si>
    <t>$181.98 </t>
  </si>
  <si>
    <t>$172.95 </t>
  </si>
  <si>
    <t>$241.42 </t>
  </si>
  <si>
    <t>$136.89 </t>
  </si>
  <si>
    <t>$18.54 </t>
  </si>
  <si>
    <t>$183.47 </t>
  </si>
  <si>
    <t>$174.37 </t>
  </si>
  <si>
    <t>$241.61 </t>
  </si>
  <si>
    <t>$137.75 </t>
  </si>
  <si>
    <t>$18.74 </t>
  </si>
  <si>
    <t>$184.67 </t>
  </si>
  <si>
    <t>$175.01 </t>
  </si>
  <si>
    <t>$239.21 </t>
  </si>
  <si>
    <t>$144.21 </t>
  </si>
  <si>
    <t>$19.00 </t>
  </si>
  <si>
    <t>$185.68 </t>
  </si>
  <si>
    <t>$175.06 </t>
  </si>
  <si>
    <t>$241.52 </t>
  </si>
  <si>
    <t>$145.41 </t>
  </si>
  <si>
    <t>$18.43 </t>
  </si>
  <si>
    <t>$183.90 </t>
  </si>
  <si>
    <t>$174.67 </t>
  </si>
  <si>
    <t>$240.04 </t>
  </si>
  <si>
    <t>$146.09 </t>
  </si>
  <si>
    <t>$18.31 </t>
  </si>
  <si>
    <t>$184.81 </t>
  </si>
  <si>
    <t>$174.48 </t>
  </si>
  <si>
    <t>$243.59 </t>
  </si>
  <si>
    <t>$145.94 </t>
  </si>
  <si>
    <t>$184.33 </t>
  </si>
  <si>
    <t>$175.90 </t>
  </si>
  <si>
    <t>$244.07 </t>
  </si>
  <si>
    <t>$145.23 </t>
  </si>
  <si>
    <t>$18.26 </t>
  </si>
  <si>
    <t>$186.00 </t>
  </si>
  <si>
    <t>$176.10 </t>
  </si>
  <si>
    <t>$245.71 </t>
  </si>
  <si>
    <t>$143.54 </t>
  </si>
  <si>
    <t>$18.37 </t>
  </si>
  <si>
    <t>$185.98 </t>
  </si>
  <si>
    <t>$241.06 </t>
  </si>
  <si>
    <t>$142.25 </t>
  </si>
  <si>
    <t>$18.30 </t>
  </si>
  <si>
    <t>$187.57 </t>
  </si>
  <si>
    <t>$172.99 </t>
  </si>
  <si>
    <t>$239.60 </t>
  </si>
  <si>
    <t>$141.06 </t>
  </si>
  <si>
    <t>$18.44 </t>
  </si>
  <si>
    <t>$186.97 </t>
  </si>
  <si>
    <t>$172.54 </t>
  </si>
  <si>
    <t>$240.42 </t>
  </si>
  <si>
    <t>$142.18 </t>
  </si>
  <si>
    <t>$18.25 </t>
  </si>
  <si>
    <t>$187.58 </t>
  </si>
  <si>
    <t>$170.42 </t>
  </si>
  <si>
    <t>$241.13 </t>
  </si>
  <si>
    <t>$142.01 </t>
  </si>
  <si>
    <t>$187.53 </t>
  </si>
  <si>
    <t>$167.21 </t>
  </si>
  <si>
    <t>$243.07 </t>
  </si>
  <si>
    <t>$140.78 </t>
  </si>
  <si>
    <t>$18.58 </t>
  </si>
  <si>
    <t>$191.84 </t>
  </si>
  <si>
    <t>$167.97 </t>
  </si>
  <si>
    <t>$246.67 </t>
  </si>
  <si>
    <t>$140.89 </t>
  </si>
  <si>
    <t>$18.50 </t>
  </si>
  <si>
    <t>$190.99 </t>
  </si>
  <si>
    <t>$168.53 </t>
  </si>
  <si>
    <t>$243.65 </t>
  </si>
  <si>
    <t>$140.04 </t>
  </si>
  <si>
    <t>$18.56 </t>
  </si>
  <si>
    <t>$193.41 </t>
  </si>
  <si>
    <t>$169.55 </t>
  </si>
  <si>
    <t>$255.67 </t>
  </si>
  <si>
    <t>$141.76 </t>
  </si>
  <si>
    <t>$191.81 </t>
  </si>
  <si>
    <t>$171.38 </t>
  </si>
  <si>
    <t>$257.68 </t>
  </si>
  <si>
    <t>$142.41 </t>
  </si>
  <si>
    <t>$18.48 </t>
  </si>
  <si>
    <t>$191.78 </t>
  </si>
  <si>
    <t>$170.05 </t>
  </si>
  <si>
    <t>$257.69 </t>
  </si>
  <si>
    <t>$142.28 </t>
  </si>
  <si>
    <t>$18.49 </t>
  </si>
  <si>
    <t>$193.36 </t>
  </si>
  <si>
    <t>$170.00 </t>
  </si>
  <si>
    <t>$258.40 </t>
  </si>
  <si>
    <t>$142.54 </t>
  </si>
  <si>
    <t>$190.52 </t>
  </si>
  <si>
    <t>$169.69 </t>
  </si>
  <si>
    <t>$255.05 </t>
  </si>
  <si>
    <t>$191.00 </t>
  </si>
  <si>
    <t>$169.40 </t>
  </si>
  <si>
    <t>$251.90 </t>
  </si>
  <si>
    <t>$141.20 </t>
  </si>
  <si>
    <t>$18.52 </t>
  </si>
  <si>
    <t>$193.34 </t>
  </si>
  <si>
    <t>$169.92 </t>
  </si>
  <si>
    <t>$252.47 </t>
  </si>
  <si>
    <t>$141.05 </t>
  </si>
  <si>
    <t>$18.53 </t>
  </si>
  <si>
    <t>$195.14 </t>
  </si>
  <si>
    <t>$172.11 </t>
  </si>
  <si>
    <t>$254.82 </t>
  </si>
  <si>
    <t>$141.21 </t>
  </si>
  <si>
    <t>$18.67 </t>
  </si>
  <si>
    <t>$195.43 </t>
  </si>
  <si>
    <t>$171.18 </t>
  </si>
  <si>
    <t>$248.09 </t>
  </si>
  <si>
    <t>$140.75 </t>
  </si>
  <si>
    <t>$195.52 </t>
  </si>
  <si>
    <t>$174.66 </t>
  </si>
  <si>
    <t>$248.45 </t>
  </si>
  <si>
    <t>$140.10 </t>
  </si>
  <si>
    <t>$197.63 </t>
  </si>
  <si>
    <t>$175.21 </t>
  </si>
  <si>
    <t>$251.00 </t>
  </si>
  <si>
    <t>$141.14 </t>
  </si>
  <si>
    <t>$199.28 </t>
  </si>
  <si>
    <t>$176.87 </t>
  </si>
  <si>
    <t>$252.86 </t>
  </si>
  <si>
    <t>$141.66 </t>
  </si>
  <si>
    <t>$18.86 </t>
  </si>
  <si>
    <t>$200.81 </t>
  </si>
  <si>
    <t>$177.21 </t>
  </si>
  <si>
    <t>$253.65 </t>
  </si>
  <si>
    <t>$144.20 </t>
  </si>
  <si>
    <t>$200.83 </t>
  </si>
  <si>
    <t>$177.36 </t>
  </si>
  <si>
    <t>$252.57 </t>
  </si>
  <si>
    <t>$143.52 </t>
  </si>
  <si>
    <t>$198.46 </t>
  </si>
  <si>
    <t>$177.25 </t>
  </si>
  <si>
    <t>$251.71 </t>
  </si>
  <si>
    <t>$142.38 </t>
  </si>
  <si>
    <t>$198.62 </t>
  </si>
  <si>
    <t>$175.78 </t>
  </si>
  <si>
    <t>$248.79 </t>
  </si>
  <si>
    <t>$143.20 </t>
  </si>
  <si>
    <t>$18.06 </t>
  </si>
  <si>
    <t>$202.83 </t>
  </si>
  <si>
    <t>$177.81 </t>
  </si>
  <si>
    <t>$249.49 </t>
  </si>
  <si>
    <t>$146.25 </t>
  </si>
  <si>
    <t>$17.94 </t>
  </si>
  <si>
    <t>$203.25 </t>
  </si>
  <si>
    <t>$178.19 </t>
  </si>
  <si>
    <t>$250.89 </t>
  </si>
  <si>
    <t>$147.18 </t>
  </si>
  <si>
    <t>$18.47 </t>
  </si>
  <si>
    <t>$199.80 </t>
  </si>
  <si>
    <t>$177.34 </t>
  </si>
  <si>
    <t>$249.01 </t>
  </si>
  <si>
    <t>$146.91 </t>
  </si>
  <si>
    <t>$198.10 </t>
  </si>
  <si>
    <t>$179.30 </t>
  </si>
  <si>
    <t>$248.29 </t>
  </si>
  <si>
    <t>$148.05 </t>
  </si>
  <si>
    <t>$198.69 </t>
  </si>
  <si>
    <t>$178.52 </t>
  </si>
  <si>
    <t>$246.61 </t>
  </si>
  <si>
    <t>$148.35 </t>
  </si>
  <si>
    <t>$197.34 </t>
  </si>
  <si>
    <t>$177.54 </t>
  </si>
  <si>
    <t>$246.78 </t>
  </si>
  <si>
    <t>$147.35 </t>
  </si>
  <si>
    <t>$19.62 </t>
  </si>
  <si>
    <t>$193.06 </t>
  </si>
  <si>
    <t>$172.88 </t>
  </si>
  <si>
    <t>$144.66 </t>
  </si>
  <si>
    <t>$20.12 </t>
  </si>
  <si>
    <t>$191.70 </t>
  </si>
  <si>
    <t>$172.09 </t>
  </si>
  <si>
    <t>$237.97 </t>
  </si>
  <si>
    <t>$143.22 </t>
  </si>
  <si>
    <t>$20.24 </t>
  </si>
  <si>
    <t>$191.59 </t>
  </si>
  <si>
    <t>$173.92 </t>
  </si>
  <si>
    <t>$240.37 </t>
  </si>
  <si>
    <t>$143.86 </t>
  </si>
  <si>
    <t>$20.63 </t>
  </si>
  <si>
    <t>$191.13 </t>
  </si>
  <si>
    <t>$175.30 </t>
  </si>
  <si>
    <t>$239.98 </t>
  </si>
  <si>
    <t>$20.84 </t>
  </si>
  <si>
    <t>$196.41 </t>
  </si>
  <si>
    <t>$175.97 </t>
  </si>
  <si>
    <t>$243.11 </t>
  </si>
  <si>
    <t>$144.14 </t>
  </si>
  <si>
    <t>$20.93 </t>
  </si>
  <si>
    <t>$196.33 </t>
  </si>
  <si>
    <t>$175.87 </t>
  </si>
  <si>
    <t>$245.18 </t>
  </si>
  <si>
    <t>$143.61 </t>
  </si>
  <si>
    <t>$20.75 </t>
  </si>
  <si>
    <t>$195.56 </t>
  </si>
  <si>
    <t>$175.74 </t>
  </si>
  <si>
    <t>$243.70 </t>
  </si>
  <si>
    <t>$144.60 </t>
  </si>
  <si>
    <t>$20.29 </t>
  </si>
  <si>
    <t>$197.47 </t>
  </si>
  <si>
    <t>$244.74 </t>
  </si>
  <si>
    <t>$144.58 </t>
  </si>
  <si>
    <t>$197.91 </t>
  </si>
  <si>
    <t>$175.85 </t>
  </si>
  <si>
    <t>$243.05 </t>
  </si>
  <si>
    <t>$144.24 </t>
  </si>
  <si>
    <t>$20.92 </t>
  </si>
  <si>
    <t>$197.17 </t>
  </si>
  <si>
    <t>$173.82 </t>
  </si>
  <si>
    <t>$242.96 </t>
  </si>
  <si>
    <t>$143.46 </t>
  </si>
  <si>
    <t>$20.86 </t>
  </si>
  <si>
    <t>$193.49 </t>
  </si>
  <si>
    <t>$172.62 </t>
  </si>
  <si>
    <t>$245.70 </t>
  </si>
  <si>
    <t>$142.46 </t>
  </si>
  <si>
    <t>$20.47 </t>
  </si>
  <si>
    <t>$196.66 </t>
  </si>
  <si>
    <t>$172.52 </t>
  </si>
  <si>
    <t>$245.24 </t>
  </si>
  <si>
    <t>$141.78 </t>
  </si>
  <si>
    <t>$20.26 </t>
  </si>
  <si>
    <t>$200.61 </t>
  </si>
  <si>
    <t>$173.71 </t>
  </si>
  <si>
    <t>$241.08 </t>
  </si>
  <si>
    <t>$140.82 </t>
  </si>
  <si>
    <t>$19.77 </t>
  </si>
  <si>
    <t>$199.46 </t>
  </si>
  <si>
    <t>$172.37 </t>
  </si>
  <si>
    <t>$240.10 </t>
  </si>
  <si>
    <t>$138.44 </t>
  </si>
  <si>
    <t>$19.25 </t>
  </si>
  <si>
    <t>$198.67 </t>
  </si>
  <si>
    <t>$171.42 </t>
  </si>
  <si>
    <t>$238.80 </t>
  </si>
  <si>
    <t>$138.30 </t>
  </si>
  <si>
    <t>$19.51 </t>
  </si>
  <si>
    <t>$201.50 </t>
  </si>
  <si>
    <t>$172.39 </t>
  </si>
  <si>
    <t>$241.41 </t>
  </si>
  <si>
    <t>$140.32 </t>
  </si>
  <si>
    <t>$19.57 </t>
  </si>
  <si>
    <t>$202.10 </t>
  </si>
  <si>
    <t>$239.87 </t>
  </si>
  <si>
    <t>$141.25 </t>
  </si>
  <si>
    <t>$19.45 </t>
  </si>
  <si>
    <t>$199.82 </t>
  </si>
  <si>
    <t>$237.81 </t>
  </si>
  <si>
    <t>$140.02 </t>
  </si>
  <si>
    <t>$19.53 </t>
  </si>
  <si>
    <t>$199.39 </t>
  </si>
  <si>
    <t>$172.49 </t>
  </si>
  <si>
    <t>$238.52 </t>
  </si>
  <si>
    <t>$139.08 </t>
  </si>
  <si>
    <t>$19.44 </t>
  </si>
  <si>
    <t>$196.02 </t>
  </si>
  <si>
    <t>$174.04 </t>
  </si>
  <si>
    <t>$236.42 </t>
  </si>
  <si>
    <t>$137.65 </t>
  </si>
  <si>
    <t>$19.96 </t>
  </si>
  <si>
    <t>$199.08 </t>
  </si>
  <si>
    <t>$178.04 </t>
  </si>
  <si>
    <t>$246.94 </t>
  </si>
  <si>
    <t>$19.76 </t>
  </si>
  <si>
    <t>$199.62 </t>
  </si>
  <si>
    <t>$174.96 </t>
  </si>
  <si>
    <t>$245.37 </t>
  </si>
  <si>
    <t>$138.48 </t>
  </si>
  <si>
    <t>$19.83 </t>
  </si>
  <si>
    <t>$197.48 </t>
  </si>
  <si>
    <t>$172.67 </t>
  </si>
  <si>
    <t>$245.16 </t>
  </si>
  <si>
    <t>$135.05 </t>
  </si>
  <si>
    <t>$19.70 </t>
  </si>
  <si>
    <t>$193.97 </t>
  </si>
  <si>
    <t>$173.18 </t>
  </si>
  <si>
    <t>$243.30 </t>
  </si>
  <si>
    <t>$136.38 </t>
  </si>
  <si>
    <t>$19.97 </t>
  </si>
  <si>
    <t>$192.56 </t>
  </si>
  <si>
    <t>$173.21 </t>
  </si>
  <si>
    <t>$246.17 </t>
  </si>
  <si>
    <t>$140.85 </t>
  </si>
  <si>
    <t>$20.45 </t>
  </si>
  <si>
    <t>$193.53 </t>
  </si>
  <si>
    <t>$172.75 </t>
  </si>
  <si>
    <t>$253.48 </t>
  </si>
  <si>
    <t>$141.81 </t>
  </si>
  <si>
    <t>$20.38 </t>
  </si>
  <si>
    <t>$192.67 </t>
  </si>
  <si>
    <t>$171.02 </t>
  </si>
  <si>
    <t>$249.38 </t>
  </si>
  <si>
    <t>$141.07 </t>
  </si>
  <si>
    <t>$20.19 </t>
  </si>
  <si>
    <t>$192.10 </t>
  </si>
  <si>
    <t>$168.17 </t>
  </si>
  <si>
    <t>$246.88 </t>
  </si>
  <si>
    <t>$140.51 </t>
  </si>
  <si>
    <t>$20.21 </t>
  </si>
  <si>
    <t>$189.94 </t>
  </si>
  <si>
    <t>$166.28 </t>
  </si>
  <si>
    <t>$245.98 </t>
  </si>
  <si>
    <t>$135.88 </t>
  </si>
  <si>
    <t>$19.94 </t>
  </si>
  <si>
    <t>$191.29 </t>
  </si>
  <si>
    <t>$167.66 </t>
  </si>
  <si>
    <t>$243.21 </t>
  </si>
  <si>
    <t>$20.00 </t>
  </si>
  <si>
    <t>$191.15 </t>
  </si>
  <si>
    <t>$169.36 </t>
  </si>
  <si>
    <t>$245.45 </t>
  </si>
  <si>
    <t>$143.63 </t>
  </si>
  <si>
    <t>$170.37 </t>
  </si>
  <si>
    <t>$248.26 </t>
  </si>
  <si>
    <t>$144.06 </t>
  </si>
  <si>
    <t>$20.05 </t>
  </si>
  <si>
    <t>$194.00 </t>
  </si>
  <si>
    <t>$169.89 </t>
  </si>
  <si>
    <t>$248.23 </t>
  </si>
  <si>
    <t>$143.55 </t>
  </si>
  <si>
    <t>$189.97 </t>
  </si>
  <si>
    <t>$164.76 </t>
  </si>
  <si>
    <t>$188.92 </t>
  </si>
  <si>
    <t>$163.86 </t>
  </si>
  <si>
    <t>$249.53 </t>
  </si>
  <si>
    <t>$141.01 </t>
  </si>
  <si>
    <t>$19.50 </t>
  </si>
  <si>
    <t>$188.94 </t>
  </si>
  <si>
    <t>$166.38 </t>
  </si>
  <si>
    <t>$259.82 </t>
  </si>
  <si>
    <t>$141.53 </t>
  </si>
  <si>
    <t>$19.58 </t>
  </si>
  <si>
    <t>$186.79 </t>
  </si>
  <si>
    <t>$163.95 </t>
  </si>
  <si>
    <t>$259.37 </t>
  </si>
  <si>
    <t>$141.02 </t>
  </si>
  <si>
    <t>$163.59 </t>
  </si>
  <si>
    <t>$253.08 </t>
  </si>
  <si>
    <t>$140.79 </t>
  </si>
  <si>
    <t>$182.75 </t>
  </si>
  <si>
    <t>$161.90 </t>
  </si>
  <si>
    <t>$252.09 </t>
  </si>
  <si>
    <t>$139.43 </t>
  </si>
  <si>
    <t>$19.61 </t>
  </si>
  <si>
    <t>$184.76 </t>
  </si>
  <si>
    <t>$162.12 </t>
  </si>
  <si>
    <t>$253.84 </t>
  </si>
  <si>
    <t>$139.28 </t>
  </si>
  <si>
    <t>$19.73 </t>
  </si>
  <si>
    <t>$184.15 </t>
  </si>
  <si>
    <t>$164.39 </t>
  </si>
  <si>
    <t>$259.14 </t>
  </si>
  <si>
    <t>$138.29 </t>
  </si>
  <si>
    <t>$19.88 </t>
  </si>
  <si>
    <t>$183.75 </t>
  </si>
  <si>
    <t>$162.60 </t>
  </si>
  <si>
    <t>$250.37 </t>
  </si>
  <si>
    <t>$137.52 </t>
  </si>
  <si>
    <t>$19.86 </t>
  </si>
  <si>
    <t>$184.65 </t>
  </si>
  <si>
    <t>$163.58 </t>
  </si>
  <si>
    <t>$258.94 </t>
  </si>
  <si>
    <t>$137.99 </t>
  </si>
  <si>
    <t>$19.89 </t>
  </si>
  <si>
    <t>$182.45 </t>
  </si>
  <si>
    <t>$162.89 </t>
  </si>
  <si>
    <t>$256.29 </t>
  </si>
  <si>
    <t>$137.82 </t>
  </si>
  <si>
    <t>$19.75 </t>
  </si>
  <si>
    <t>$183.83 </t>
  </si>
  <si>
    <t>$164.93 </t>
  </si>
  <si>
    <t>$257.28 </t>
  </si>
  <si>
    <t>$138.20 </t>
  </si>
  <si>
    <t>$19.74 </t>
  </si>
  <si>
    <t>$183.68 </t>
  </si>
  <si>
    <t>$166.26 </t>
  </si>
  <si>
    <t>$255.91 </t>
  </si>
  <si>
    <t>$139.35 </t>
  </si>
  <si>
    <t>$19.64 </t>
  </si>
  <si>
    <t>$183.05 </t>
  </si>
  <si>
    <t>$166.74 </t>
  </si>
  <si>
    <t>$261.07 </t>
  </si>
  <si>
    <t>$139.17 </t>
  </si>
  <si>
    <t>$19.87 </t>
  </si>
  <si>
    <t>$185.92 </t>
  </si>
  <si>
    <t>$167.35 </t>
  </si>
  <si>
    <t>$261.68 </t>
  </si>
  <si>
    <t>$19.79 </t>
  </si>
  <si>
    <t>$187.30 </t>
  </si>
  <si>
    <t>$168.08 </t>
  </si>
  <si>
    <t>$265.13 </t>
  </si>
  <si>
    <t>$139.70 </t>
  </si>
  <si>
    <t>$19.56 </t>
  </si>
  <si>
    <t>$182.09 </t>
  </si>
  <si>
    <t>$167.28 </t>
  </si>
  <si>
    <t>$263.50 </t>
  </si>
  <si>
    <t>$139.47 </t>
  </si>
  <si>
    <t>$182.00 </t>
  </si>
  <si>
    <t>$166.68 </t>
  </si>
  <si>
    <t>$262.83 </t>
  </si>
  <si>
    <t>$140.12 </t>
  </si>
  <si>
    <t>$19.93 </t>
  </si>
  <si>
    <t>$182.73 </t>
  </si>
  <si>
    <t>$166.48 </t>
  </si>
  <si>
    <t>$263.65 </t>
  </si>
  <si>
    <t>$141.67 </t>
  </si>
  <si>
    <t>$20.07 </t>
  </si>
  <si>
    <t>$166.14 </t>
  </si>
  <si>
    <t>$262.34 </t>
  </si>
  <si>
    <t>$140.45 </t>
  </si>
  <si>
    <t>$20.01 </t>
  </si>
  <si>
    <t>$186.98 </t>
  </si>
  <si>
    <t>$163.81 </t>
  </si>
  <si>
    <t>$253.50 </t>
  </si>
  <si>
    <t>$139.49 </t>
  </si>
  <si>
    <t>$20.16 </t>
  </si>
  <si>
    <t>$185.59 </t>
  </si>
  <si>
    <t>$163.33 </t>
  </si>
  <si>
    <t>$254.62 </t>
  </si>
  <si>
    <t>$20.20 </t>
  </si>
  <si>
    <t>$187.22 </t>
  </si>
  <si>
    <t>$163.83 </t>
  </si>
  <si>
    <t>$252.51 </t>
  </si>
  <si>
    <t>$135.19 </t>
  </si>
  <si>
    <t>$20.31 </t>
  </si>
  <si>
    <t>$190.61 </t>
  </si>
  <si>
    <t>$165.07 </t>
  </si>
  <si>
    <t>$251.03 </t>
  </si>
  <si>
    <t>$135.65 </t>
  </si>
  <si>
    <t>$20.04 </t>
  </si>
  <si>
    <t>$191.12 </t>
  </si>
  <si>
    <t>$165.90 </t>
  </si>
  <si>
    <t>$251.68 </t>
  </si>
  <si>
    <t>$135.47 </t>
  </si>
  <si>
    <t>$196.06 </t>
  </si>
  <si>
    <t>$171.04 </t>
  </si>
  <si>
    <t>$250.93 </t>
  </si>
  <si>
    <t>$134.48 </t>
  </si>
  <si>
    <t>$20.28 </t>
  </si>
  <si>
    <t>$197.32 </t>
  </si>
  <si>
    <t>$173.20 </t>
  </si>
  <si>
    <t>$250.11 </t>
  </si>
  <si>
    <t>$137.00 </t>
  </si>
  <si>
    <t>$20.35 </t>
  </si>
  <si>
    <t>$198.36 </t>
  </si>
  <si>
    <t>$173.49 </t>
  </si>
  <si>
    <t>$250.03 </t>
  </si>
  <si>
    <t>$136.84 </t>
  </si>
  <si>
    <t>$20.37 </t>
  </si>
  <si>
    <t>$200.07 </t>
  </si>
  <si>
    <t>$173.89 </t>
  </si>
  <si>
    <t>$250.34 </t>
  </si>
  <si>
    <t>$137.39 </t>
  </si>
  <si>
    <t>$20.55 </t>
  </si>
  <si>
    <t>$196.42 </t>
  </si>
  <si>
    <t>$171.23 </t>
  </si>
  <si>
    <t>$250.32 </t>
  </si>
  <si>
    <t>$134.89 </t>
  </si>
  <si>
    <t>$20.64 </t>
  </si>
  <si>
    <t>$197.83 </t>
  </si>
  <si>
    <t>$172.90 </t>
  </si>
  <si>
    <t>$250.23 </t>
  </si>
  <si>
    <t>$133.30 </t>
  </si>
  <si>
    <t>$20.52 </t>
  </si>
  <si>
    <t>$193.13 </t>
  </si>
  <si>
    <t>$170.48 </t>
  </si>
  <si>
    <t>$246.59 </t>
  </si>
  <si>
    <t>$129.67 </t>
  </si>
  <si>
    <t>$20.36 </t>
  </si>
  <si>
    <t>$193.55 </t>
  </si>
  <si>
    <t>$171.15 </t>
  </si>
  <si>
    <t>$243.97 </t>
  </si>
  <si>
    <t>$128.16 </t>
  </si>
  <si>
    <t>$197.61 </t>
  </si>
  <si>
    <t>$173.38 </t>
  </si>
  <si>
    <t>$245.49 </t>
  </si>
  <si>
    <t>$129.15 </t>
  </si>
  <si>
    <t>$197.00 </t>
  </si>
  <si>
    <t>$177.99 </t>
  </si>
  <si>
    <t>$248.51 </t>
  </si>
  <si>
    <t>$131.94 </t>
  </si>
  <si>
    <t>$20.48 </t>
  </si>
  <si>
    <t>$201.04 </t>
  </si>
  <si>
    <t>$179.27 </t>
  </si>
  <si>
    <t>$245.12 </t>
  </si>
  <si>
    <t>$131.84 </t>
  </si>
  <si>
    <t>$20.61 </t>
  </si>
  <si>
    <t>$205.57 </t>
  </si>
  <si>
    <t>$248.94 </t>
  </si>
  <si>
    <t>$133.87 </t>
  </si>
  <si>
    <t>$20.50 </t>
  </si>
  <si>
    <t>$207.35 </t>
  </si>
  <si>
    <t>$181.08 </t>
  </si>
  <si>
    <t>$250.98 </t>
  </si>
  <si>
    <t>$208.09 </t>
  </si>
  <si>
    <t>$180.31 </t>
  </si>
  <si>
    <t>$250.56 </t>
  </si>
  <si>
    <t>$133.62 </t>
  </si>
  <si>
    <t>$20.62 </t>
  </si>
  <si>
    <t>$207.04 </t>
  </si>
  <si>
    <t>$182.19 </t>
  </si>
  <si>
    <t>$255.43 </t>
  </si>
  <si>
    <t>$134.29 </t>
  </si>
  <si>
    <t>$20.90 </t>
  </si>
  <si>
    <t>$208.17 </t>
  </si>
  <si>
    <t>$183.11 </t>
  </si>
  <si>
    <t>$255.39 </t>
  </si>
  <si>
    <t>$134.67 </t>
  </si>
  <si>
    <t>$20.81 </t>
  </si>
  <si>
    <t>$205.41 </t>
  </si>
  <si>
    <t>$179.46 </t>
  </si>
  <si>
    <t>$252.29 </t>
  </si>
  <si>
    <t>$134.11 </t>
  </si>
  <si>
    <t>$20.80 </t>
  </si>
  <si>
    <t>$208.89 </t>
  </si>
  <si>
    <t>$179.87 </t>
  </si>
  <si>
    <t>$253.99 </t>
  </si>
  <si>
    <t>$135.10 </t>
  </si>
  <si>
    <t>$20.69 </t>
  </si>
  <si>
    <t>$209.51 </t>
  </si>
  <si>
    <t>$180.90 </t>
  </si>
  <si>
    <t>$258.77 </t>
  </si>
  <si>
    <t>$136.29 </t>
  </si>
  <si>
    <t>$20.74 </t>
  </si>
  <si>
    <t>$204.78 </t>
  </si>
  <si>
    <t>$179.79 </t>
  </si>
  <si>
    <t>$261.95 </t>
  </si>
  <si>
    <t>$136.67 </t>
  </si>
  <si>
    <t>$20.70 </t>
  </si>
  <si>
    <t>$200.09 </t>
  </si>
  <si>
    <t>$178.06 </t>
  </si>
  <si>
    <t>$260.70 </t>
  </si>
  <si>
    <t>$136.66 </t>
  </si>
  <si>
    <t>$199.96 </t>
  </si>
  <si>
    <t>$177.41 </t>
  </si>
  <si>
    <t>$258.36 </t>
  </si>
  <si>
    <t>$135.93 </t>
  </si>
  <si>
    <t>$20.60 </t>
  </si>
  <si>
    <t>$198.16 </t>
  </si>
  <si>
    <t>$178.02 </t>
  </si>
  <si>
    <t>$258.49 </t>
  </si>
  <si>
    <t>$135.98 </t>
  </si>
  <si>
    <t>$196.49 </t>
  </si>
  <si>
    <t>$175.82 </t>
  </si>
  <si>
    <t>$257.31 </t>
  </si>
  <si>
    <t>$135.97 </t>
  </si>
  <si>
    <t>$20.57 </t>
  </si>
  <si>
    <t>$197.92 </t>
  </si>
  <si>
    <t>$176.15 </t>
  </si>
  <si>
    <t>$256.08 </t>
  </si>
  <si>
    <t>$136.09 </t>
  </si>
  <si>
    <t>$20.72 </t>
  </si>
  <si>
    <t>$195.88 </t>
  </si>
  <si>
    <t>$175.45 </t>
  </si>
  <si>
    <t>$254.08 </t>
  </si>
  <si>
    <t>$136.50 </t>
  </si>
  <si>
    <t>$20.58 </t>
  </si>
  <si>
    <t>$193.70 </t>
  </si>
  <si>
    <t>$175.15 </t>
  </si>
  <si>
    <t>$253.95 </t>
  </si>
  <si>
    <t>$136.47 </t>
  </si>
  <si>
    <t>$20.40 </t>
  </si>
  <si>
    <t>$193.92 </t>
  </si>
  <si>
    <t>$175.91 </t>
  </si>
  <si>
    <t>$253.46 </t>
  </si>
  <si>
    <t>$136.53 </t>
  </si>
  <si>
    <t>$192.47 </t>
  </si>
  <si>
    <t>$176.14 </t>
  </si>
  <si>
    <t>$261.19 </t>
  </si>
  <si>
    <t>$20.13 </t>
  </si>
  <si>
    <t>$186.16 </t>
  </si>
  <si>
    <t>$175.58 </t>
  </si>
  <si>
    <t>$260.04 </t>
  </si>
  <si>
    <t>$135.24 </t>
  </si>
  <si>
    <t>$19.91 </t>
  </si>
  <si>
    <t>$187.15 </t>
  </si>
  <si>
    <t>$176.68 </t>
  </si>
  <si>
    <t>$261.71 </t>
  </si>
  <si>
    <t>$136.43 </t>
  </si>
  <si>
    <t>$20.06 </t>
  </si>
  <si>
    <t>$188.14 </t>
  </si>
  <si>
    <t>$261.55 </t>
  </si>
  <si>
    <t>$137.78 </t>
  </si>
  <si>
    <t>$20.32 </t>
  </si>
  <si>
    <t>$187.08 </t>
  </si>
  <si>
    <t>$171.22 </t>
  </si>
  <si>
    <t>$261.66 </t>
  </si>
  <si>
    <t>$136.04 </t>
  </si>
  <si>
    <t>$20.23 </t>
  </si>
  <si>
    <t>$186.33 </t>
  </si>
  <si>
    <t>$176.46 </t>
  </si>
  <si>
    <t>$259.74 </t>
  </si>
  <si>
    <t>$128.93 </t>
  </si>
  <si>
    <t>$185.02 </t>
  </si>
  <si>
    <t>$174.13 </t>
  </si>
  <si>
    <t>$126.83 </t>
  </si>
  <si>
    <t>$20.46 </t>
  </si>
  <si>
    <t>$184.86 </t>
  </si>
  <si>
    <t>$172.27 </t>
  </si>
  <si>
    <t>$258.68 </t>
  </si>
  <si>
    <t>$125.61 </t>
  </si>
  <si>
    <t>$20.44 </t>
  </si>
  <si>
    <t>$169.48 </t>
  </si>
  <si>
    <t>$125.96 </t>
  </si>
  <si>
    <t>$183.31 </t>
  </si>
  <si>
    <t>$257.78 </t>
  </si>
  <si>
    <t>$125.28 </t>
  </si>
  <si>
    <t>$182.57 </t>
  </si>
  <si>
    <t>$166.95 </t>
  </si>
  <si>
    <t>$258.52 </t>
  </si>
  <si>
    <t>$125.40 </t>
  </si>
  <si>
    <t>$185.80 </t>
  </si>
  <si>
    <t>$168.10 </t>
  </si>
  <si>
    <t>$262.24 </t>
  </si>
  <si>
    <t>$123.89 </t>
  </si>
  <si>
    <t>$20.67 </t>
  </si>
  <si>
    <t>$189.50 </t>
  </si>
  <si>
    <t>$168.36 </t>
  </si>
  <si>
    <t>$268.34 </t>
  </si>
  <si>
    <t>$126.08 </t>
  </si>
  <si>
    <t>$192.03 </t>
  </si>
  <si>
    <t>$168.95 </t>
  </si>
  <si>
    <t>$264.92 </t>
  </si>
  <si>
    <t>$127.16 </t>
  </si>
  <si>
    <t>$194.58 </t>
  </si>
  <si>
    <t>$170.61 </t>
  </si>
  <si>
    <t>$262.97 </t>
  </si>
  <si>
    <t>$127.94 </t>
  </si>
  <si>
    <t>$20.96 </t>
  </si>
  <si>
    <t>$194.19 </t>
  </si>
  <si>
    <t>$169.58 </t>
  </si>
  <si>
    <t>$266.00 </t>
  </si>
  <si>
    <t>$126.05 </t>
  </si>
  <si>
    <t>$21.03 </t>
  </si>
  <si>
    <t>$193.74 </t>
  </si>
  <si>
    <t>$169.14 </t>
  </si>
  <si>
    <t>$265.63 </t>
  </si>
  <si>
    <t>$126.31 </t>
  </si>
  <si>
    <t>$21.13 </t>
  </si>
  <si>
    <t>$195.95 </t>
  </si>
  <si>
    <t>$169.65 </t>
  </si>
  <si>
    <t>$264.31 </t>
  </si>
  <si>
    <t>$126.50 </t>
  </si>
  <si>
    <t>$21.23 </t>
  </si>
  <si>
    <t>$194.87 </t>
  </si>
  <si>
    <t>$169.68 </t>
  </si>
  <si>
    <t>$266.95 </t>
  </si>
  <si>
    <t>$126.06 </t>
  </si>
  <si>
    <t>$21.09 </t>
  </si>
  <si>
    <t>$200.55 </t>
  </si>
  <si>
    <t>$171.44 </t>
  </si>
  <si>
    <t>$267.41 </t>
  </si>
  <si>
    <t>$127.69 </t>
  </si>
  <si>
    <t>$21.30 </t>
  </si>
  <si>
    <t>$198.27 </t>
  </si>
  <si>
    <t>$172.98 </t>
  </si>
  <si>
    <t>$128.80 </t>
  </si>
  <si>
    <t>$21.44 </t>
  </si>
  <si>
    <t>$194.50 </t>
  </si>
  <si>
    <t>$271.76 </t>
  </si>
  <si>
    <t>$129.35 </t>
  </si>
  <si>
    <t>$21.41 </t>
  </si>
  <si>
    <t>$193.71 </t>
  </si>
  <si>
    <t>$173.57 </t>
  </si>
  <si>
    <t>$272.04 </t>
  </si>
  <si>
    <t>$127.27 </t>
  </si>
  <si>
    <t>$21.33 </t>
  </si>
  <si>
    <t>$190.90 </t>
  </si>
  <si>
    <t>$172.73 </t>
  </si>
  <si>
    <t>$269.29 </t>
  </si>
  <si>
    <t>$126.09 </t>
  </si>
  <si>
    <t>$21.05 </t>
  </si>
  <si>
    <t>$192.26 </t>
  </si>
  <si>
    <t>$172.60 </t>
  </si>
  <si>
    <t>$270.44 </t>
  </si>
  <si>
    <t>$125.18 </t>
  </si>
  <si>
    <t>$197.99 </t>
  </si>
  <si>
    <t>$172.02 </t>
  </si>
  <si>
    <t>$268.24 </t>
  </si>
  <si>
    <t>$124.93 </t>
  </si>
  <si>
    <t>$21.01 </t>
  </si>
  <si>
    <t>$199.31 </t>
  </si>
  <si>
    <t>$172.45 </t>
  </si>
  <si>
    <t>$269.35 </t>
  </si>
  <si>
    <t>$124.81 </t>
  </si>
  <si>
    <t>$20.99 </t>
  </si>
  <si>
    <t>$198.03 </t>
  </si>
  <si>
    <t>$171.86 </t>
  </si>
  <si>
    <t>$268.50 </t>
  </si>
  <si>
    <t>$124.42 </t>
  </si>
  <si>
    <t>$202.22 </t>
  </si>
  <si>
    <t>$171.80 </t>
  </si>
  <si>
    <t>$268.75 </t>
  </si>
  <si>
    <t>$125.05 </t>
  </si>
  <si>
    <t>$20.82 </t>
  </si>
  <si>
    <t>$197.05 </t>
  </si>
  <si>
    <t>$171.26 </t>
  </si>
  <si>
    <t>$266.35 </t>
  </si>
  <si>
    <t>$124.23 </t>
  </si>
  <si>
    <t>$193.54 </t>
  </si>
  <si>
    <t>$164.66 </t>
  </si>
  <si>
    <t>$267.64 </t>
  </si>
  <si>
    <t>$124.47 </t>
  </si>
  <si>
    <t>$195.06 </t>
  </si>
  <si>
    <t>$164.78 </t>
  </si>
  <si>
    <t>$260.83 </t>
  </si>
  <si>
    <t>$20.95 </t>
  </si>
  <si>
    <t>$195.89 </t>
  </si>
  <si>
    <t>$165.30 </t>
  </si>
  <si>
    <t>$263.70 </t>
  </si>
  <si>
    <t>$127.90 </t>
  </si>
  <si>
    <t>$20.94 </t>
  </si>
  <si>
    <t>$196.47 </t>
  </si>
  <si>
    <t>$164.54 </t>
  </si>
  <si>
    <t>$261.86 </t>
  </si>
  <si>
    <t>$126.71 </t>
  </si>
  <si>
    <t>$20.85 </t>
  </si>
  <si>
    <t>$199.02 </t>
  </si>
  <si>
    <t>$164.73 </t>
  </si>
  <si>
    <t>$261.98 </t>
  </si>
  <si>
    <t>$126.78 </t>
  </si>
  <si>
    <t>$194.56 </t>
  </si>
  <si>
    <t>$125.65 </t>
  </si>
  <si>
    <t>$20.78 </t>
  </si>
  <si>
    <t>$192.52 </t>
  </si>
  <si>
    <t>$163.11 </t>
  </si>
  <si>
    <t>$255.30 </t>
  </si>
  <si>
    <t>$125.90 </t>
  </si>
  <si>
    <t>$192.83 </t>
  </si>
  <si>
    <t>$163.00 </t>
  </si>
  <si>
    <t>$248.40 </t>
  </si>
  <si>
    <t>$187.56 </t>
  </si>
  <si>
    <t>$162.04 </t>
  </si>
  <si>
    <t>$248.14 </t>
  </si>
  <si>
    <t>$123.62 </t>
  </si>
  <si>
    <t>$184.00 </t>
  </si>
  <si>
    <t>$165.37 </t>
  </si>
  <si>
    <t>$248.03 </t>
  </si>
  <si>
    <t>$123.49 </t>
  </si>
  <si>
    <t>$20.25 </t>
  </si>
  <si>
    <t>$188.05 </t>
  </si>
  <si>
    <t>$164.59 </t>
  </si>
  <si>
    <t>$250.00 </t>
  </si>
  <si>
    <t>$122.90 </t>
  </si>
  <si>
    <t>$187.92 </t>
  </si>
  <si>
    <t>$165.34 </t>
  </si>
  <si>
    <t>$248.52 </t>
  </si>
  <si>
    <t>$121.17 </t>
  </si>
  <si>
    <t>$186.21 </t>
  </si>
  <si>
    <t>$167.03 </t>
  </si>
  <si>
    <t>$247.44 </t>
  </si>
  <si>
    <t>$121.23 </t>
  </si>
  <si>
    <t>$187.17 </t>
  </si>
  <si>
    <t>$168.16 </t>
  </si>
  <si>
    <t>$247.09 </t>
  </si>
  <si>
    <t>$121.19 </t>
  </si>
  <si>
    <t>$21.57 </t>
  </si>
  <si>
    <t>$188.61 </t>
  </si>
  <si>
    <t>$168.26 </t>
  </si>
  <si>
    <t>$246.82 </t>
  </si>
  <si>
    <t>$193.83 </t>
  </si>
  <si>
    <t>$169.60 </t>
  </si>
  <si>
    <t>$247.23 </t>
  </si>
  <si>
    <t>$121.64 </t>
  </si>
  <si>
    <t>$21.28 </t>
  </si>
  <si>
    <t>$168.25 </t>
  </si>
  <si>
    <t>$121.05 </t>
  </si>
  <si>
    <t>$21.24 </t>
  </si>
  <si>
    <t>$192.49 </t>
  </si>
  <si>
    <t>$168.83 </t>
  </si>
  <si>
    <t>$245.61 </t>
  </si>
  <si>
    <t>$120.45 </t>
  </si>
  <si>
    <t>$193.57 </t>
  </si>
  <si>
    <t>$168.65 </t>
  </si>
  <si>
    <t>$245.26 </t>
  </si>
  <si>
    <t>$119.15 </t>
  </si>
  <si>
    <t>$21.58 </t>
  </si>
  <si>
    <t>$191.16 </t>
  </si>
  <si>
    <t>$166.32 </t>
  </si>
  <si>
    <t>$243.84 </t>
  </si>
  <si>
    <t>$118.29 </t>
  </si>
  <si>
    <t>$192.58 </t>
  </si>
  <si>
    <t>$167.86 </t>
  </si>
  <si>
    <t>$244.90 </t>
  </si>
  <si>
    <t>$118.79 </t>
  </si>
  <si>
    <t>$21.21 </t>
  </si>
  <si>
    <t>$191.25 </t>
  </si>
  <si>
    <t>$167.52 </t>
  </si>
  <si>
    <t>$243.60 </t>
  </si>
  <si>
    <t>$118.40 </t>
  </si>
  <si>
    <t>$21.26 </t>
  </si>
  <si>
    <t>$194.84 </t>
  </si>
  <si>
    <t>$168.88 </t>
  </si>
  <si>
    <t>$244.58 </t>
  </si>
  <si>
    <t>$118.55 </t>
  </si>
  <si>
    <t>$21.27 </t>
  </si>
  <si>
    <t>$193.72 </t>
  </si>
  <si>
    <t>$247.08 </t>
  </si>
  <si>
    <t>$120.07 </t>
  </si>
  <si>
    <t>$21.20 </t>
  </si>
  <si>
    <t>$195.45 </t>
  </si>
  <si>
    <t>$167.67 </t>
  </si>
  <si>
    <t>$242.55 </t>
  </si>
  <si>
    <t>$119.81 </t>
  </si>
  <si>
    <t>$21.35 </t>
  </si>
  <si>
    <t>$202.31 </t>
  </si>
  <si>
    <t>$173.85 </t>
  </si>
  <si>
    <t>$120.27 </t>
  </si>
  <si>
    <t>$194.26 </t>
  </si>
  <si>
    <t>$171.47 </t>
  </si>
  <si>
    <t>$244.42 </t>
  </si>
  <si>
    <t>$121.07 </t>
  </si>
  <si>
    <t>$194.78 </t>
  </si>
  <si>
    <t>$248.65 </t>
  </si>
  <si>
    <t>$121.33 </t>
  </si>
  <si>
    <t>$196.39 </t>
  </si>
  <si>
    <t>$247.06 </t>
  </si>
  <si>
    <t>$120.98 </t>
  </si>
  <si>
    <t>$197.66 </t>
  </si>
  <si>
    <t>$170.97 </t>
  </si>
  <si>
    <t>$250.59 </t>
  </si>
  <si>
    <t>$122.26 </t>
  </si>
  <si>
    <t>$21.42 </t>
  </si>
  <si>
    <t>$198.43 </t>
  </si>
  <si>
    <t>$171.70 </t>
  </si>
  <si>
    <t>$252.68 </t>
  </si>
  <si>
    <t>$123.43 </t>
  </si>
  <si>
    <t>$21.22 </t>
  </si>
  <si>
    <t>$245.08 </t>
  </si>
  <si>
    <t>$120.97 </t>
  </si>
  <si>
    <t>$21.67 </t>
  </si>
  <si>
    <t>$197.38 </t>
  </si>
  <si>
    <t>$169.62 </t>
  </si>
  <si>
    <t>$248.43 </t>
  </si>
  <si>
    <t>$121.70 </t>
  </si>
  <si>
    <t>$21.70 </t>
  </si>
  <si>
    <t>$192.79 </t>
  </si>
  <si>
    <t>$168.15 </t>
  </si>
  <si>
    <t>$250.80 </t>
  </si>
  <si>
    <t>$121.27 </t>
  </si>
  <si>
    <t>$21.84 </t>
  </si>
  <si>
    <t>$190.21 </t>
  </si>
  <si>
    <t>$249.50 </t>
  </si>
  <si>
    <t>$21.81 </t>
  </si>
  <si>
    <t>$189.36 </t>
  </si>
  <si>
    <t>$166.56 </t>
  </si>
  <si>
    <t>$250.21 </t>
  </si>
  <si>
    <t>$120.49 </t>
  </si>
  <si>
    <t>$21.83 </t>
  </si>
  <si>
    <t>$189.31 </t>
  </si>
  <si>
    <t>$165.60 </t>
  </si>
  <si>
    <t>$247.41 </t>
  </si>
  <si>
    <t>$118.04 </t>
  </si>
  <si>
    <t>$21.80 </t>
  </si>
  <si>
    <t>$167.64 </t>
  </si>
  <si>
    <t>$252.99 </t>
  </si>
  <si>
    <t>$124.95 </t>
  </si>
  <si>
    <t>$21.92 </t>
  </si>
  <si>
    <t>$188.26 </t>
  </si>
  <si>
    <t>$251.63 </t>
  </si>
  <si>
    <t>$122.34 </t>
  </si>
  <si>
    <t>$22.00 </t>
  </si>
  <si>
    <t>$190.46 </t>
  </si>
  <si>
    <t>$165.78 </t>
  </si>
  <si>
    <t>$122.77 </t>
  </si>
  <si>
    <t>$21.94 </t>
  </si>
  <si>
    <t>$191.47 </t>
  </si>
  <si>
    <t>$167.17 </t>
  </si>
  <si>
    <t>$123.04 </t>
  </si>
  <si>
    <t>$22.01 </t>
  </si>
  <si>
    <t>$191.54 </t>
  </si>
  <si>
    <t>$166.44 </t>
  </si>
  <si>
    <t>$252.66 </t>
  </si>
  <si>
    <t>$123.32 </t>
  </si>
  <si>
    <t>$22.29 </t>
  </si>
  <si>
    <t>$191.53 </t>
  </si>
  <si>
    <t>$166.17 </t>
  </si>
  <si>
    <t>$255.38 </t>
  </si>
  <si>
    <t>$123.07 </t>
  </si>
  <si>
    <t>$22.71 </t>
  </si>
  <si>
    <t>$190.64 </t>
  </si>
  <si>
    <t>$167.27 </t>
  </si>
  <si>
    <t>$258.30 </t>
  </si>
  <si>
    <t>$124.17 </t>
  </si>
  <si>
    <t>$22.89 </t>
  </si>
  <si>
    <t>$190.41 </t>
  </si>
  <si>
    <t>$166.13 </t>
  </si>
  <si>
    <t>$257.42 </t>
  </si>
  <si>
    <t>$123.82 </t>
  </si>
  <si>
    <t>$23.05 </t>
  </si>
  <si>
    <t>$189.64 </t>
  </si>
  <si>
    <t>$166.92 </t>
  </si>
  <si>
    <t>$254.77 </t>
  </si>
  <si>
    <t>$123.27 </t>
  </si>
  <si>
    <t>$23.10 </t>
  </si>
  <si>
    <t>$193.09 </t>
  </si>
  <si>
    <t>$253.54 </t>
  </si>
  <si>
    <t>$123.64 </t>
  </si>
  <si>
    <t>$22.99 </t>
  </si>
  <si>
    <t>$191.45 </t>
  </si>
  <si>
    <t>$169.11 </t>
  </si>
  <si>
    <t>$123.21 </t>
  </si>
  <si>
    <t>$23.04 </t>
  </si>
  <si>
    <t>$187.64 </t>
  </si>
  <si>
    <t>$168.94 </t>
  </si>
  <si>
    <t>$247.53 </t>
  </si>
  <si>
    <t>$122.25 </t>
  </si>
  <si>
    <t>$22.54 </t>
  </si>
  <si>
    <t>$190.50 </t>
  </si>
  <si>
    <t>$242.33 </t>
  </si>
  <si>
    <t>$122.53 </t>
  </si>
  <si>
    <t>$121.74 </t>
  </si>
  <si>
    <t>$22.83 </t>
  </si>
  <si>
    <t>$172.91 </t>
  </si>
  <si>
    <t>$243.89 </t>
  </si>
  <si>
    <t>$122.36 </t>
  </si>
  <si>
    <t>$23.00 </t>
  </si>
  <si>
    <t>$186.44 </t>
  </si>
  <si>
    <t>$241.75 </t>
  </si>
  <si>
    <t>$121.51 </t>
  </si>
  <si>
    <t>$184.11 </t>
  </si>
  <si>
    <t>$169.39 </t>
  </si>
  <si>
    <t>$242.16 </t>
  </si>
  <si>
    <t>$120.82 </t>
  </si>
  <si>
    <t>$22.76 </t>
  </si>
  <si>
    <t>$183.92 </t>
  </si>
  <si>
    <t>$240.12 </t>
  </si>
  <si>
    <t>$120.31 </t>
  </si>
  <si>
    <t>$22.73 </t>
  </si>
  <si>
    <t>$183.40 </t>
  </si>
  <si>
    <t>$168.86 </t>
  </si>
  <si>
    <t>$238.99 </t>
  </si>
  <si>
    <t>$120.09 </t>
  </si>
  <si>
    <t>$22.53 </t>
  </si>
  <si>
    <t>$182.52 </t>
  </si>
  <si>
    <t>$167.68 </t>
  </si>
  <si>
    <t>$237.88 </t>
  </si>
  <si>
    <t>$120.21 </t>
  </si>
  <si>
    <t>$22.79 </t>
  </si>
  <si>
    <t>$181.00 </t>
  </si>
  <si>
    <t>$166.97 </t>
  </si>
  <si>
    <t>$235.87 </t>
  </si>
  <si>
    <t>$119.43 </t>
  </si>
  <si>
    <t>$179.52 </t>
  </si>
  <si>
    <t>$165.69 </t>
  </si>
  <si>
    <t>$235.07 </t>
  </si>
  <si>
    <t>$118.80 </t>
  </si>
  <si>
    <t>$22.62 </t>
  </si>
  <si>
    <t>$182.55 </t>
  </si>
  <si>
    <t>$167.95 </t>
  </si>
  <si>
    <t>$241.09 </t>
  </si>
  <si>
    <t>$120.77 </t>
  </si>
  <si>
    <t>$182.26 </t>
  </si>
  <si>
    <t>$168.91 </t>
  </si>
  <si>
    <t>$238.89 </t>
  </si>
  <si>
    <t>$120.59 </t>
  </si>
  <si>
    <t>$22.66 </t>
  </si>
  <si>
    <t>$181.71 </t>
  </si>
  <si>
    <t>$167.00 </t>
  </si>
  <si>
    <t>$236.46 </t>
  </si>
  <si>
    <t>$119.44 </t>
  </si>
  <si>
    <t>$241.03 </t>
  </si>
  <si>
    <t>$120.84 </t>
  </si>
  <si>
    <t>$22.43 </t>
  </si>
  <si>
    <t>$188.79 </t>
  </si>
  <si>
    <t>$172.01 </t>
  </si>
  <si>
    <t>$242.59 </t>
  </si>
  <si>
    <t>$22.17 </t>
  </si>
  <si>
    <t>$184.69 </t>
  </si>
  <si>
    <t>$168.47 </t>
  </si>
  <si>
    <t>$235.83 </t>
  </si>
  <si>
    <t>$121.77 </t>
  </si>
  <si>
    <t>$22.35 </t>
  </si>
  <si>
    <t>$186.28 </t>
  </si>
  <si>
    <t>$167.82 </t>
  </si>
  <si>
    <t>$235.70 </t>
  </si>
  <si>
    <t>$22.19 </t>
  </si>
  <si>
    <t>$185.74 </t>
  </si>
  <si>
    <t>$165.68 </t>
  </si>
  <si>
    <t>$234.44 </t>
  </si>
  <si>
    <t>$119.94 </t>
  </si>
  <si>
    <t>$22.04 </t>
  </si>
  <si>
    <t>$189.06 </t>
  </si>
  <si>
    <t>$167.46 </t>
  </si>
  <si>
    <t>$235.86 </t>
  </si>
  <si>
    <t>$121.49 </t>
  </si>
  <si>
    <t>$21.85 </t>
  </si>
  <si>
    <t>$189.20 </t>
  </si>
  <si>
    <t>$167.51 </t>
  </si>
  <si>
    <t>$235.10 </t>
  </si>
  <si>
    <t>$122.45 </t>
  </si>
  <si>
    <t>$21.79 </t>
  </si>
  <si>
    <t>$187.93 </t>
  </si>
  <si>
    <t>$167.94 </t>
  </si>
  <si>
    <t>$236.66 </t>
  </si>
  <si>
    <t>$121.45 </t>
  </si>
  <si>
    <t>$190.62 </t>
  </si>
  <si>
    <t>$240.31 </t>
  </si>
  <si>
    <t>$21.98 </t>
  </si>
  <si>
    <t>$190.98 </t>
  </si>
  <si>
    <t>$168.69 </t>
  </si>
  <si>
    <t>$241.95 </t>
  </si>
  <si>
    <t>$124.04 </t>
  </si>
  <si>
    <t>$21.77 </t>
  </si>
  <si>
    <t>$168.29 </t>
  </si>
  <si>
    <t>$240.49 </t>
  </si>
  <si>
    <t>$123.73 </t>
  </si>
  <si>
    <t>$185.72 </t>
  </si>
  <si>
    <t>$167.16 </t>
  </si>
  <si>
    <t>$237.95 </t>
  </si>
  <si>
    <t>$21.47 </t>
  </si>
  <si>
    <t>$188.99 </t>
  </si>
  <si>
    <t>$241.77 </t>
  </si>
  <si>
    <t>$121.99 </t>
  </si>
  <si>
    <t>$21.50 </t>
  </si>
  <si>
    <t>$188.40 </t>
  </si>
  <si>
    <t>$168.32 </t>
  </si>
  <si>
    <t>$237.99 </t>
  </si>
  <si>
    <t>$122.40 </t>
  </si>
  <si>
    <t>$191.68 </t>
  </si>
  <si>
    <t>$169.37 </t>
  </si>
  <si>
    <t>$238.37 </t>
  </si>
  <si>
    <t>$122.43 </t>
  </si>
  <si>
    <t>From Revenue</t>
  </si>
  <si>
    <t>FCFE</t>
  </si>
  <si>
    <t>Common stock held in treasury</t>
  </si>
  <si>
    <t xml:space="preserve">Common stock - $1.25 par value </t>
  </si>
  <si>
    <t>% of PPE</t>
  </si>
  <si>
    <t>Calc</t>
  </si>
  <si>
    <t>As of October 15, 2024, there were 333,485,305 shares of the Corporation's common stock outstanding.</t>
  </si>
  <si>
    <t>Total Liabilities</t>
  </si>
  <si>
    <t>Average Excluding 2020, 2021</t>
  </si>
  <si>
    <t>Base</t>
  </si>
  <si>
    <t>Bear</t>
  </si>
  <si>
    <t>Bull</t>
  </si>
  <si>
    <t>Diff</t>
  </si>
  <si>
    <t>Current Price</t>
  </si>
  <si>
    <t>Valuation:</t>
  </si>
  <si>
    <t>Model 12-month Price Target</t>
  </si>
  <si>
    <t>Valuation Appreciation</t>
  </si>
  <si>
    <t>12-month Appreciation</t>
  </si>
  <si>
    <t>Annual Dividend Yield</t>
  </si>
  <si>
    <t>Total 1 year return</t>
  </si>
  <si>
    <t>Select Case</t>
  </si>
  <si>
    <t>1 Bear</t>
  </si>
  <si>
    <t>2 Base</t>
  </si>
  <si>
    <t>3 Bull</t>
  </si>
  <si>
    <t>KC Professional</t>
  </si>
  <si>
    <t>Total Growth</t>
  </si>
  <si>
    <t>Comps</t>
  </si>
  <si>
    <t>From 10K</t>
  </si>
  <si>
    <t>Cost of Capital</t>
  </si>
  <si>
    <t>Model</t>
  </si>
  <si>
    <t>Revenue</t>
  </si>
  <si>
    <t>Workspace</t>
  </si>
  <si>
    <t>PitchBook</t>
  </si>
  <si>
    <t>Worrkspace</t>
  </si>
  <si>
    <t>Target Price</t>
  </si>
  <si>
    <t>Capex (PPE)</t>
  </si>
  <si>
    <t>Revenue by Segment</t>
  </si>
  <si>
    <t>% Change Assumptions</t>
  </si>
  <si>
    <t>Actual change</t>
  </si>
  <si>
    <t>Reported</t>
  </si>
  <si>
    <r>
      <t>(</t>
    </r>
    <r>
      <rPr>
        <sz val="11"/>
        <color rgb="FF0000FF"/>
        <rFont val="Avenir Next Demi Bold"/>
        <family val="2"/>
      </rPr>
      <t>Blue = input</t>
    </r>
    <r>
      <rPr>
        <sz val="11"/>
        <rFont val="Avenir Next Demi Bold"/>
        <family val="2"/>
      </rPr>
      <t>, Black = calculation)</t>
    </r>
  </si>
  <si>
    <r>
      <t xml:space="preserve">Projected EPS growth rate (g </t>
    </r>
    <r>
      <rPr>
        <vertAlign val="subscript"/>
        <sz val="11"/>
        <rFont val="Avenir Next Demi Bold"/>
        <family val="2"/>
      </rPr>
      <t>S&amp;P</t>
    </r>
    <r>
      <rPr>
        <sz val="11"/>
        <rFont val="Avenir Next Demi Bold"/>
        <family val="2"/>
      </rPr>
      <t>)</t>
    </r>
  </si>
  <si>
    <r>
      <t>Risk-free rate (R</t>
    </r>
    <r>
      <rPr>
        <vertAlign val="subscript"/>
        <sz val="11"/>
        <rFont val="Avenir Next Demi Bold"/>
        <family val="2"/>
      </rPr>
      <t>f</t>
    </r>
    <r>
      <rPr>
        <sz val="11"/>
        <rFont val="Avenir Next Demi Bold"/>
        <family val="2"/>
      </rPr>
      <t>)</t>
    </r>
  </si>
  <si>
    <r>
      <t>Implied required return on equity (R</t>
    </r>
    <r>
      <rPr>
        <vertAlign val="subscript"/>
        <sz val="11"/>
        <rFont val="Avenir Next Demi Bold"/>
        <family val="2"/>
      </rPr>
      <t>s&amp;p500</t>
    </r>
    <r>
      <rPr>
        <sz val="11"/>
        <rFont val="Avenir Next Demi Bold"/>
        <family val="2"/>
      </rPr>
      <t>)</t>
    </r>
  </si>
  <si>
    <r>
      <t>Implied equity risk premium (R</t>
    </r>
    <r>
      <rPr>
        <vertAlign val="subscript"/>
        <sz val="11"/>
        <rFont val="Avenir Next Demi Bold"/>
        <family val="2"/>
      </rPr>
      <t>m</t>
    </r>
    <r>
      <rPr>
        <sz val="11"/>
        <rFont val="Avenir Next Demi Bold"/>
        <family val="2"/>
      </rPr>
      <t>)</t>
    </r>
  </si>
  <si>
    <t>Balance Sheet Pro Forma</t>
  </si>
  <si>
    <t>Income Statement Pro Forma</t>
  </si>
  <si>
    <t>Stockholder's Equity</t>
  </si>
  <si>
    <t>% of Expense</t>
  </si>
  <si>
    <t>% of NI</t>
  </si>
  <si>
    <t>YoY Growth</t>
  </si>
  <si>
    <t>CLOROX CO/d</t>
  </si>
  <si>
    <t>COLGATE PALMOL/d</t>
  </si>
  <si>
    <t>UNILEVER PLC/d</t>
  </si>
  <si>
    <t>PROCTER &amp; GAMB/d</t>
  </si>
  <si>
    <t>ESSITY/d</t>
  </si>
  <si>
    <t>KIMBERLY-CLARK/d</t>
  </si>
  <si>
    <t>Cash Flows</t>
  </si>
  <si>
    <t>Total Assets</t>
  </si>
  <si>
    <t>Average beta</t>
  </si>
  <si>
    <t>Average Beta</t>
  </si>
  <si>
    <t>Interest Income</t>
  </si>
  <si>
    <t>% of Equity Investments</t>
  </si>
  <si>
    <t>% of Debt</t>
  </si>
  <si>
    <t>Total KC Professional</t>
  </si>
  <si>
    <t>% Change in Business Segments in 2023 vs 2022</t>
  </si>
  <si>
    <t>Exits/Acquisitions</t>
  </si>
  <si>
    <t>% Change in Business Segments in 2024Q3 vs 2023Q3</t>
  </si>
  <si>
    <t>% of Sales to Walmart</t>
  </si>
  <si>
    <t>Sales of Principal Products</t>
  </si>
  <si>
    <t>Baby and child care products</t>
  </si>
  <si>
    <t>Consumer tissue products</t>
  </si>
  <si>
    <t>Away-from-home professional products</t>
  </si>
  <si>
    <t>All other</t>
  </si>
  <si>
    <t>Consolidated</t>
  </si>
  <si>
    <t>In Billions</t>
  </si>
  <si>
    <t>Advertising</t>
  </si>
  <si>
    <t>Research</t>
  </si>
  <si>
    <t>Other general expenses</t>
  </si>
  <si>
    <t>Advertisement</t>
  </si>
  <si>
    <t>Other SGA</t>
  </si>
  <si>
    <t>Long Term Debt + Debt Payables</t>
  </si>
  <si>
    <t>Kept Constant</t>
  </si>
  <si>
    <t>Fundamental Growth</t>
  </si>
  <si>
    <t>Reinvestment</t>
  </si>
  <si>
    <t>Reinvestment Rate</t>
  </si>
  <si>
    <t>G</t>
  </si>
  <si>
    <t xml:space="preserve">    Repurchases</t>
  </si>
  <si>
    <t xml:space="preserve">    Stock Based Awards</t>
  </si>
  <si>
    <t>Number of Shares Repurchased</t>
  </si>
  <si>
    <t>YTD</t>
  </si>
  <si>
    <t>PEP.O</t>
  </si>
  <si>
    <t>MDLZ.O</t>
  </si>
  <si>
    <t>KO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</si>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</sst>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 &quot;#,##0_);_(&quot;$ &quot;\(#,##0\)"/>
    <numFmt numFmtId="165" formatCode="_(&quot;$ &quot;#,##0.00_);_(&quot;$ &quot;\(#,##0.00\)"/>
    <numFmt numFmtId="166" formatCode="0.0%"/>
    <numFmt numFmtId="167" formatCode="0.000%"/>
    <numFmt numFmtId="168" formatCode="&quot;$&quot;#,##0.00"/>
    <numFmt numFmtId="169" formatCode="m/d/yy;@"/>
    <numFmt numFmtId="170" formatCode="0.0\x"/>
    <numFmt numFmtId="171" formatCode="_(* #,##0.0_);_(* \(#,##0.0\);_(* &quot;-&quot;??_);_(@_)"/>
    <numFmt numFmtId="172" formatCode="&quot;$&quot;#,##0"/>
    <numFmt numFmtId="173" formatCode="0.00\x"/>
    <numFmt numFmtId="174" formatCode="_(* #,##0_);_(* \(#,##0\);_(* &quot;-&quot;??_);_(@_)"/>
    <numFmt numFmtId="175" formatCode="0.0"/>
  </numFmts>
  <fonts count="70">
    <font>
      <sz val="12"/>
      <color theme="1"/>
      <name val="AmericanTypewriter"/>
      <family val="2"/>
    </font>
    <font>
      <sz val="12"/>
      <color theme="1"/>
      <name val="AmericanTypewriter"/>
      <family val="2"/>
    </font>
    <font>
      <u/>
      <sz val="12"/>
      <color theme="10"/>
      <name val="AmericanTypewriter"/>
      <family val="2"/>
    </font>
    <font>
      <sz val="16"/>
      <color rgb="FF212529"/>
      <name val="Helvetica Neue"/>
      <family val="2"/>
    </font>
    <font>
      <b/>
      <sz val="10"/>
      <color rgb="FF000000"/>
      <name val="Times New Roman"/>
      <family val="1"/>
    </font>
    <font>
      <sz val="12"/>
      <color theme="1"/>
      <name val="Helvetica Neue"/>
      <family val="2"/>
    </font>
    <font>
      <b/>
      <sz val="8"/>
      <color rgb="FF000000"/>
      <name val="Times New Roman"/>
      <family val="1"/>
    </font>
    <font>
      <sz val="10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8"/>
      <color rgb="FF000000"/>
      <name val="Times New Roman"/>
      <family val="1"/>
    </font>
    <font>
      <sz val="12"/>
      <color theme="1"/>
      <name val="Helvetica"/>
      <family val="2"/>
    </font>
    <font>
      <sz val="10"/>
      <color rgb="FF212529"/>
      <name val="Times New Roman"/>
      <family val="1"/>
    </font>
    <font>
      <b/>
      <sz val="10"/>
      <color rgb="FF212529"/>
      <name val="Inherit"/>
    </font>
    <font>
      <sz val="10"/>
      <color theme="1"/>
      <name val="Times New Roman"/>
      <family val="1"/>
    </font>
    <font>
      <sz val="10"/>
      <color theme="1"/>
      <name val="Inherit"/>
    </font>
    <font>
      <b/>
      <sz val="8"/>
      <color theme="1"/>
      <name val="Inherit"/>
    </font>
    <font>
      <b/>
      <sz val="10"/>
      <color theme="1"/>
      <name val="Inherit"/>
    </font>
    <font>
      <sz val="8"/>
      <color rgb="FF212529"/>
      <name val="Inherit"/>
    </font>
    <font>
      <b/>
      <sz val="10"/>
      <color rgb="FF000000"/>
      <name val="Inherit"/>
    </font>
    <font>
      <sz val="8"/>
      <color theme="1"/>
      <name val="Inherit"/>
    </font>
    <font>
      <b/>
      <i/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venir Next Regular"/>
    </font>
    <font>
      <b/>
      <sz val="8"/>
      <color rgb="FF000000"/>
      <name val="Avenir Next Regular"/>
    </font>
    <font>
      <b/>
      <u/>
      <sz val="8"/>
      <color rgb="FF000000"/>
      <name val="Avenir Next Regular"/>
    </font>
    <font>
      <sz val="10"/>
      <color rgb="FF000000"/>
      <name val="Avenir Next Regular"/>
    </font>
    <font>
      <sz val="10"/>
      <color theme="1"/>
      <name val="Avenir Next Regular"/>
    </font>
    <font>
      <sz val="11"/>
      <color theme="1"/>
      <name val="Avenir Next Regular"/>
    </font>
    <font>
      <b/>
      <sz val="11"/>
      <color theme="0"/>
      <name val="Avenir Next Regular"/>
    </font>
    <font>
      <b/>
      <sz val="11"/>
      <color theme="1"/>
      <name val="Avenir Next Regular"/>
    </font>
    <font>
      <sz val="11"/>
      <color rgb="FF00B0F0"/>
      <name val="Avenir Next Regular"/>
    </font>
    <font>
      <sz val="11"/>
      <color rgb="FF000000"/>
      <name val="Avenir Next Regular"/>
    </font>
    <font>
      <b/>
      <sz val="11"/>
      <color rgb="FF000000"/>
      <name val="Avenir Next Regular"/>
    </font>
    <font>
      <sz val="11"/>
      <color rgb="FF0000FF"/>
      <name val="Avenir Next Medium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venir Next Regular"/>
    </font>
    <font>
      <sz val="11"/>
      <name val="Avenir Next Regular"/>
    </font>
    <font>
      <b/>
      <sz val="11"/>
      <color rgb="FF0000FF"/>
      <name val="Avenir Next Regular"/>
    </font>
    <font>
      <sz val="11"/>
      <color rgb="FF0000FF"/>
      <name val="Avenir Next Regular"/>
    </font>
    <font>
      <b/>
      <sz val="11"/>
      <color rgb="FFFFFFFF"/>
      <name val="Avenir Next Regular"/>
    </font>
    <font>
      <sz val="11"/>
      <color rgb="FF000000"/>
      <name val="Avenir Next Demi Bold"/>
      <family val="2"/>
    </font>
    <font>
      <sz val="11"/>
      <color theme="1"/>
      <name val="Avenir Next Demi Bold"/>
      <family val="2"/>
    </font>
    <font>
      <sz val="11"/>
      <name val="Avenir Next Demi Bold"/>
      <family val="2"/>
    </font>
    <font>
      <sz val="11"/>
      <color rgb="FF0000FF"/>
      <name val="Avenir Next Demi Bold"/>
      <family val="2"/>
    </font>
    <font>
      <i/>
      <sz val="11"/>
      <name val="Avenir Next Demi Bold"/>
      <family val="2"/>
    </font>
    <font>
      <sz val="11"/>
      <color rgb="FFFFFFFF"/>
      <name val="Avenir Next Demi Bold"/>
      <family val="2"/>
    </font>
    <font>
      <sz val="11"/>
      <color rgb="FF3366FF"/>
      <name val="Avenir Next Demi Bold"/>
      <family val="2"/>
    </font>
    <font>
      <u/>
      <sz val="11"/>
      <color theme="10"/>
      <name val="Avenir Next Demi Bold"/>
      <family val="2"/>
    </font>
    <font>
      <vertAlign val="subscript"/>
      <sz val="11"/>
      <name val="Avenir Next Demi Bold"/>
      <family val="2"/>
    </font>
    <font>
      <sz val="11"/>
      <color rgb="FFFF0000"/>
      <name val="Avenir Next Regular"/>
    </font>
    <font>
      <sz val="11"/>
      <color theme="0"/>
      <name val="Avenir Next Regular"/>
    </font>
    <font>
      <sz val="11"/>
      <name val="Avenir Next Medium"/>
      <family val="2"/>
    </font>
    <font>
      <sz val="11"/>
      <color theme="1"/>
      <name val="Avenir Next Medium"/>
      <family val="2"/>
    </font>
    <font>
      <b/>
      <sz val="10"/>
      <color theme="0"/>
      <name val="Avenir Next Regular"/>
    </font>
    <font>
      <b/>
      <sz val="10"/>
      <color theme="1"/>
      <name val="Avenir Next Regular"/>
    </font>
  </fonts>
  <fills count="13">
    <fill>
      <patternFill patternType="none"/>
    </fill>
    <fill>
      <patternFill patternType="gray125"/>
    </fill>
    <fill>
      <patternFill patternType="solid">
        <fgColor rgb="FFA8A9A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8A9AE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46CA"/>
        <bgColor indexed="64"/>
      </patternFill>
    </fill>
    <fill>
      <patternFill patternType="solid">
        <fgColor rgb="FF0046CA"/>
        <bgColor rgb="FF000000"/>
      </patternFill>
    </fill>
    <fill>
      <patternFill patternType="solid">
        <fgColor theme="2" tint="-9.9978637043366805E-2"/>
        <bgColor rgb="FF000000"/>
      </patternFill>
    </fill>
  </fills>
  <borders count="6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6" fillId="0" borderId="0"/>
  </cellStyleXfs>
  <cellXfs count="67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3" fontId="0" fillId="0" borderId="0" xfId="0" applyNumberFormat="1"/>
    <xf numFmtId="3" fontId="11" fillId="0" borderId="0" xfId="0" applyNumberFormat="1" applyFont="1"/>
    <xf numFmtId="10" fontId="0" fillId="0" borderId="0" xfId="0" applyNumberFormat="1"/>
    <xf numFmtId="10" fontId="11" fillId="0" borderId="0" xfId="0" applyNumberFormat="1" applyFont="1"/>
    <xf numFmtId="16" fontId="0" fillId="0" borderId="0" xfId="0" applyNumberFormat="1"/>
    <xf numFmtId="16" fontId="11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3" fontId="17" fillId="0" borderId="0" xfId="0" applyNumberFormat="1" applyFont="1"/>
    <xf numFmtId="3" fontId="15" fillId="0" borderId="0" xfId="0" applyNumberFormat="1" applyFont="1"/>
    <xf numFmtId="0" fontId="12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3" fontId="4" fillId="0" borderId="0" xfId="0" applyNumberFormat="1" applyFont="1"/>
    <xf numFmtId="3" fontId="7" fillId="0" borderId="0" xfId="0" applyNumberFormat="1" applyFont="1"/>
    <xf numFmtId="0" fontId="3" fillId="0" borderId="0" xfId="0" applyFont="1"/>
    <xf numFmtId="0" fontId="21" fillId="0" borderId="0" xfId="0" applyFont="1"/>
    <xf numFmtId="0" fontId="23" fillId="0" borderId="0" xfId="0" applyFont="1"/>
    <xf numFmtId="0" fontId="24" fillId="0" borderId="0" xfId="0" applyFont="1"/>
    <xf numFmtId="0" fontId="27" fillId="0" borderId="0" xfId="0" applyFont="1"/>
    <xf numFmtId="0" fontId="28" fillId="0" borderId="0" xfId="0" applyFont="1"/>
    <xf numFmtId="0" fontId="28" fillId="0" borderId="1" xfId="0" applyFont="1" applyBorder="1"/>
    <xf numFmtId="0" fontId="29" fillId="0" borderId="0" xfId="0" applyFont="1"/>
    <xf numFmtId="0" fontId="27" fillId="0" borderId="0" xfId="0" applyFont="1" applyAlignment="1">
      <alignment horizontal="center"/>
    </xf>
    <xf numFmtId="0" fontId="29" fillId="6" borderId="0" xfId="0" applyFont="1" applyFill="1"/>
    <xf numFmtId="0" fontId="29" fillId="6" borderId="0" xfId="0" applyFont="1" applyFill="1" applyAlignment="1">
      <alignment horizontal="center"/>
    </xf>
    <xf numFmtId="0" fontId="30" fillId="7" borderId="0" xfId="0" applyFont="1" applyFill="1"/>
    <xf numFmtId="0" fontId="27" fillId="7" borderId="0" xfId="0" applyFont="1" applyFill="1" applyAlignment="1">
      <alignment horizontal="center"/>
    </xf>
    <xf numFmtId="0" fontId="27" fillId="7" borderId="0" xfId="0" applyFont="1" applyFill="1"/>
    <xf numFmtId="0" fontId="27" fillId="0" borderId="27" xfId="0" applyFont="1" applyBorder="1"/>
    <xf numFmtId="0" fontId="27" fillId="0" borderId="27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0" fontId="30" fillId="0" borderId="16" xfId="0" applyFont="1" applyBorder="1" applyAlignment="1">
      <alignment horizontal="center"/>
    </xf>
    <xf numFmtId="0" fontId="30" fillId="0" borderId="27" xfId="0" applyFont="1" applyBorder="1" applyAlignment="1">
      <alignment horizontal="center"/>
    </xf>
    <xf numFmtId="0" fontId="30" fillId="0" borderId="29" xfId="0" applyFont="1" applyBorder="1" applyAlignment="1">
      <alignment horizontal="center"/>
    </xf>
    <xf numFmtId="0" fontId="30" fillId="0" borderId="20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0" fillId="0" borderId="21" xfId="0" applyFont="1" applyBorder="1" applyAlignment="1">
      <alignment horizontal="center"/>
    </xf>
    <xf numFmtId="0" fontId="28" fillId="0" borderId="30" xfId="0" applyFont="1" applyBorder="1"/>
    <xf numFmtId="0" fontId="27" fillId="5" borderId="31" xfId="0" applyFont="1" applyFill="1" applyBorder="1" applyAlignment="1">
      <alignment horizontal="center"/>
    </xf>
    <xf numFmtId="168" fontId="28" fillId="0" borderId="15" xfId="0" applyNumberFormat="1" applyFont="1" applyBorder="1"/>
    <xf numFmtId="168" fontId="28" fillId="0" borderId="28" xfId="0" applyNumberFormat="1" applyFont="1" applyBorder="1"/>
    <xf numFmtId="171" fontId="27" fillId="0" borderId="0" xfId="1" applyNumberFormat="1" applyFont="1"/>
    <xf numFmtId="172" fontId="28" fillId="0" borderId="28" xfId="1" applyNumberFormat="1" applyFont="1" applyBorder="1"/>
    <xf numFmtId="172" fontId="28" fillId="0" borderId="0" xfId="1" applyNumberFormat="1" applyFont="1"/>
    <xf numFmtId="4" fontId="28" fillId="0" borderId="27" xfId="0" applyNumberFormat="1" applyFont="1" applyBorder="1"/>
    <xf numFmtId="8" fontId="28" fillId="0" borderId="27" xfId="1" applyNumberFormat="1" applyFont="1" applyBorder="1"/>
    <xf numFmtId="10" fontId="28" fillId="0" borderId="0" xfId="2" applyNumberFormat="1" applyFont="1"/>
    <xf numFmtId="168" fontId="28" fillId="0" borderId="37" xfId="0" applyNumberFormat="1" applyFont="1" applyBorder="1"/>
    <xf numFmtId="168" fontId="28" fillId="0" borderId="0" xfId="0" applyNumberFormat="1" applyFont="1"/>
    <xf numFmtId="4" fontId="28" fillId="0" borderId="30" xfId="0" applyNumberFormat="1" applyFont="1" applyBorder="1"/>
    <xf numFmtId="8" fontId="28" fillId="0" borderId="30" xfId="1" applyNumberFormat="1" applyFont="1" applyBorder="1"/>
    <xf numFmtId="0" fontId="28" fillId="8" borderId="30" xfId="0" applyFont="1" applyFill="1" applyBorder="1" applyAlignment="1">
      <alignment horizontal="center"/>
    </xf>
    <xf numFmtId="0" fontId="28" fillId="0" borderId="33" xfId="0" applyFont="1" applyBorder="1"/>
    <xf numFmtId="0" fontId="28" fillId="8" borderId="33" xfId="0" applyFont="1" applyFill="1" applyBorder="1" applyAlignment="1">
      <alignment horizontal="center"/>
    </xf>
    <xf numFmtId="168" fontId="28" fillId="0" borderId="36" xfId="0" applyNumberFormat="1" applyFont="1" applyBorder="1"/>
    <xf numFmtId="168" fontId="28" fillId="0" borderId="35" xfId="0" applyNumberFormat="1" applyFont="1" applyBorder="1"/>
    <xf numFmtId="171" fontId="27" fillId="0" borderId="35" xfId="1" applyNumberFormat="1" applyFont="1" applyBorder="1"/>
    <xf numFmtId="172" fontId="28" fillId="0" borderId="35" xfId="1" applyNumberFormat="1" applyFont="1" applyBorder="1"/>
    <xf numFmtId="4" fontId="28" fillId="0" borderId="33" xfId="0" applyNumberFormat="1" applyFont="1" applyBorder="1"/>
    <xf numFmtId="8" fontId="28" fillId="0" borderId="33" xfId="1" applyNumberFormat="1" applyFont="1" applyBorder="1"/>
    <xf numFmtId="0" fontId="30" fillId="7" borderId="0" xfId="0" applyFont="1" applyFill="1" applyAlignment="1">
      <alignment horizontal="center"/>
    </xf>
    <xf numFmtId="0" fontId="0" fillId="7" borderId="0" xfId="0" applyFill="1"/>
    <xf numFmtId="0" fontId="30" fillId="0" borderId="36" xfId="0" applyFont="1" applyBorder="1" applyAlignment="1">
      <alignment horizontal="centerContinuous"/>
    </xf>
    <xf numFmtId="0" fontId="30" fillId="0" borderId="35" xfId="0" applyFont="1" applyBorder="1" applyAlignment="1">
      <alignment horizontal="centerContinuous"/>
    </xf>
    <xf numFmtId="0" fontId="30" fillId="0" borderId="34" xfId="0" applyFont="1" applyBorder="1" applyAlignment="1">
      <alignment horizontal="centerContinuous"/>
    </xf>
    <xf numFmtId="0" fontId="30" fillId="0" borderId="36" xfId="0" applyFont="1" applyBorder="1" applyAlignment="1">
      <alignment horizontal="center"/>
    </xf>
    <xf numFmtId="0" fontId="30" fillId="0" borderId="35" xfId="0" applyFont="1" applyBorder="1" applyAlignment="1">
      <alignment horizontal="center"/>
    </xf>
    <xf numFmtId="0" fontId="30" fillId="0" borderId="34" xfId="0" applyFont="1" applyBorder="1" applyAlignment="1">
      <alignment horizontal="center"/>
    </xf>
    <xf numFmtId="0" fontId="27" fillId="0" borderId="30" xfId="0" applyFont="1" applyBorder="1"/>
    <xf numFmtId="0" fontId="27" fillId="0" borderId="30" xfId="0" applyFont="1" applyBorder="1" applyAlignment="1">
      <alignment horizontal="center"/>
    </xf>
    <xf numFmtId="172" fontId="27" fillId="0" borderId="0" xfId="0" applyNumberFormat="1" applyFont="1" applyAlignment="1">
      <alignment horizontal="center"/>
    </xf>
    <xf numFmtId="172" fontId="27" fillId="0" borderId="16" xfId="0" applyNumberFormat="1" applyFont="1" applyBorder="1" applyAlignment="1">
      <alignment horizontal="center"/>
    </xf>
    <xf numFmtId="168" fontId="27" fillId="0" borderId="0" xfId="0" applyNumberFormat="1" applyFont="1" applyAlignment="1">
      <alignment horizontal="center"/>
    </xf>
    <xf numFmtId="168" fontId="27" fillId="0" borderId="32" xfId="0" applyNumberFormat="1" applyFont="1" applyBorder="1" applyAlignment="1">
      <alignment horizontal="center"/>
    </xf>
    <xf numFmtId="3" fontId="27" fillId="0" borderId="0" xfId="0" applyNumberFormat="1" applyFont="1" applyAlignment="1">
      <alignment horizontal="center"/>
    </xf>
    <xf numFmtId="3" fontId="27" fillId="0" borderId="32" xfId="0" applyNumberFormat="1" applyFont="1" applyBorder="1" applyAlignment="1">
      <alignment horizontal="center"/>
    </xf>
    <xf numFmtId="3" fontId="27" fillId="0" borderId="37" xfId="0" applyNumberFormat="1" applyFont="1" applyBorder="1" applyAlignment="1">
      <alignment horizontal="center"/>
    </xf>
    <xf numFmtId="166" fontId="27" fillId="0" borderId="30" xfId="2" applyNumberFormat="1" applyFont="1" applyBorder="1" applyAlignment="1">
      <alignment horizontal="center"/>
    </xf>
    <xf numFmtId="172" fontId="27" fillId="0" borderId="32" xfId="0" applyNumberFormat="1" applyFont="1" applyBorder="1" applyAlignment="1">
      <alignment horizontal="center"/>
    </xf>
    <xf numFmtId="172" fontId="27" fillId="0" borderId="37" xfId="0" applyNumberFormat="1" applyFont="1" applyBorder="1" applyAlignment="1">
      <alignment horizontal="center"/>
    </xf>
    <xf numFmtId="168" fontId="27" fillId="0" borderId="37" xfId="0" applyNumberFormat="1" applyFont="1" applyBorder="1" applyAlignment="1">
      <alignment horizontal="center"/>
    </xf>
    <xf numFmtId="166" fontId="27" fillId="0" borderId="37" xfId="2" applyNumberFormat="1" applyFont="1" applyBorder="1" applyAlignment="1">
      <alignment horizontal="center"/>
    </xf>
    <xf numFmtId="0" fontId="27" fillId="0" borderId="33" xfId="0" applyFont="1" applyBorder="1"/>
    <xf numFmtId="3" fontId="27" fillId="0" borderId="36" xfId="0" applyNumberFormat="1" applyFont="1" applyBorder="1" applyAlignment="1">
      <alignment horizontal="center"/>
    </xf>
    <xf numFmtId="3" fontId="27" fillId="0" borderId="35" xfId="0" applyNumberFormat="1" applyFont="1" applyBorder="1" applyAlignment="1">
      <alignment horizontal="center"/>
    </xf>
    <xf numFmtId="3" fontId="27" fillId="0" borderId="34" xfId="0" applyNumberFormat="1" applyFont="1" applyBorder="1" applyAlignment="1">
      <alignment horizontal="center"/>
    </xf>
    <xf numFmtId="4" fontId="27" fillId="0" borderId="36" xfId="0" applyNumberFormat="1" applyFont="1" applyBorder="1" applyAlignment="1">
      <alignment horizontal="center"/>
    </xf>
    <xf numFmtId="4" fontId="27" fillId="0" borderId="35" xfId="0" applyNumberFormat="1" applyFont="1" applyBorder="1" applyAlignment="1">
      <alignment horizontal="center"/>
    </xf>
    <xf numFmtId="4" fontId="27" fillId="0" borderId="34" xfId="0" applyNumberFormat="1" applyFont="1" applyBorder="1" applyAlignment="1">
      <alignment horizontal="center"/>
    </xf>
    <xf numFmtId="166" fontId="30" fillId="9" borderId="33" xfId="2" applyNumberFormat="1" applyFont="1" applyFill="1" applyBorder="1" applyAlignment="1">
      <alignment horizontal="center"/>
    </xf>
    <xf numFmtId="3" fontId="27" fillId="0" borderId="28" xfId="0" applyNumberFormat="1" applyFont="1" applyBorder="1" applyAlignment="1">
      <alignment horizontal="centerContinuous"/>
    </xf>
    <xf numFmtId="3" fontId="27" fillId="0" borderId="16" xfId="0" applyNumberFormat="1" applyFont="1" applyBorder="1" applyAlignment="1">
      <alignment horizontal="centerContinuous"/>
    </xf>
    <xf numFmtId="0" fontId="27" fillId="0" borderId="37" xfId="0" applyFont="1" applyBorder="1" applyAlignment="1">
      <alignment horizontal="center"/>
    </xf>
    <xf numFmtId="168" fontId="27" fillId="0" borderId="30" xfId="0" applyNumberFormat="1" applyFont="1" applyBorder="1" applyAlignment="1">
      <alignment horizontal="center"/>
    </xf>
    <xf numFmtId="173" fontId="27" fillId="0" borderId="37" xfId="1" applyNumberFormat="1" applyFont="1" applyBorder="1" applyAlignment="1">
      <alignment horizontal="center"/>
    </xf>
    <xf numFmtId="173" fontId="27" fillId="0" borderId="0" xfId="1" applyNumberFormat="1" applyFont="1" applyAlignment="1">
      <alignment horizontal="center"/>
    </xf>
    <xf numFmtId="173" fontId="27" fillId="0" borderId="32" xfId="1" applyNumberFormat="1" applyFont="1" applyBorder="1" applyAlignment="1">
      <alignment horizontal="center"/>
    </xf>
    <xf numFmtId="173" fontId="27" fillId="0" borderId="37" xfId="0" applyNumberFormat="1" applyFont="1" applyBorder="1" applyAlignment="1">
      <alignment horizontal="center"/>
    </xf>
    <xf numFmtId="173" fontId="27" fillId="0" borderId="0" xfId="0" applyNumberFormat="1" applyFont="1" applyAlignment="1">
      <alignment horizontal="center"/>
    </xf>
    <xf numFmtId="173" fontId="27" fillId="0" borderId="32" xfId="0" applyNumberFormat="1" applyFont="1" applyBorder="1" applyAlignment="1">
      <alignment horizontal="center"/>
    </xf>
    <xf numFmtId="168" fontId="27" fillId="0" borderId="33" xfId="0" applyNumberFormat="1" applyFont="1" applyBorder="1" applyAlignment="1">
      <alignment horizontal="center"/>
    </xf>
    <xf numFmtId="173" fontId="27" fillId="0" borderId="36" xfId="1" applyNumberFormat="1" applyFont="1" applyBorder="1" applyAlignment="1">
      <alignment horizontal="center"/>
    </xf>
    <xf numFmtId="173" fontId="27" fillId="0" borderId="35" xfId="1" applyNumberFormat="1" applyFont="1" applyBorder="1" applyAlignment="1">
      <alignment horizontal="center"/>
    </xf>
    <xf numFmtId="173" fontId="27" fillId="0" borderId="34" xfId="1" applyNumberFormat="1" applyFont="1" applyBorder="1" applyAlignment="1">
      <alignment horizontal="center"/>
    </xf>
    <xf numFmtId="173" fontId="27" fillId="0" borderId="36" xfId="0" applyNumberFormat="1" applyFont="1" applyBorder="1" applyAlignment="1">
      <alignment horizontal="center"/>
    </xf>
    <xf numFmtId="173" fontId="27" fillId="0" borderId="35" xfId="0" applyNumberFormat="1" applyFont="1" applyBorder="1" applyAlignment="1">
      <alignment horizontal="center"/>
    </xf>
    <xf numFmtId="173" fontId="27" fillId="0" borderId="34" xfId="0" applyNumberFormat="1" applyFont="1" applyBorder="1" applyAlignment="1">
      <alignment horizontal="center"/>
    </xf>
    <xf numFmtId="0" fontId="31" fillId="6" borderId="0" xfId="0" applyFont="1" applyFill="1"/>
    <xf numFmtId="173" fontId="27" fillId="0" borderId="15" xfId="1" applyNumberFormat="1" applyFont="1" applyBorder="1" applyAlignment="1">
      <alignment horizontal="center"/>
    </xf>
    <xf numFmtId="173" fontId="27" fillId="0" borderId="28" xfId="1" applyNumberFormat="1" applyFont="1" applyBorder="1" applyAlignment="1">
      <alignment horizontal="center"/>
    </xf>
    <xf numFmtId="173" fontId="27" fillId="0" borderId="16" xfId="1" applyNumberFormat="1" applyFont="1" applyBorder="1" applyAlignment="1">
      <alignment horizontal="center"/>
    </xf>
    <xf numFmtId="173" fontId="27" fillId="0" borderId="15" xfId="0" applyNumberFormat="1" applyFont="1" applyBorder="1" applyAlignment="1">
      <alignment horizontal="center"/>
    </xf>
    <xf numFmtId="173" fontId="27" fillId="0" borderId="28" xfId="0" applyNumberFormat="1" applyFont="1" applyBorder="1" applyAlignment="1">
      <alignment horizontal="center"/>
    </xf>
    <xf numFmtId="173" fontId="27" fillId="0" borderId="16" xfId="0" applyNumberFormat="1" applyFont="1" applyBorder="1" applyAlignment="1">
      <alignment horizontal="center"/>
    </xf>
    <xf numFmtId="173" fontId="27" fillId="0" borderId="20" xfId="1" applyNumberFormat="1" applyFont="1" applyBorder="1" applyAlignment="1">
      <alignment horizontal="center"/>
    </xf>
    <xf numFmtId="173" fontId="27" fillId="0" borderId="1" xfId="1" applyNumberFormat="1" applyFont="1" applyBorder="1" applyAlignment="1">
      <alignment horizontal="center"/>
    </xf>
    <xf numFmtId="173" fontId="27" fillId="0" borderId="21" xfId="1" applyNumberFormat="1" applyFont="1" applyBorder="1" applyAlignment="1">
      <alignment horizontal="center"/>
    </xf>
    <xf numFmtId="173" fontId="27" fillId="0" borderId="20" xfId="0" applyNumberFormat="1" applyFont="1" applyBorder="1" applyAlignment="1">
      <alignment horizontal="center"/>
    </xf>
    <xf numFmtId="173" fontId="27" fillId="0" borderId="1" xfId="0" applyNumberFormat="1" applyFont="1" applyBorder="1" applyAlignment="1">
      <alignment horizontal="center"/>
    </xf>
    <xf numFmtId="173" fontId="27" fillId="0" borderId="21" xfId="0" applyNumberFormat="1" applyFont="1" applyBorder="1" applyAlignment="1">
      <alignment horizontal="center"/>
    </xf>
    <xf numFmtId="44" fontId="27" fillId="0" borderId="15" xfId="6" applyFont="1" applyBorder="1" applyAlignment="1">
      <alignment horizontal="center"/>
    </xf>
    <xf numFmtId="44" fontId="27" fillId="0" borderId="28" xfId="6" applyFont="1" applyBorder="1" applyAlignment="1">
      <alignment horizontal="center"/>
    </xf>
    <xf numFmtId="44" fontId="27" fillId="0" borderId="16" xfId="6" applyFont="1" applyBorder="1" applyAlignment="1">
      <alignment horizontal="center"/>
    </xf>
    <xf numFmtId="44" fontId="27" fillId="0" borderId="20" xfId="6" applyFont="1" applyBorder="1" applyAlignment="1">
      <alignment horizontal="center"/>
    </xf>
    <xf numFmtId="44" fontId="27" fillId="0" borderId="1" xfId="6" applyFont="1" applyBorder="1" applyAlignment="1">
      <alignment horizontal="center"/>
    </xf>
    <xf numFmtId="44" fontId="27" fillId="0" borderId="21" xfId="6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7" applyFont="1" applyProtection="1">
      <protection locked="0"/>
    </xf>
    <xf numFmtId="168" fontId="32" fillId="0" borderId="0" xfId="7" applyNumberFormat="1" applyFont="1" applyProtection="1">
      <protection locked="0"/>
    </xf>
    <xf numFmtId="0" fontId="28" fillId="0" borderId="27" xfId="0" applyFont="1" applyBorder="1"/>
    <xf numFmtId="0" fontId="33" fillId="0" borderId="27" xfId="0" applyFont="1" applyBorder="1" applyAlignment="1">
      <alignment horizontal="center"/>
    </xf>
    <xf numFmtId="0" fontId="33" fillId="0" borderId="15" xfId="0" applyFont="1" applyBorder="1" applyAlignment="1">
      <alignment horizontal="center"/>
    </xf>
    <xf numFmtId="0" fontId="33" fillId="0" borderId="28" xfId="0" applyFont="1" applyBorder="1" applyAlignment="1">
      <alignment horizontal="center"/>
    </xf>
    <xf numFmtId="0" fontId="33" fillId="0" borderId="16" xfId="0" applyFont="1" applyBorder="1" applyAlignment="1">
      <alignment horizontal="center"/>
    </xf>
    <xf numFmtId="0" fontId="33" fillId="0" borderId="29" xfId="0" applyFont="1" applyBorder="1" applyAlignment="1">
      <alignment horizontal="center"/>
    </xf>
    <xf numFmtId="0" fontId="33" fillId="0" borderId="20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3" fillId="0" borderId="21" xfId="0" applyFont="1" applyBorder="1" applyAlignment="1">
      <alignment horizontal="center"/>
    </xf>
    <xf numFmtId="0" fontId="28" fillId="0" borderId="37" xfId="0" applyFont="1" applyBorder="1" applyAlignment="1">
      <alignment horizontal="center"/>
    </xf>
    <xf numFmtId="166" fontId="28" fillId="0" borderId="15" xfId="2" applyNumberFormat="1" applyFont="1" applyBorder="1" applyAlignment="1">
      <alignment horizontal="center"/>
    </xf>
    <xf numFmtId="166" fontId="28" fillId="0" borderId="28" xfId="2" applyNumberFormat="1" applyFont="1" applyBorder="1" applyAlignment="1">
      <alignment horizontal="center"/>
    </xf>
    <xf numFmtId="2" fontId="28" fillId="0" borderId="15" xfId="2" applyNumberFormat="1" applyFont="1" applyBorder="1" applyAlignment="1">
      <alignment horizontal="center"/>
    </xf>
    <xf numFmtId="2" fontId="28" fillId="0" borderId="28" xfId="2" applyNumberFormat="1" applyFont="1" applyBorder="1" applyAlignment="1">
      <alignment horizontal="center"/>
    </xf>
    <xf numFmtId="2" fontId="28" fillId="0" borderId="37" xfId="2" applyNumberFormat="1" applyFont="1" applyBorder="1" applyAlignment="1">
      <alignment horizontal="center"/>
    </xf>
    <xf numFmtId="2" fontId="28" fillId="0" borderId="32" xfId="2" applyNumberFormat="1" applyFont="1" applyBorder="1" applyAlignment="1">
      <alignment horizontal="center"/>
    </xf>
    <xf numFmtId="166" fontId="28" fillId="0" borderId="37" xfId="2" applyNumberFormat="1" applyFont="1" applyBorder="1" applyAlignment="1">
      <alignment horizontal="center"/>
    </xf>
    <xf numFmtId="166" fontId="28" fillId="0" borderId="0" xfId="2" applyNumberFormat="1" applyFont="1" applyAlignment="1">
      <alignment horizontal="center"/>
    </xf>
    <xf numFmtId="166" fontId="28" fillId="0" borderId="32" xfId="2" applyNumberFormat="1" applyFont="1" applyBorder="1" applyAlignment="1">
      <alignment horizontal="center"/>
    </xf>
    <xf numFmtId="2" fontId="28" fillId="0" borderId="0" xfId="2" applyNumberFormat="1" applyFont="1" applyAlignment="1">
      <alignment horizontal="center"/>
    </xf>
    <xf numFmtId="2" fontId="28" fillId="0" borderId="30" xfId="2" applyNumberFormat="1" applyFont="1" applyBorder="1" applyAlignment="1">
      <alignment horizontal="center"/>
    </xf>
    <xf numFmtId="0" fontId="28" fillId="0" borderId="33" xfId="0" applyFont="1" applyBorder="1" applyAlignment="1">
      <alignment horizontal="center"/>
    </xf>
    <xf numFmtId="166" fontId="28" fillId="0" borderId="36" xfId="2" applyNumberFormat="1" applyFont="1" applyBorder="1" applyAlignment="1">
      <alignment horizontal="center"/>
    </xf>
    <xf numFmtId="166" fontId="28" fillId="0" borderId="35" xfId="2" applyNumberFormat="1" applyFont="1" applyBorder="1" applyAlignment="1">
      <alignment horizontal="center"/>
    </xf>
    <xf numFmtId="166" fontId="28" fillId="0" borderId="34" xfId="2" applyNumberFormat="1" applyFont="1" applyBorder="1" applyAlignment="1">
      <alignment horizontal="center"/>
    </xf>
    <xf numFmtId="2" fontId="28" fillId="0" borderId="36" xfId="2" applyNumberFormat="1" applyFont="1" applyBorder="1" applyAlignment="1">
      <alignment horizontal="center"/>
    </xf>
    <xf numFmtId="2" fontId="28" fillId="0" borderId="35" xfId="2" applyNumberFormat="1" applyFont="1" applyBorder="1" applyAlignment="1">
      <alignment horizontal="center"/>
    </xf>
    <xf numFmtId="2" fontId="28" fillId="0" borderId="34" xfId="2" applyNumberFormat="1" applyFont="1" applyBorder="1" applyAlignment="1">
      <alignment horizontal="center"/>
    </xf>
    <xf numFmtId="2" fontId="28" fillId="0" borderId="33" xfId="2" applyNumberFormat="1" applyFont="1" applyBorder="1" applyAlignment="1">
      <alignment horizontal="center"/>
    </xf>
    <xf numFmtId="0" fontId="28" fillId="8" borderId="30" xfId="0" quotePrefix="1" applyFont="1" applyFill="1" applyBorder="1" applyAlignment="1">
      <alignment horizontal="center"/>
    </xf>
    <xf numFmtId="0" fontId="35" fillId="0" borderId="0" xfId="0" applyFont="1"/>
    <xf numFmtId="166" fontId="27" fillId="0" borderId="0" xfId="0" applyNumberFormat="1" applyFont="1"/>
    <xf numFmtId="43" fontId="28" fillId="0" borderId="27" xfId="1" applyFont="1" applyBorder="1" applyAlignment="1">
      <alignment horizontal="center"/>
    </xf>
    <xf numFmtId="0" fontId="36" fillId="0" borderId="0" xfId="0" applyFont="1" applyAlignment="1">
      <alignment horizontal="right"/>
    </xf>
    <xf numFmtId="0" fontId="37" fillId="0" borderId="0" xfId="0" applyFont="1" applyAlignment="1">
      <alignment horizontal="right"/>
    </xf>
    <xf numFmtId="0" fontId="38" fillId="0" borderId="0" xfId="0" applyFont="1" applyAlignment="1">
      <alignment horizontal="right"/>
    </xf>
    <xf numFmtId="0" fontId="39" fillId="0" borderId="0" xfId="0" applyFont="1" applyAlignment="1">
      <alignment horizontal="right"/>
    </xf>
    <xf numFmtId="3" fontId="36" fillId="0" borderId="0" xfId="0" applyNumberFormat="1" applyFont="1" applyAlignment="1">
      <alignment horizontal="right"/>
    </xf>
    <xf numFmtId="0" fontId="40" fillId="0" borderId="0" xfId="0" applyFont="1" applyAlignment="1">
      <alignment horizontal="right"/>
    </xf>
    <xf numFmtId="3" fontId="40" fillId="0" borderId="0" xfId="0" applyNumberFormat="1" applyFont="1" applyAlignment="1">
      <alignment horizontal="right"/>
    </xf>
    <xf numFmtId="0" fontId="41" fillId="0" borderId="0" xfId="0" applyFont="1"/>
    <xf numFmtId="0" fontId="42" fillId="10" borderId="12" xfId="0" applyFont="1" applyFill="1" applyBorder="1"/>
    <xf numFmtId="0" fontId="42" fillId="10" borderId="7" xfId="0" applyFont="1" applyFill="1" applyBorder="1"/>
    <xf numFmtId="0" fontId="42" fillId="10" borderId="9" xfId="0" applyFont="1" applyFill="1" applyBorder="1"/>
    <xf numFmtId="0" fontId="41" fillId="3" borderId="5" xfId="0" applyFont="1" applyFill="1" applyBorder="1"/>
    <xf numFmtId="0" fontId="41" fillId="3" borderId="6" xfId="0" applyFont="1" applyFill="1" applyBorder="1"/>
    <xf numFmtId="3" fontId="41" fillId="0" borderId="28" xfId="0" applyNumberFormat="1" applyFont="1" applyBorder="1"/>
    <xf numFmtId="0" fontId="41" fillId="0" borderId="28" xfId="0" applyFont="1" applyBorder="1"/>
    <xf numFmtId="0" fontId="41" fillId="3" borderId="43" xfId="0" applyFont="1" applyFill="1" applyBorder="1"/>
    <xf numFmtId="0" fontId="41" fillId="3" borderId="44" xfId="0" applyFont="1" applyFill="1" applyBorder="1"/>
    <xf numFmtId="174" fontId="41" fillId="0" borderId="28" xfId="1" applyNumberFormat="1" applyFont="1" applyBorder="1"/>
    <xf numFmtId="3" fontId="41" fillId="0" borderId="0" xfId="0" applyNumberFormat="1" applyFont="1"/>
    <xf numFmtId="174" fontId="41" fillId="0" borderId="0" xfId="1" applyNumberFormat="1" applyFont="1" applyBorder="1"/>
    <xf numFmtId="3" fontId="41" fillId="0" borderId="12" xfId="0" applyNumberFormat="1" applyFont="1" applyBorder="1"/>
    <xf numFmtId="0" fontId="41" fillId="0" borderId="12" xfId="0" applyFont="1" applyBorder="1"/>
    <xf numFmtId="0" fontId="41" fillId="0" borderId="11" xfId="0" applyFont="1" applyBorder="1"/>
    <xf numFmtId="0" fontId="41" fillId="3" borderId="10" xfId="0" applyFont="1" applyFill="1" applyBorder="1"/>
    <xf numFmtId="0" fontId="41" fillId="3" borderId="11" xfId="0" applyFont="1" applyFill="1" applyBorder="1"/>
    <xf numFmtId="174" fontId="41" fillId="0" borderId="0" xfId="0" applyNumberFormat="1" applyFont="1"/>
    <xf numFmtId="10" fontId="41" fillId="0" borderId="0" xfId="2" applyNumberFormat="1" applyFont="1" applyBorder="1"/>
    <xf numFmtId="10" fontId="41" fillId="3" borderId="6" xfId="2" applyNumberFormat="1" applyFont="1" applyFill="1" applyBorder="1"/>
    <xf numFmtId="9" fontId="41" fillId="0" borderId="0" xfId="2" applyFont="1" applyBorder="1"/>
    <xf numFmtId="9" fontId="41" fillId="3" borderId="5" xfId="2" applyFont="1" applyFill="1" applyBorder="1"/>
    <xf numFmtId="9" fontId="41" fillId="3" borderId="6" xfId="2" applyFont="1" applyFill="1" applyBorder="1"/>
    <xf numFmtId="0" fontId="42" fillId="10" borderId="8" xfId="0" applyFont="1" applyFill="1" applyBorder="1"/>
    <xf numFmtId="0" fontId="41" fillId="0" borderId="5" xfId="0" applyFont="1" applyBorder="1"/>
    <xf numFmtId="0" fontId="41" fillId="0" borderId="6" xfId="0" applyFont="1" applyBorder="1"/>
    <xf numFmtId="0" fontId="43" fillId="0" borderId="51" xfId="0" applyFont="1" applyBorder="1"/>
    <xf numFmtId="10" fontId="41" fillId="0" borderId="28" xfId="2" applyNumberFormat="1" applyFont="1" applyBorder="1"/>
    <xf numFmtId="10" fontId="41" fillId="3" borderId="44" xfId="2" applyNumberFormat="1" applyFont="1" applyFill="1" applyBorder="1"/>
    <xf numFmtId="10" fontId="41" fillId="0" borderId="44" xfId="2" applyNumberFormat="1" applyFont="1" applyBorder="1"/>
    <xf numFmtId="0" fontId="41" fillId="0" borderId="40" xfId="0" applyFont="1" applyBorder="1" applyAlignment="1">
      <alignment horizontal="left"/>
    </xf>
    <xf numFmtId="2" fontId="41" fillId="0" borderId="0" xfId="0" applyNumberFormat="1" applyFont="1"/>
    <xf numFmtId="0" fontId="41" fillId="3" borderId="6" xfId="2" applyNumberFormat="1" applyFont="1" applyFill="1" applyBorder="1"/>
    <xf numFmtId="0" fontId="41" fillId="0" borderId="40" xfId="0" applyFont="1" applyBorder="1" applyAlignment="1">
      <alignment horizontal="left" indent="1"/>
    </xf>
    <xf numFmtId="0" fontId="41" fillId="0" borderId="8" xfId="0" applyFont="1" applyBorder="1"/>
    <xf numFmtId="0" fontId="41" fillId="3" borderId="7" xfId="0" applyFont="1" applyFill="1" applyBorder="1"/>
    <xf numFmtId="0" fontId="41" fillId="3" borderId="9" xfId="0" applyFont="1" applyFill="1" applyBorder="1"/>
    <xf numFmtId="175" fontId="41" fillId="0" borderId="8" xfId="0" applyNumberFormat="1" applyFont="1" applyBorder="1"/>
    <xf numFmtId="175" fontId="41" fillId="0" borderId="9" xfId="0" applyNumberFormat="1" applyFont="1" applyBorder="1"/>
    <xf numFmtId="0" fontId="43" fillId="0" borderId="52" xfId="0" applyFont="1" applyBorder="1" applyAlignment="1">
      <alignment horizontal="left" indent="1"/>
    </xf>
    <xf numFmtId="0" fontId="41" fillId="0" borderId="1" xfId="0" applyFont="1" applyBorder="1"/>
    <xf numFmtId="0" fontId="41" fillId="0" borderId="48" xfId="0" applyFont="1" applyBorder="1"/>
    <xf numFmtId="0" fontId="41" fillId="3" borderId="49" xfId="0" applyFont="1" applyFill="1" applyBorder="1"/>
    <xf numFmtId="0" fontId="41" fillId="3" borderId="50" xfId="0" applyFont="1" applyFill="1" applyBorder="1"/>
    <xf numFmtId="0" fontId="41" fillId="0" borderId="5" xfId="0" applyFont="1" applyBorder="1" applyAlignment="1">
      <alignment horizontal="left" indent="2"/>
    </xf>
    <xf numFmtId="0" fontId="44" fillId="0" borderId="0" xfId="0" applyFont="1"/>
    <xf numFmtId="0" fontId="44" fillId="0" borderId="6" xfId="0" applyFont="1" applyBorder="1"/>
    <xf numFmtId="0" fontId="43" fillId="0" borderId="51" xfId="0" applyFont="1" applyBorder="1" applyAlignment="1">
      <alignment horizontal="left"/>
    </xf>
    <xf numFmtId="0" fontId="45" fillId="0" borderId="40" xfId="0" applyFont="1" applyBorder="1" applyAlignment="1">
      <alignment horizontal="left"/>
    </xf>
    <xf numFmtId="175" fontId="41" fillId="0" borderId="12" xfId="0" applyNumberFormat="1" applyFont="1" applyBorder="1"/>
    <xf numFmtId="175" fontId="41" fillId="0" borderId="11" xfId="0" applyNumberFormat="1" applyFont="1" applyBorder="1"/>
    <xf numFmtId="0" fontId="46" fillId="0" borderId="52" xfId="0" applyFont="1" applyBorder="1" applyAlignment="1">
      <alignment horizontal="left" indent="1"/>
    </xf>
    <xf numFmtId="0" fontId="45" fillId="0" borderId="5" xfId="0" applyFont="1" applyBorder="1" applyAlignment="1">
      <alignment horizontal="left" indent="2"/>
    </xf>
    <xf numFmtId="0" fontId="46" fillId="0" borderId="51" xfId="0" applyFont="1" applyBorder="1"/>
    <xf numFmtId="0" fontId="41" fillId="3" borderId="42" xfId="0" applyFont="1" applyFill="1" applyBorder="1"/>
    <xf numFmtId="0" fontId="41" fillId="3" borderId="47" xfId="0" applyFont="1" applyFill="1" applyBorder="1"/>
    <xf numFmtId="0" fontId="45" fillId="0" borderId="10" xfId="0" applyFont="1" applyBorder="1" applyAlignment="1">
      <alignment horizontal="left" indent="2"/>
    </xf>
    <xf numFmtId="0" fontId="45" fillId="0" borderId="0" xfId="0" applyFont="1" applyAlignment="1">
      <alignment horizontal="left" indent="2"/>
    </xf>
    <xf numFmtId="2" fontId="44" fillId="0" borderId="0" xfId="0" applyNumberFormat="1" applyFont="1"/>
    <xf numFmtId="0" fontId="41" fillId="0" borderId="0" xfId="0" applyFont="1" applyAlignment="1">
      <alignment horizontal="left" indent="1"/>
    </xf>
    <xf numFmtId="2" fontId="47" fillId="0" borderId="1" xfId="0" applyNumberFormat="1" applyFont="1" applyBorder="1"/>
    <xf numFmtId="2" fontId="47" fillId="0" borderId="47" xfId="0" applyNumberFormat="1" applyFont="1" applyBorder="1"/>
    <xf numFmtId="2" fontId="47" fillId="0" borderId="0" xfId="0" applyNumberFormat="1" applyFont="1"/>
    <xf numFmtId="2" fontId="47" fillId="0" borderId="6" xfId="0" applyNumberFormat="1" applyFont="1" applyBorder="1"/>
    <xf numFmtId="2" fontId="47" fillId="0" borderId="12" xfId="0" applyNumberFormat="1" applyFont="1" applyBorder="1"/>
    <xf numFmtId="2" fontId="47" fillId="0" borderId="11" xfId="0" applyNumberFormat="1" applyFont="1" applyBorder="1"/>
    <xf numFmtId="2" fontId="47" fillId="0" borderId="48" xfId="0" applyNumberFormat="1" applyFont="1" applyBorder="1"/>
    <xf numFmtId="2" fontId="47" fillId="0" borderId="50" xfId="0" applyNumberFormat="1" applyFont="1" applyBorder="1"/>
    <xf numFmtId="0" fontId="35" fillId="0" borderId="12" xfId="0" applyFont="1" applyBorder="1"/>
    <xf numFmtId="0" fontId="35" fillId="0" borderId="10" xfId="0" applyFont="1" applyBorder="1"/>
    <xf numFmtId="0" fontId="35" fillId="0" borderId="5" xfId="0" applyFont="1" applyBorder="1"/>
    <xf numFmtId="0" fontId="49" fillId="10" borderId="2" xfId="0" applyFont="1" applyFill="1" applyBorder="1"/>
    <xf numFmtId="0" fontId="48" fillId="10" borderId="3" xfId="0" applyFont="1" applyFill="1" applyBorder="1" applyAlignment="1">
      <alignment horizontal="center" vertical="center" wrapText="1"/>
    </xf>
    <xf numFmtId="0" fontId="48" fillId="10" borderId="3" xfId="0" applyFont="1" applyFill="1" applyBorder="1"/>
    <xf numFmtId="0" fontId="48" fillId="10" borderId="4" xfId="0" applyFont="1" applyFill="1" applyBorder="1"/>
    <xf numFmtId="0" fontId="35" fillId="0" borderId="6" xfId="0" applyFont="1" applyBorder="1"/>
    <xf numFmtId="166" fontId="47" fillId="0" borderId="0" xfId="2" applyNumberFormat="1" applyFont="1" applyBorder="1"/>
    <xf numFmtId="166" fontId="47" fillId="0" borderId="6" xfId="2" applyNumberFormat="1" applyFont="1" applyBorder="1"/>
    <xf numFmtId="166" fontId="47" fillId="0" borderId="12" xfId="2" applyNumberFormat="1" applyFont="1" applyBorder="1"/>
    <xf numFmtId="166" fontId="47" fillId="0" borderId="11" xfId="2" applyNumberFormat="1" applyFont="1" applyBorder="1"/>
    <xf numFmtId="0" fontId="41" fillId="0" borderId="43" xfId="0" applyFont="1" applyBorder="1"/>
    <xf numFmtId="174" fontId="41" fillId="0" borderId="44" xfId="1" applyNumberFormat="1" applyFont="1" applyBorder="1"/>
    <xf numFmtId="174" fontId="41" fillId="0" borderId="6" xfId="1" applyNumberFormat="1" applyFont="1" applyBorder="1"/>
    <xf numFmtId="174" fontId="41" fillId="0" borderId="6" xfId="0" applyNumberFormat="1" applyFont="1" applyBorder="1"/>
    <xf numFmtId="10" fontId="41" fillId="0" borderId="6" xfId="2" applyNumberFormat="1" applyFont="1" applyBorder="1"/>
    <xf numFmtId="0" fontId="42" fillId="10" borderId="11" xfId="0" applyFont="1" applyFill="1" applyBorder="1"/>
    <xf numFmtId="9" fontId="41" fillId="0" borderId="6" xfId="2" applyFont="1" applyBorder="1"/>
    <xf numFmtId="0" fontId="41" fillId="0" borderId="10" xfId="0" applyFont="1" applyBorder="1"/>
    <xf numFmtId="9" fontId="41" fillId="0" borderId="12" xfId="2" applyFont="1" applyBorder="1"/>
    <xf numFmtId="9" fontId="41" fillId="3" borderId="10" xfId="2" applyFont="1" applyFill="1" applyBorder="1"/>
    <xf numFmtId="9" fontId="41" fillId="3" borderId="11" xfId="2" applyFont="1" applyFill="1" applyBorder="1"/>
    <xf numFmtId="9" fontId="41" fillId="0" borderId="11" xfId="2" applyFont="1" applyBorder="1"/>
    <xf numFmtId="0" fontId="41" fillId="0" borderId="51" xfId="0" applyFont="1" applyBorder="1"/>
    <xf numFmtId="0" fontId="41" fillId="0" borderId="40" xfId="0" applyFont="1" applyBorder="1"/>
    <xf numFmtId="0" fontId="42" fillId="10" borderId="41" xfId="0" applyFont="1" applyFill="1" applyBorder="1"/>
    <xf numFmtId="0" fontId="41" fillId="0" borderId="41" xfId="0" applyFont="1" applyBorder="1"/>
    <xf numFmtId="0" fontId="35" fillId="0" borderId="11" xfId="0" applyFont="1" applyBorder="1"/>
    <xf numFmtId="0" fontId="40" fillId="0" borderId="0" xfId="0" applyFont="1"/>
    <xf numFmtId="0" fontId="36" fillId="0" borderId="0" xfId="0" applyFont="1"/>
    <xf numFmtId="0" fontId="45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11" borderId="2" xfId="0" applyFont="1" applyFill="1" applyBorder="1"/>
    <xf numFmtId="0" fontId="60" fillId="11" borderId="39" xfId="0" applyFont="1" applyFill="1" applyBorder="1"/>
    <xf numFmtId="0" fontId="60" fillId="11" borderId="3" xfId="0" applyFont="1" applyFill="1" applyBorder="1"/>
    <xf numFmtId="0" fontId="60" fillId="11" borderId="4" xfId="0" applyFont="1" applyFill="1" applyBorder="1"/>
    <xf numFmtId="0" fontId="57" fillId="0" borderId="5" xfId="0" applyFont="1" applyBorder="1"/>
    <xf numFmtId="0" fontId="57" fillId="0" borderId="32" xfId="0" applyFont="1" applyBorder="1"/>
    <xf numFmtId="0" fontId="58" fillId="12" borderId="0" xfId="0" applyFont="1" applyFill="1"/>
    <xf numFmtId="0" fontId="61" fillId="0" borderId="0" xfId="0" applyFont="1"/>
    <xf numFmtId="0" fontId="62" fillId="0" borderId="6" xfId="3" applyFont="1" applyBorder="1"/>
    <xf numFmtId="10" fontId="58" fillId="12" borderId="0" xfId="0" applyNumberFormat="1" applyFont="1" applyFill="1"/>
    <xf numFmtId="0" fontId="55" fillId="0" borderId="6" xfId="0" applyFont="1" applyBorder="1"/>
    <xf numFmtId="167" fontId="58" fillId="12" borderId="0" xfId="0" applyNumberFormat="1" applyFont="1" applyFill="1"/>
    <xf numFmtId="10" fontId="57" fillId="0" borderId="0" xfId="0" applyNumberFormat="1" applyFont="1"/>
    <xf numFmtId="0" fontId="57" fillId="0" borderId="6" xfId="0" applyFont="1" applyBorder="1"/>
    <xf numFmtId="0" fontId="60" fillId="11" borderId="5" xfId="0" applyFont="1" applyFill="1" applyBorder="1"/>
    <xf numFmtId="0" fontId="60" fillId="11" borderId="32" xfId="0" applyFont="1" applyFill="1" applyBorder="1"/>
    <xf numFmtId="0" fontId="60" fillId="11" borderId="0" xfId="0" applyFont="1" applyFill="1"/>
    <xf numFmtId="0" fontId="60" fillId="11" borderId="6" xfId="0" applyFont="1" applyFill="1" applyBorder="1"/>
    <xf numFmtId="8" fontId="58" fillId="12" borderId="0" xfId="0" applyNumberFormat="1" applyFont="1" applyFill="1"/>
    <xf numFmtId="2" fontId="57" fillId="0" borderId="0" xfId="0" applyNumberFormat="1" applyFont="1"/>
    <xf numFmtId="4" fontId="57" fillId="0" borderId="0" xfId="0" applyNumberFormat="1" applyFont="1"/>
    <xf numFmtId="10" fontId="57" fillId="0" borderId="0" xfId="2" applyNumberFormat="1" applyFont="1"/>
    <xf numFmtId="0" fontId="57" fillId="3" borderId="32" xfId="0" applyFont="1" applyFill="1" applyBorder="1"/>
    <xf numFmtId="0" fontId="57" fillId="3" borderId="0" xfId="0" applyFont="1" applyFill="1"/>
    <xf numFmtId="10" fontId="57" fillId="3" borderId="0" xfId="0" applyNumberFormat="1" applyFont="1" applyFill="1"/>
    <xf numFmtId="0" fontId="57" fillId="0" borderId="10" xfId="0" applyFont="1" applyBorder="1"/>
    <xf numFmtId="0" fontId="57" fillId="0" borderId="45" xfId="0" applyFont="1" applyBorder="1"/>
    <xf numFmtId="0" fontId="57" fillId="0" borderId="12" xfId="0" applyFont="1" applyBorder="1"/>
    <xf numFmtId="10" fontId="57" fillId="0" borderId="12" xfId="0" applyNumberFormat="1" applyFont="1" applyBorder="1"/>
    <xf numFmtId="0" fontId="57" fillId="0" borderId="11" xfId="0" applyFont="1" applyBorder="1"/>
    <xf numFmtId="0" fontId="50" fillId="0" borderId="0" xfId="4" applyFont="1"/>
    <xf numFmtId="0" fontId="51" fillId="0" borderId="0" xfId="4" applyFont="1"/>
    <xf numFmtId="0" fontId="42" fillId="10" borderId="0" xfId="4" applyFont="1" applyFill="1" applyAlignment="1">
      <alignment horizontal="centerContinuous"/>
    </xf>
    <xf numFmtId="0" fontId="50" fillId="0" borderId="0" xfId="4" applyFont="1" applyAlignment="1">
      <alignment horizontal="right"/>
    </xf>
    <xf numFmtId="0" fontId="50" fillId="0" borderId="39" xfId="4" applyFont="1" applyBorder="1"/>
    <xf numFmtId="10" fontId="50" fillId="0" borderId="4" xfId="4" applyNumberFormat="1" applyFont="1" applyBorder="1"/>
    <xf numFmtId="14" fontId="51" fillId="0" borderId="2" xfId="4" applyNumberFormat="1" applyFont="1" applyBorder="1"/>
    <xf numFmtId="0" fontId="51" fillId="0" borderId="3" xfId="4" applyFont="1" applyBorder="1"/>
    <xf numFmtId="3" fontId="41" fillId="0" borderId="4" xfId="4" applyNumberFormat="1" applyFont="1" applyBorder="1"/>
    <xf numFmtId="3" fontId="45" fillId="0" borderId="0" xfId="0" applyNumberFormat="1" applyFont="1"/>
    <xf numFmtId="0" fontId="51" fillId="0" borderId="40" xfId="4" applyFont="1" applyBorder="1"/>
    <xf numFmtId="3" fontId="41" fillId="0" borderId="6" xfId="4" applyNumberFormat="1" applyFont="1" applyBorder="1"/>
    <xf numFmtId="3" fontId="51" fillId="0" borderId="0" xfId="4" applyNumberFormat="1" applyFont="1"/>
    <xf numFmtId="14" fontId="51" fillId="0" borderId="5" xfId="4" applyNumberFormat="1" applyFont="1" applyBorder="1"/>
    <xf numFmtId="0" fontId="51" fillId="0" borderId="6" xfId="4" applyFont="1" applyBorder="1"/>
    <xf numFmtId="14" fontId="51" fillId="0" borderId="10" xfId="4" applyNumberFormat="1" applyFont="1" applyBorder="1"/>
    <xf numFmtId="0" fontId="51" fillId="0" borderId="12" xfId="4" applyFont="1" applyBorder="1"/>
    <xf numFmtId="3" fontId="41" fillId="0" borderId="11" xfId="4" applyNumberFormat="1" applyFont="1" applyBorder="1"/>
    <xf numFmtId="8" fontId="46" fillId="0" borderId="6" xfId="4" applyNumberFormat="1" applyFont="1" applyBorder="1"/>
    <xf numFmtId="168" fontId="52" fillId="0" borderId="6" xfId="4" applyNumberFormat="1" applyFont="1" applyBorder="1"/>
    <xf numFmtId="0" fontId="42" fillId="10" borderId="7" xfId="4" applyFont="1" applyFill="1" applyBorder="1" applyAlignment="1">
      <alignment horizontal="centerContinuous"/>
    </xf>
    <xf numFmtId="0" fontId="42" fillId="10" borderId="8" xfId="4" applyFont="1" applyFill="1" applyBorder="1" applyAlignment="1">
      <alignment horizontal="centerContinuous"/>
    </xf>
    <xf numFmtId="0" fontId="42" fillId="10" borderId="9" xfId="4" applyFont="1" applyFill="1" applyBorder="1" applyAlignment="1">
      <alignment horizontal="centerContinuous"/>
    </xf>
    <xf numFmtId="168" fontId="42" fillId="10" borderId="6" xfId="4" applyNumberFormat="1" applyFont="1" applyFill="1" applyBorder="1" applyAlignment="1">
      <alignment horizontal="centerContinuous"/>
    </xf>
    <xf numFmtId="0" fontId="51" fillId="0" borderId="2" xfId="4" applyFont="1" applyBorder="1"/>
    <xf numFmtId="10" fontId="51" fillId="0" borderId="4" xfId="4" applyNumberFormat="1" applyFont="1" applyBorder="1"/>
    <xf numFmtId="0" fontId="51" fillId="0" borderId="41" xfId="4" applyFont="1" applyBorder="1"/>
    <xf numFmtId="168" fontId="42" fillId="10" borderId="11" xfId="4" applyNumberFormat="1" applyFont="1" applyFill="1" applyBorder="1" applyAlignment="1">
      <alignment horizontal="centerContinuous"/>
    </xf>
    <xf numFmtId="0" fontId="51" fillId="0" borderId="10" xfId="4" applyFont="1" applyBorder="1"/>
    <xf numFmtId="10" fontId="51" fillId="0" borderId="11" xfId="5" applyNumberFormat="1" applyFont="1" applyBorder="1"/>
    <xf numFmtId="2" fontId="50" fillId="0" borderId="0" xfId="4" applyNumberFormat="1" applyFont="1"/>
    <xf numFmtId="0" fontId="50" fillId="0" borderId="0" xfId="4" applyFont="1" applyAlignment="1">
      <alignment horizontal="centerContinuous"/>
    </xf>
    <xf numFmtId="0" fontId="51" fillId="0" borderId="15" xfId="4" applyFont="1" applyBorder="1"/>
    <xf numFmtId="0" fontId="51" fillId="0" borderId="28" xfId="4" applyFont="1" applyBorder="1"/>
    <xf numFmtId="169" fontId="50" fillId="0" borderId="35" xfId="4" applyNumberFormat="1" applyFont="1" applyBorder="1"/>
    <xf numFmtId="169" fontId="50" fillId="0" borderId="34" xfId="4" applyNumberFormat="1" applyFont="1" applyBorder="1"/>
    <xf numFmtId="0" fontId="50" fillId="0" borderId="37" xfId="4" applyFont="1" applyBorder="1"/>
    <xf numFmtId="2" fontId="51" fillId="0" borderId="0" xfId="4" applyNumberFormat="1" applyFont="1"/>
    <xf numFmtId="2" fontId="51" fillId="0" borderId="32" xfId="4" applyNumberFormat="1" applyFont="1" applyBorder="1"/>
    <xf numFmtId="0" fontId="50" fillId="0" borderId="20" xfId="4" applyFont="1" applyBorder="1"/>
    <xf numFmtId="0" fontId="51" fillId="0" borderId="1" xfId="4" applyFont="1" applyBorder="1"/>
    <xf numFmtId="37" fontId="51" fillId="0" borderId="1" xfId="4" applyNumberFormat="1" applyFont="1" applyBorder="1"/>
    <xf numFmtId="37" fontId="51" fillId="0" borderId="21" xfId="4" applyNumberFormat="1" applyFont="1" applyBorder="1"/>
    <xf numFmtId="0" fontId="50" fillId="0" borderId="7" xfId="4" applyFont="1" applyBorder="1"/>
    <xf numFmtId="166" fontId="50" fillId="0" borderId="9" xfId="4" applyNumberFormat="1" applyFont="1" applyBorder="1"/>
    <xf numFmtId="166" fontId="50" fillId="0" borderId="0" xfId="4" applyNumberFormat="1" applyFont="1"/>
    <xf numFmtId="3" fontId="51" fillId="0" borderId="16" xfId="4" applyNumberFormat="1" applyFont="1" applyBorder="1"/>
    <xf numFmtId="170" fontId="51" fillId="0" borderId="0" xfId="4" applyNumberFormat="1" applyFont="1"/>
    <xf numFmtId="4" fontId="51" fillId="0" borderId="0" xfId="4" applyNumberFormat="1" applyFont="1"/>
    <xf numFmtId="0" fontId="51" fillId="0" borderId="20" xfId="4" applyFont="1" applyBorder="1"/>
    <xf numFmtId="3" fontId="51" fillId="0" borderId="21" xfId="4" applyNumberFormat="1" applyFont="1" applyBorder="1"/>
    <xf numFmtId="0" fontId="51" fillId="0" borderId="37" xfId="4" applyFont="1" applyBorder="1"/>
    <xf numFmtId="3" fontId="51" fillId="0" borderId="32" xfId="4" applyNumberFormat="1" applyFont="1" applyBorder="1"/>
    <xf numFmtId="0" fontId="50" fillId="0" borderId="53" xfId="4" applyFont="1" applyBorder="1"/>
    <xf numFmtId="2" fontId="50" fillId="0" borderId="54" xfId="4" applyNumberFormat="1" applyFont="1" applyBorder="1"/>
    <xf numFmtId="0" fontId="51" fillId="0" borderId="0" xfId="4" applyFont="1" applyAlignment="1">
      <alignment horizontal="centerContinuous"/>
    </xf>
    <xf numFmtId="2" fontId="64" fillId="0" borderId="0" xfId="4" applyNumberFormat="1" applyFont="1"/>
    <xf numFmtId="10" fontId="51" fillId="0" borderId="0" xfId="4" applyNumberFormat="1" applyFont="1" applyAlignment="1">
      <alignment horizontal="center"/>
    </xf>
    <xf numFmtId="166" fontId="50" fillId="0" borderId="0" xfId="4" applyNumberFormat="1" applyFont="1" applyAlignment="1">
      <alignment horizontal="center"/>
    </xf>
    <xf numFmtId="0" fontId="41" fillId="0" borderId="0" xfId="0" applyFont="1" applyAlignment="1">
      <alignment horizontal="right"/>
    </xf>
    <xf numFmtId="0" fontId="65" fillId="10" borderId="2" xfId="0" applyFont="1" applyFill="1" applyBorder="1"/>
    <xf numFmtId="166" fontId="53" fillId="2" borderId="4" xfId="0" applyNumberFormat="1" applyFont="1" applyFill="1" applyBorder="1"/>
    <xf numFmtId="166" fontId="51" fillId="0" borderId="0" xfId="4" applyNumberFormat="1" applyFont="1"/>
    <xf numFmtId="168" fontId="51" fillId="0" borderId="17" xfId="4" applyNumberFormat="1" applyFont="1" applyBorder="1" applyAlignment="1">
      <alignment horizontal="center"/>
    </xf>
    <xf numFmtId="168" fontId="51" fillId="0" borderId="18" xfId="4" applyNumberFormat="1" applyFont="1" applyBorder="1" applyAlignment="1">
      <alignment horizontal="center"/>
    </xf>
    <xf numFmtId="168" fontId="51" fillId="3" borderId="18" xfId="4" applyNumberFormat="1" applyFont="1" applyFill="1" applyBorder="1" applyAlignment="1">
      <alignment horizontal="center"/>
    </xf>
    <xf numFmtId="168" fontId="51" fillId="0" borderId="19" xfId="4" applyNumberFormat="1" applyFont="1" applyBorder="1" applyAlignment="1">
      <alignment horizontal="center"/>
    </xf>
    <xf numFmtId="43" fontId="41" fillId="0" borderId="0" xfId="1" applyFont="1"/>
    <xf numFmtId="0" fontId="65" fillId="10" borderId="10" xfId="0" applyFont="1" applyFill="1" applyBorder="1"/>
    <xf numFmtId="166" fontId="53" fillId="2" borderId="11" xfId="0" applyNumberFormat="1" applyFont="1" applyFill="1" applyBorder="1"/>
    <xf numFmtId="168" fontId="51" fillId="0" borderId="22" xfId="4" applyNumberFormat="1" applyFont="1" applyBorder="1" applyAlignment="1">
      <alignment horizontal="center"/>
    </xf>
    <xf numFmtId="168" fontId="51" fillId="0" borderId="0" xfId="4" applyNumberFormat="1" applyFont="1" applyAlignment="1">
      <alignment horizontal="center"/>
    </xf>
    <xf numFmtId="168" fontId="51" fillId="3" borderId="0" xfId="4" applyNumberFormat="1" applyFont="1" applyFill="1" applyAlignment="1">
      <alignment horizontal="center"/>
    </xf>
    <xf numFmtId="168" fontId="51" fillId="0" borderId="23" xfId="4" applyNumberFormat="1" applyFont="1" applyBorder="1" applyAlignment="1">
      <alignment horizontal="center"/>
    </xf>
    <xf numFmtId="168" fontId="51" fillId="2" borderId="2" xfId="4" applyNumberFormat="1" applyFont="1" applyFill="1" applyBorder="1" applyAlignment="1">
      <alignment horizontal="center"/>
    </xf>
    <xf numFmtId="168" fontId="51" fillId="2" borderId="3" xfId="4" applyNumberFormat="1" applyFont="1" applyFill="1" applyBorder="1" applyAlignment="1">
      <alignment horizontal="center"/>
    </xf>
    <xf numFmtId="168" fontId="51" fillId="2" borderId="4" xfId="4" applyNumberFormat="1" applyFont="1" applyFill="1" applyBorder="1" applyAlignment="1">
      <alignment horizontal="center"/>
    </xf>
    <xf numFmtId="0" fontId="50" fillId="0" borderId="0" xfId="4" applyFont="1" applyAlignment="1">
      <alignment horizontal="center"/>
    </xf>
    <xf numFmtId="168" fontId="51" fillId="3" borderId="22" xfId="4" applyNumberFormat="1" applyFont="1" applyFill="1" applyBorder="1" applyAlignment="1">
      <alignment horizontal="center"/>
    </xf>
    <xf numFmtId="168" fontId="51" fillId="2" borderId="5" xfId="4" applyNumberFormat="1" applyFont="1" applyFill="1" applyBorder="1" applyAlignment="1">
      <alignment horizontal="center"/>
    </xf>
    <xf numFmtId="168" fontId="54" fillId="10" borderId="0" xfId="4" applyNumberFormat="1" applyFont="1" applyFill="1" applyAlignment="1">
      <alignment horizontal="center"/>
    </xf>
    <xf numFmtId="168" fontId="51" fillId="2" borderId="6" xfId="4" applyNumberFormat="1" applyFont="1" applyFill="1" applyBorder="1" applyAlignment="1">
      <alignment horizontal="center"/>
    </xf>
    <xf numFmtId="168" fontId="51" fillId="3" borderId="23" xfId="4" applyNumberFormat="1" applyFont="1" applyFill="1" applyBorder="1" applyAlignment="1">
      <alignment horizontal="center"/>
    </xf>
    <xf numFmtId="168" fontId="51" fillId="2" borderId="10" xfId="4" applyNumberFormat="1" applyFont="1" applyFill="1" applyBorder="1" applyAlignment="1">
      <alignment horizontal="center"/>
    </xf>
    <xf numFmtId="168" fontId="51" fillId="2" borderId="12" xfId="4" applyNumberFormat="1" applyFont="1" applyFill="1" applyBorder="1" applyAlignment="1">
      <alignment horizontal="center"/>
    </xf>
    <xf numFmtId="168" fontId="51" fillId="2" borderId="11" xfId="4" applyNumberFormat="1" applyFont="1" applyFill="1" applyBorder="1" applyAlignment="1">
      <alignment horizontal="center"/>
    </xf>
    <xf numFmtId="168" fontId="51" fillId="0" borderId="24" xfId="4" applyNumberFormat="1" applyFont="1" applyBorder="1" applyAlignment="1">
      <alignment horizontal="center"/>
    </xf>
    <xf numFmtId="168" fontId="51" fillId="0" borderId="25" xfId="4" applyNumberFormat="1" applyFont="1" applyBorder="1" applyAlignment="1">
      <alignment horizontal="center"/>
    </xf>
    <xf numFmtId="168" fontId="51" fillId="3" borderId="25" xfId="4" applyNumberFormat="1" applyFont="1" applyFill="1" applyBorder="1" applyAlignment="1">
      <alignment horizontal="center"/>
    </xf>
    <xf numFmtId="168" fontId="51" fillId="0" borderId="26" xfId="4" applyNumberFormat="1" applyFont="1" applyBorder="1" applyAlignment="1">
      <alignment horizontal="center"/>
    </xf>
    <xf numFmtId="10" fontId="51" fillId="0" borderId="0" xfId="4" applyNumberFormat="1" applyFont="1"/>
    <xf numFmtId="3" fontId="51" fillId="0" borderId="1" xfId="4" applyNumberFormat="1" applyFont="1" applyBorder="1"/>
    <xf numFmtId="4" fontId="51" fillId="0" borderId="0" xfId="4" applyNumberFormat="1" applyFont="1" applyAlignment="1">
      <alignment horizontal="center"/>
    </xf>
    <xf numFmtId="4" fontId="50" fillId="0" borderId="54" xfId="4" applyNumberFormat="1" applyFont="1" applyBorder="1"/>
    <xf numFmtId="4" fontId="50" fillId="0" borderId="0" xfId="4" applyNumberFormat="1" applyFont="1"/>
    <xf numFmtId="4" fontId="64" fillId="0" borderId="0" xfId="4" applyNumberFormat="1" applyFont="1"/>
    <xf numFmtId="10" fontId="51" fillId="0" borderId="1" xfId="2" applyNumberFormat="1" applyFont="1" applyBorder="1" applyAlignment="1">
      <alignment horizontal="center"/>
    </xf>
    <xf numFmtId="166" fontId="50" fillId="0" borderId="1" xfId="2" applyNumberFormat="1" applyFont="1" applyBorder="1" applyAlignment="1">
      <alignment horizontal="center"/>
    </xf>
    <xf numFmtId="0" fontId="51" fillId="0" borderId="0" xfId="4" applyFont="1" applyAlignment="1">
      <alignment horizontal="centerContinuous" vertical="center"/>
    </xf>
    <xf numFmtId="0" fontId="50" fillId="0" borderId="0" xfId="4" applyFont="1" applyAlignment="1">
      <alignment horizontal="centerContinuous" vertical="center"/>
    </xf>
    <xf numFmtId="0" fontId="65" fillId="10" borderId="32" xfId="0" applyFont="1" applyFill="1" applyBorder="1"/>
    <xf numFmtId="0" fontId="65" fillId="10" borderId="39" xfId="0" applyFont="1" applyFill="1" applyBorder="1"/>
    <xf numFmtId="0" fontId="41" fillId="0" borderId="4" xfId="0" applyFont="1" applyBorder="1"/>
    <xf numFmtId="0" fontId="45" fillId="4" borderId="15" xfId="0" applyFont="1" applyFill="1" applyBorder="1"/>
    <xf numFmtId="0" fontId="41" fillId="2" borderId="16" xfId="0" applyFont="1" applyFill="1" applyBorder="1"/>
    <xf numFmtId="0" fontId="45" fillId="0" borderId="32" xfId="0" applyFont="1" applyBorder="1"/>
    <xf numFmtId="0" fontId="65" fillId="10" borderId="40" xfId="0" applyFont="1" applyFill="1" applyBorder="1"/>
    <xf numFmtId="2" fontId="41" fillId="0" borderId="6" xfId="0" applyNumberFormat="1" applyFont="1" applyBorder="1"/>
    <xf numFmtId="0" fontId="45" fillId="0" borderId="37" xfId="0" applyFont="1" applyBorder="1"/>
    <xf numFmtId="0" fontId="45" fillId="0" borderId="20" xfId="0" applyFont="1" applyBorder="1"/>
    <xf numFmtId="0" fontId="45" fillId="0" borderId="21" xfId="0" applyFont="1" applyBorder="1"/>
    <xf numFmtId="0" fontId="65" fillId="10" borderId="41" xfId="0" applyFont="1" applyFill="1" applyBorder="1"/>
    <xf numFmtId="10" fontId="41" fillId="0" borderId="0" xfId="2" applyNumberFormat="1" applyFont="1"/>
    <xf numFmtId="10" fontId="41" fillId="0" borderId="11" xfId="2" applyNumberFormat="1" applyFont="1" applyBorder="1"/>
    <xf numFmtId="0" fontId="65" fillId="10" borderId="8" xfId="0" applyFont="1" applyFill="1" applyBorder="1" applyAlignment="1">
      <alignment horizontal="center" vertical="center" wrapText="1"/>
    </xf>
    <xf numFmtId="0" fontId="65" fillId="10" borderId="8" xfId="0" applyFont="1" applyFill="1" applyBorder="1"/>
    <xf numFmtId="0" fontId="65" fillId="10" borderId="7" xfId="0" applyFont="1" applyFill="1" applyBorder="1" applyAlignment="1">
      <alignment horizontal="center" vertical="center" wrapText="1"/>
    </xf>
    <xf numFmtId="0" fontId="65" fillId="10" borderId="9" xfId="0" applyFont="1" applyFill="1" applyBorder="1" applyAlignment="1">
      <alignment horizontal="center" vertical="center" wrapText="1"/>
    </xf>
    <xf numFmtId="0" fontId="65" fillId="10" borderId="9" xfId="0" applyFont="1" applyFill="1" applyBorder="1"/>
    <xf numFmtId="0" fontId="41" fillId="0" borderId="49" xfId="0" applyFont="1" applyBorder="1"/>
    <xf numFmtId="0" fontId="51" fillId="3" borderId="49" xfId="0" applyFont="1" applyFill="1" applyBorder="1" applyAlignment="1">
      <alignment vertical="top" wrapText="1"/>
    </xf>
    <xf numFmtId="0" fontId="51" fillId="3" borderId="50" xfId="0" applyFont="1" applyFill="1" applyBorder="1" applyAlignment="1">
      <alignment vertical="top" wrapText="1"/>
    </xf>
    <xf numFmtId="0" fontId="41" fillId="0" borderId="50" xfId="0" applyFont="1" applyBorder="1"/>
    <xf numFmtId="174" fontId="51" fillId="0" borderId="0" xfId="1" applyNumberFormat="1" applyFont="1" applyBorder="1" applyAlignment="1">
      <alignment horizontal="right" vertical="top"/>
    </xf>
    <xf numFmtId="174" fontId="51" fillId="3" borderId="5" xfId="1" applyNumberFormat="1" applyFont="1" applyFill="1" applyBorder="1" applyAlignment="1">
      <alignment horizontal="right" vertical="top"/>
    </xf>
    <xf numFmtId="174" fontId="51" fillId="3" borderId="6" xfId="1" applyNumberFormat="1" applyFont="1" applyFill="1" applyBorder="1" applyAlignment="1">
      <alignment horizontal="right" vertical="top"/>
    </xf>
    <xf numFmtId="0" fontId="41" fillId="0" borderId="42" xfId="0" applyFont="1" applyBorder="1"/>
    <xf numFmtId="174" fontId="51" fillId="0" borderId="1" xfId="1" applyNumberFormat="1" applyFont="1" applyBorder="1" applyAlignment="1">
      <alignment horizontal="right" vertical="top"/>
    </xf>
    <xf numFmtId="174" fontId="41" fillId="0" borderId="1" xfId="1" applyNumberFormat="1" applyFont="1" applyBorder="1"/>
    <xf numFmtId="174" fontId="51" fillId="3" borderId="42" xfId="1" applyNumberFormat="1" applyFont="1" applyFill="1" applyBorder="1" applyAlignment="1">
      <alignment horizontal="right" vertical="top"/>
    </xf>
    <xf numFmtId="174" fontId="51" fillId="3" borderId="47" xfId="1" applyNumberFormat="1" applyFont="1" applyFill="1" applyBorder="1" applyAlignment="1">
      <alignment horizontal="right" vertical="top"/>
    </xf>
    <xf numFmtId="174" fontId="41" fillId="0" borderId="47" xfId="1" applyNumberFormat="1" applyFont="1" applyBorder="1"/>
    <xf numFmtId="0" fontId="41" fillId="0" borderId="5" xfId="0" applyFont="1" applyBorder="1" applyAlignment="1">
      <alignment horizontal="left" indent="1"/>
    </xf>
    <xf numFmtId="0" fontId="43" fillId="0" borderId="7" xfId="0" applyFont="1" applyBorder="1" applyAlignment="1">
      <alignment horizontal="left" indent="1"/>
    </xf>
    <xf numFmtId="174" fontId="51" fillId="0" borderId="8" xfId="1" applyNumberFormat="1" applyFont="1" applyBorder="1" applyAlignment="1">
      <alignment horizontal="right" vertical="top"/>
    </xf>
    <xf numFmtId="174" fontId="41" fillId="0" borderId="8" xfId="1" applyNumberFormat="1" applyFont="1" applyBorder="1"/>
    <xf numFmtId="174" fontId="51" fillId="3" borderId="7" xfId="1" applyNumberFormat="1" applyFont="1" applyFill="1" applyBorder="1" applyAlignment="1">
      <alignment horizontal="right" vertical="top"/>
    </xf>
    <xf numFmtId="174" fontId="51" fillId="3" borderId="9" xfId="1" applyNumberFormat="1" applyFont="1" applyFill="1" applyBorder="1" applyAlignment="1">
      <alignment horizontal="right" vertical="top"/>
    </xf>
    <xf numFmtId="174" fontId="41" fillId="0" borderId="9" xfId="1" applyNumberFormat="1" applyFont="1" applyBorder="1"/>
    <xf numFmtId="174" fontId="51" fillId="0" borderId="0" xfId="1" applyNumberFormat="1" applyFont="1" applyAlignment="1">
      <alignment horizontal="right" vertical="top"/>
    </xf>
    <xf numFmtId="174" fontId="41" fillId="0" borderId="0" xfId="1" applyNumberFormat="1" applyFont="1"/>
    <xf numFmtId="174" fontId="51" fillId="3" borderId="10" xfId="1" applyNumberFormat="1" applyFont="1" applyFill="1" applyBorder="1" applyAlignment="1">
      <alignment horizontal="right" vertical="top"/>
    </xf>
    <xf numFmtId="174" fontId="51" fillId="3" borderId="11" xfId="1" applyNumberFormat="1" applyFont="1" applyFill="1" applyBorder="1" applyAlignment="1">
      <alignment horizontal="right" vertical="top"/>
    </xf>
    <xf numFmtId="0" fontId="41" fillId="0" borderId="2" xfId="0" applyFont="1" applyBorder="1"/>
    <xf numFmtId="174" fontId="41" fillId="0" borderId="3" xfId="1" applyNumberFormat="1" applyFont="1" applyBorder="1"/>
    <xf numFmtId="174" fontId="41" fillId="3" borderId="2" xfId="1" applyNumberFormat="1" applyFont="1" applyFill="1" applyBorder="1"/>
    <xf numFmtId="174" fontId="41" fillId="3" borderId="4" xfId="1" applyNumberFormat="1" applyFont="1" applyFill="1" applyBorder="1"/>
    <xf numFmtId="174" fontId="51" fillId="3" borderId="5" xfId="1" applyNumberFormat="1" applyFont="1" applyFill="1" applyBorder="1" applyAlignment="1">
      <alignment vertical="top" wrapText="1"/>
    </xf>
    <xf numFmtId="174" fontId="51" fillId="3" borderId="6" xfId="1" applyNumberFormat="1" applyFont="1" applyFill="1" applyBorder="1" applyAlignment="1">
      <alignment vertical="top" wrapText="1"/>
    </xf>
    <xf numFmtId="174" fontId="41" fillId="0" borderId="12" xfId="1" applyNumberFormat="1" applyFont="1" applyBorder="1"/>
    <xf numFmtId="0" fontId="42" fillId="10" borderId="2" xfId="0" applyFont="1" applyFill="1" applyBorder="1"/>
    <xf numFmtId="0" fontId="65" fillId="10" borderId="3" xfId="0" applyFont="1" applyFill="1" applyBorder="1" applyAlignment="1">
      <alignment horizontal="center" vertical="center" wrapText="1"/>
    </xf>
    <xf numFmtId="0" fontId="65" fillId="10" borderId="3" xfId="0" applyFont="1" applyFill="1" applyBorder="1"/>
    <xf numFmtId="0" fontId="65" fillId="10" borderId="4" xfId="0" applyFont="1" applyFill="1" applyBorder="1"/>
    <xf numFmtId="10" fontId="41" fillId="3" borderId="5" xfId="2" applyNumberFormat="1" applyFont="1" applyFill="1" applyBorder="1"/>
    <xf numFmtId="9" fontId="41" fillId="0" borderId="0" xfId="0" applyNumberFormat="1" applyFont="1"/>
    <xf numFmtId="10" fontId="41" fillId="0" borderId="0" xfId="0" applyNumberFormat="1" applyFont="1"/>
    <xf numFmtId="10" fontId="41" fillId="0" borderId="12" xfId="2" applyNumberFormat="1" applyFont="1" applyBorder="1"/>
    <xf numFmtId="10" fontId="41" fillId="3" borderId="10" xfId="2" applyNumberFormat="1" applyFont="1" applyFill="1" applyBorder="1"/>
    <xf numFmtId="10" fontId="41" fillId="3" borderId="11" xfId="2" applyNumberFormat="1" applyFont="1" applyFill="1" applyBorder="1"/>
    <xf numFmtId="166" fontId="41" fillId="0" borderId="0" xfId="2" applyNumberFormat="1" applyFont="1" applyBorder="1"/>
    <xf numFmtId="166" fontId="41" fillId="3" borderId="5" xfId="2" applyNumberFormat="1" applyFont="1" applyFill="1" applyBorder="1"/>
    <xf numFmtId="166" fontId="41" fillId="3" borderId="6" xfId="2" applyNumberFormat="1" applyFont="1" applyFill="1" applyBorder="1"/>
    <xf numFmtId="166" fontId="41" fillId="0" borderId="6" xfId="2" applyNumberFormat="1" applyFont="1" applyBorder="1"/>
    <xf numFmtId="166" fontId="41" fillId="0" borderId="12" xfId="2" applyNumberFormat="1" applyFont="1" applyBorder="1"/>
    <xf numFmtId="166" fontId="41" fillId="3" borderId="10" xfId="2" applyNumberFormat="1" applyFont="1" applyFill="1" applyBorder="1"/>
    <xf numFmtId="166" fontId="41" fillId="3" borderId="11" xfId="2" applyNumberFormat="1" applyFont="1" applyFill="1" applyBorder="1"/>
    <xf numFmtId="166" fontId="41" fillId="0" borderId="11" xfId="2" applyNumberFormat="1" applyFont="1" applyBorder="1"/>
    <xf numFmtId="37" fontId="51" fillId="0" borderId="0" xfId="0" applyNumberFormat="1" applyFont="1" applyAlignment="1">
      <alignment horizontal="right" vertical="top"/>
    </xf>
    <xf numFmtId="37" fontId="41" fillId="0" borderId="0" xfId="0" applyNumberFormat="1" applyFont="1"/>
    <xf numFmtId="165" fontId="51" fillId="0" borderId="0" xfId="0" applyNumberFormat="1" applyFont="1" applyAlignment="1">
      <alignment horizontal="right" vertical="top"/>
    </xf>
    <xf numFmtId="0" fontId="45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1" fontId="41" fillId="0" borderId="0" xfId="0" applyNumberFormat="1" applyFont="1"/>
    <xf numFmtId="166" fontId="41" fillId="0" borderId="0" xfId="2" applyNumberFormat="1" applyFont="1"/>
    <xf numFmtId="0" fontId="45" fillId="0" borderId="0" xfId="0" applyFont="1" applyAlignment="1">
      <alignment horizontal="right"/>
    </xf>
    <xf numFmtId="3" fontId="41" fillId="0" borderId="0" xfId="0" applyNumberFormat="1" applyFont="1" applyAlignment="1">
      <alignment horizontal="right"/>
    </xf>
    <xf numFmtId="3" fontId="45" fillId="0" borderId="0" xfId="0" applyNumberFormat="1" applyFont="1" applyAlignment="1">
      <alignment horizontal="right"/>
    </xf>
    <xf numFmtId="0" fontId="41" fillId="3" borderId="0" xfId="0" applyFont="1" applyFill="1"/>
    <xf numFmtId="164" fontId="51" fillId="0" borderId="0" xfId="0" applyNumberFormat="1" applyFont="1" applyAlignment="1">
      <alignment horizontal="right" vertical="top"/>
    </xf>
    <xf numFmtId="0" fontId="41" fillId="3" borderId="28" xfId="0" applyFont="1" applyFill="1" applyBorder="1"/>
    <xf numFmtId="37" fontId="51" fillId="0" borderId="1" xfId="0" applyNumberFormat="1" applyFont="1" applyBorder="1" applyAlignment="1">
      <alignment horizontal="right" vertical="top"/>
    </xf>
    <xf numFmtId="0" fontId="41" fillId="0" borderId="14" xfId="0" applyFont="1" applyBorder="1" applyAlignment="1">
      <alignment horizontal="left" indent="1"/>
    </xf>
    <xf numFmtId="0" fontId="41" fillId="0" borderId="14" xfId="0" applyFont="1" applyBorder="1"/>
    <xf numFmtId="0" fontId="41" fillId="0" borderId="1" xfId="0" applyFont="1" applyBorder="1" applyAlignment="1">
      <alignment horizontal="left" indent="1"/>
    </xf>
    <xf numFmtId="164" fontId="51" fillId="0" borderId="1" xfId="0" applyNumberFormat="1" applyFont="1" applyBorder="1" applyAlignment="1">
      <alignment horizontal="right" vertical="top"/>
    </xf>
    <xf numFmtId="0" fontId="41" fillId="0" borderId="35" xfId="0" applyFont="1" applyBorder="1" applyAlignment="1">
      <alignment horizontal="left" indent="1"/>
    </xf>
    <xf numFmtId="37" fontId="51" fillId="0" borderId="35" xfId="0" applyNumberFormat="1" applyFont="1" applyBorder="1" applyAlignment="1">
      <alignment horizontal="right" vertical="top"/>
    </xf>
    <xf numFmtId="174" fontId="41" fillId="0" borderId="35" xfId="1" applyNumberFormat="1" applyFont="1" applyBorder="1"/>
    <xf numFmtId="0" fontId="41" fillId="0" borderId="35" xfId="0" applyFont="1" applyBorder="1"/>
    <xf numFmtId="174" fontId="41" fillId="0" borderId="62" xfId="1" applyNumberFormat="1" applyFont="1" applyBorder="1"/>
    <xf numFmtId="0" fontId="41" fillId="0" borderId="52" xfId="0" applyFont="1" applyBorder="1"/>
    <xf numFmtId="0" fontId="41" fillId="0" borderId="44" xfId="0" applyFont="1" applyBorder="1"/>
    <xf numFmtId="0" fontId="41" fillId="0" borderId="52" xfId="0" applyFont="1" applyBorder="1" applyAlignment="1">
      <alignment horizontal="left" indent="1"/>
    </xf>
    <xf numFmtId="0" fontId="43" fillId="0" borderId="55" xfId="0" applyFont="1" applyBorder="1" applyAlignment="1">
      <alignment horizontal="left" indent="1"/>
    </xf>
    <xf numFmtId="0" fontId="43" fillId="0" borderId="63" xfId="0" applyFont="1" applyBorder="1" applyAlignment="1">
      <alignment horizontal="left" indent="1"/>
    </xf>
    <xf numFmtId="0" fontId="43" fillId="0" borderId="41" xfId="0" applyFont="1" applyBorder="1"/>
    <xf numFmtId="0" fontId="43" fillId="0" borderId="41" xfId="0" applyFont="1" applyBorder="1" applyAlignment="1">
      <alignment horizontal="left" indent="1"/>
    </xf>
    <xf numFmtId="164" fontId="66" fillId="0" borderId="12" xfId="0" applyNumberFormat="1" applyFont="1" applyBorder="1" applyAlignment="1">
      <alignment horizontal="right" vertical="top"/>
    </xf>
    <xf numFmtId="0" fontId="67" fillId="0" borderId="12" xfId="0" applyFont="1" applyBorder="1"/>
    <xf numFmtId="174" fontId="67" fillId="0" borderId="12" xfId="1" applyNumberFormat="1" applyFont="1" applyBorder="1"/>
    <xf numFmtId="174" fontId="67" fillId="0" borderId="11" xfId="1" applyNumberFormat="1" applyFont="1" applyBorder="1"/>
    <xf numFmtId="37" fontId="67" fillId="0" borderId="14" xfId="0" applyNumberFormat="1" applyFont="1" applyBorder="1"/>
    <xf numFmtId="37" fontId="67" fillId="0" borderId="59" xfId="0" applyNumberFormat="1" applyFont="1" applyBorder="1"/>
    <xf numFmtId="37" fontId="66" fillId="0" borderId="14" xfId="0" applyNumberFormat="1" applyFont="1" applyBorder="1" applyAlignment="1">
      <alignment horizontal="right" vertical="top"/>
    </xf>
    <xf numFmtId="0" fontId="67" fillId="0" borderId="14" xfId="0" applyFont="1" applyBorder="1"/>
    <xf numFmtId="174" fontId="67" fillId="0" borderId="14" xfId="1" applyNumberFormat="1" applyFont="1" applyBorder="1"/>
    <xf numFmtId="174" fontId="67" fillId="0" borderId="59" xfId="1" applyNumberFormat="1" applyFont="1" applyBorder="1"/>
    <xf numFmtId="10" fontId="41" fillId="0" borderId="1" xfId="2" applyNumberFormat="1" applyFont="1" applyBorder="1"/>
    <xf numFmtId="0" fontId="65" fillId="10" borderId="13" xfId="0" applyFont="1" applyFill="1" applyBorder="1" applyAlignment="1">
      <alignment horizontal="center" vertical="center" wrapText="1"/>
    </xf>
    <xf numFmtId="164" fontId="51" fillId="0" borderId="64" xfId="0" applyNumberFormat="1" applyFont="1" applyBorder="1" applyAlignment="1">
      <alignment horizontal="right" vertical="top"/>
    </xf>
    <xf numFmtId="37" fontId="51" fillId="0" borderId="64" xfId="0" applyNumberFormat="1" applyFont="1" applyBorder="1" applyAlignment="1">
      <alignment horizontal="right" vertical="top"/>
    </xf>
    <xf numFmtId="0" fontId="41" fillId="0" borderId="64" xfId="0" applyFont="1" applyBorder="1"/>
    <xf numFmtId="10" fontId="41" fillId="0" borderId="35" xfId="2" applyNumberFormat="1" applyFont="1" applyBorder="1"/>
    <xf numFmtId="1" fontId="41" fillId="0" borderId="28" xfId="0" applyNumberFormat="1" applyFont="1" applyBorder="1"/>
    <xf numFmtId="1" fontId="41" fillId="0" borderId="1" xfId="0" applyNumberFormat="1" applyFont="1" applyBorder="1"/>
    <xf numFmtId="37" fontId="41" fillId="0" borderId="28" xfId="0" applyNumberFormat="1" applyFont="1" applyBorder="1"/>
    <xf numFmtId="174" fontId="41" fillId="0" borderId="28" xfId="0" applyNumberFormat="1" applyFont="1" applyBorder="1"/>
    <xf numFmtId="10" fontId="41" fillId="0" borderId="6" xfId="0" applyNumberFormat="1" applyFont="1" applyBorder="1"/>
    <xf numFmtId="9" fontId="41" fillId="0" borderId="6" xfId="0" applyNumberFormat="1" applyFont="1" applyBorder="1"/>
    <xf numFmtId="0" fontId="41" fillId="0" borderId="61" xfId="0" applyFont="1" applyBorder="1"/>
    <xf numFmtId="1" fontId="41" fillId="0" borderId="44" xfId="0" applyNumberFormat="1" applyFont="1" applyBorder="1"/>
    <xf numFmtId="1" fontId="41" fillId="0" borderId="6" xfId="0" applyNumberFormat="1" applyFont="1" applyBorder="1"/>
    <xf numFmtId="1" fontId="41" fillId="0" borderId="47" xfId="0" applyNumberFormat="1" applyFont="1" applyBorder="1"/>
    <xf numFmtId="174" fontId="41" fillId="0" borderId="44" xfId="0" applyNumberFormat="1" applyFont="1" applyBorder="1"/>
    <xf numFmtId="37" fontId="41" fillId="0" borderId="12" xfId="0" applyNumberFormat="1" applyFont="1" applyBorder="1"/>
    <xf numFmtId="1" fontId="41" fillId="0" borderId="12" xfId="0" applyNumberFormat="1" applyFont="1" applyBorder="1"/>
    <xf numFmtId="1" fontId="41" fillId="0" borderId="11" xfId="0" applyNumberFormat="1" applyFont="1" applyBorder="1"/>
    <xf numFmtId="0" fontId="51" fillId="3" borderId="64" xfId="0" applyFont="1" applyFill="1" applyBorder="1" applyAlignment="1">
      <alignment vertical="top" wrapText="1"/>
    </xf>
    <xf numFmtId="0" fontId="41" fillId="3" borderId="65" xfId="0" applyFont="1" applyFill="1" applyBorder="1"/>
    <xf numFmtId="164" fontId="51" fillId="3" borderId="64" xfId="0" applyNumberFormat="1" applyFont="1" applyFill="1" applyBorder="1" applyAlignment="1">
      <alignment horizontal="right" vertical="top"/>
    </xf>
    <xf numFmtId="37" fontId="51" fillId="3" borderId="64" xfId="0" applyNumberFormat="1" applyFont="1" applyFill="1" applyBorder="1" applyAlignment="1">
      <alignment horizontal="right" vertical="top"/>
    </xf>
    <xf numFmtId="37" fontId="51" fillId="3" borderId="56" xfId="0" applyNumberFormat="1" applyFont="1" applyFill="1" applyBorder="1" applyAlignment="1">
      <alignment horizontal="right" vertical="top"/>
    </xf>
    <xf numFmtId="37" fontId="66" fillId="3" borderId="57" xfId="0" applyNumberFormat="1" applyFont="1" applyFill="1" applyBorder="1" applyAlignment="1">
      <alignment horizontal="right" vertical="top"/>
    </xf>
    <xf numFmtId="0" fontId="41" fillId="3" borderId="64" xfId="0" applyFont="1" applyFill="1" applyBorder="1"/>
    <xf numFmtId="164" fontId="51" fillId="3" borderId="56" xfId="0" applyNumberFormat="1" applyFont="1" applyFill="1" applyBorder="1" applyAlignment="1">
      <alignment horizontal="right" vertical="top"/>
    </xf>
    <xf numFmtId="37" fontId="67" fillId="3" borderId="57" xfId="0" applyNumberFormat="1" applyFont="1" applyFill="1" applyBorder="1"/>
    <xf numFmtId="37" fontId="51" fillId="3" borderId="60" xfId="0" applyNumberFormat="1" applyFont="1" applyFill="1" applyBorder="1" applyAlignment="1">
      <alignment horizontal="right" vertical="top"/>
    </xf>
    <xf numFmtId="37" fontId="66" fillId="3" borderId="38" xfId="0" applyNumberFormat="1" applyFont="1" applyFill="1" applyBorder="1" applyAlignment="1">
      <alignment horizontal="right" vertical="top"/>
    </xf>
    <xf numFmtId="10" fontId="41" fillId="3" borderId="65" xfId="2" applyNumberFormat="1" applyFont="1" applyFill="1" applyBorder="1"/>
    <xf numFmtId="10" fontId="41" fillId="3" borderId="64" xfId="2" applyNumberFormat="1" applyFont="1" applyFill="1" applyBorder="1"/>
    <xf numFmtId="10" fontId="41" fillId="3" borderId="56" xfId="2" applyNumberFormat="1" applyFont="1" applyFill="1" applyBorder="1"/>
    <xf numFmtId="10" fontId="41" fillId="3" borderId="60" xfId="2" applyNumberFormat="1" applyFont="1" applyFill="1" applyBorder="1"/>
    <xf numFmtId="37" fontId="41" fillId="3" borderId="64" xfId="0" applyNumberFormat="1" applyFont="1" applyFill="1" applyBorder="1"/>
    <xf numFmtId="0" fontId="41" fillId="3" borderId="56" xfId="0" applyFont="1" applyFill="1" applyBorder="1"/>
    <xf numFmtId="37" fontId="41" fillId="3" borderId="38" xfId="0" applyNumberFormat="1" applyFont="1" applyFill="1" applyBorder="1"/>
    <xf numFmtId="0" fontId="41" fillId="0" borderId="10" xfId="0" applyFont="1" applyBorder="1" applyAlignment="1">
      <alignment horizontal="left" indent="1"/>
    </xf>
    <xf numFmtId="43" fontId="27" fillId="0" borderId="0" xfId="1" applyFont="1"/>
    <xf numFmtId="0" fontId="42" fillId="10" borderId="13" xfId="0" applyFont="1" applyFill="1" applyBorder="1"/>
    <xf numFmtId="43" fontId="43" fillId="0" borderId="12" xfId="1" applyFont="1" applyBorder="1"/>
    <xf numFmtId="0" fontId="43" fillId="0" borderId="12" xfId="0" applyFont="1" applyBorder="1"/>
    <xf numFmtId="3" fontId="41" fillId="0" borderId="6" xfId="0" applyNumberFormat="1" applyFont="1" applyBorder="1"/>
    <xf numFmtId="164" fontId="34" fillId="0" borderId="0" xfId="0" applyNumberFormat="1" applyFont="1" applyAlignment="1">
      <alignment horizontal="right" vertical="top"/>
    </xf>
    <xf numFmtId="37" fontId="34" fillId="0" borderId="0" xfId="0" applyNumberFormat="1" applyFont="1" applyAlignment="1">
      <alignment horizontal="right" vertical="top"/>
    </xf>
    <xf numFmtId="164" fontId="34" fillId="0" borderId="12" xfId="0" applyNumberFormat="1" applyFont="1" applyBorder="1" applyAlignment="1">
      <alignment horizontal="right" vertical="top"/>
    </xf>
    <xf numFmtId="0" fontId="68" fillId="10" borderId="66" xfId="0" applyFont="1" applyFill="1" applyBorder="1"/>
    <xf numFmtId="0" fontId="68" fillId="10" borderId="3" xfId="0" applyFont="1" applyFill="1" applyBorder="1"/>
    <xf numFmtId="0" fontId="68" fillId="10" borderId="4" xfId="0" applyFont="1" applyFill="1" applyBorder="1"/>
    <xf numFmtId="0" fontId="68" fillId="10" borderId="2" xfId="0" applyFont="1" applyFill="1" applyBorder="1"/>
    <xf numFmtId="43" fontId="69" fillId="0" borderId="67" xfId="1" applyFont="1" applyBorder="1"/>
    <xf numFmtId="43" fontId="69" fillId="0" borderId="3" xfId="1" applyFont="1" applyBorder="1"/>
    <xf numFmtId="43" fontId="69" fillId="0" borderId="68" xfId="1" applyFont="1" applyBorder="1"/>
    <xf numFmtId="43" fontId="69" fillId="0" borderId="4" xfId="1" applyFont="1" applyBorder="1"/>
    <xf numFmtId="0" fontId="68" fillId="10" borderId="5" xfId="0" applyFont="1" applyFill="1" applyBorder="1"/>
    <xf numFmtId="43" fontId="69" fillId="0" borderId="37" xfId="1" applyFont="1" applyBorder="1"/>
    <xf numFmtId="43" fontId="69" fillId="0" borderId="15" xfId="1" applyFont="1" applyBorder="1"/>
    <xf numFmtId="43" fontId="69" fillId="0" borderId="28" xfId="1" applyFont="1" applyBorder="1"/>
    <xf numFmtId="43" fontId="69" fillId="0" borderId="16" xfId="1" applyFont="1" applyBorder="1"/>
    <xf numFmtId="43" fontId="69" fillId="0" borderId="44" xfId="1" applyFont="1" applyBorder="1"/>
    <xf numFmtId="43" fontId="69" fillId="0" borderId="0" xfId="1" applyFont="1" applyBorder="1"/>
    <xf numFmtId="43" fontId="69" fillId="0" borderId="32" xfId="1" applyFont="1" applyBorder="1"/>
    <xf numFmtId="43" fontId="69" fillId="0" borderId="6" xfId="1" applyFont="1" applyBorder="1"/>
    <xf numFmtId="43" fontId="69" fillId="0" borderId="20" xfId="1" applyFont="1" applyBorder="1"/>
    <xf numFmtId="43" fontId="69" fillId="0" borderId="1" xfId="1" applyFont="1" applyBorder="1"/>
    <xf numFmtId="43" fontId="69" fillId="0" borderId="21" xfId="1" applyFont="1" applyBorder="1"/>
    <xf numFmtId="0" fontId="68" fillId="10" borderId="38" xfId="0" applyFont="1" applyFill="1" applyBorder="1"/>
    <xf numFmtId="43" fontId="69" fillId="0" borderId="10" xfId="1" applyFont="1" applyBorder="1"/>
    <xf numFmtId="43" fontId="69" fillId="0" borderId="46" xfId="1" applyFont="1" applyBorder="1"/>
    <xf numFmtId="43" fontId="69" fillId="0" borderId="12" xfId="1" applyFont="1" applyBorder="1"/>
    <xf numFmtId="43" fontId="69" fillId="0" borderId="11" xfId="1" applyFont="1" applyBorder="1"/>
    <xf numFmtId="14" fontId="40" fillId="0" borderId="0" xfId="0" applyNumberFormat="1" applyFont="1"/>
    <xf numFmtId="10" fontId="40" fillId="0" borderId="0" xfId="0" applyNumberFormat="1" applyFont="1"/>
    <xf numFmtId="10" fontId="47" fillId="0" borderId="28" xfId="0" applyNumberFormat="1" applyFont="1" applyBorder="1"/>
    <xf numFmtId="10" fontId="47" fillId="0" borderId="44" xfId="0" applyNumberFormat="1" applyFont="1" applyBorder="1"/>
    <xf numFmtId="10" fontId="47" fillId="0" borderId="0" xfId="0" applyNumberFormat="1" applyFont="1"/>
    <xf numFmtId="10" fontId="47" fillId="0" borderId="6" xfId="0" applyNumberFormat="1" applyFont="1" applyBorder="1"/>
    <xf numFmtId="10" fontId="47" fillId="0" borderId="1" xfId="0" applyNumberFormat="1" applyFont="1" applyBorder="1"/>
    <xf numFmtId="10" fontId="47" fillId="0" borderId="47" xfId="0" applyNumberFormat="1" applyFont="1" applyBorder="1"/>
    <xf numFmtId="9" fontId="47" fillId="0" borderId="28" xfId="0" applyNumberFormat="1" applyFont="1" applyBorder="1"/>
    <xf numFmtId="9" fontId="47" fillId="0" borderId="44" xfId="0" applyNumberFormat="1" applyFont="1" applyBorder="1"/>
    <xf numFmtId="9" fontId="47" fillId="0" borderId="1" xfId="0" applyNumberFormat="1" applyFont="1" applyBorder="1"/>
    <xf numFmtId="9" fontId="47" fillId="0" borderId="47" xfId="0" applyNumberFormat="1" applyFont="1" applyBorder="1"/>
    <xf numFmtId="9" fontId="47" fillId="0" borderId="35" xfId="0" applyNumberFormat="1" applyFont="1" applyBorder="1"/>
    <xf numFmtId="9" fontId="47" fillId="0" borderId="62" xfId="0" applyNumberFormat="1" applyFont="1" applyBorder="1"/>
    <xf numFmtId="174" fontId="41" fillId="3" borderId="0" xfId="1" applyNumberFormat="1" applyFont="1" applyFill="1" applyBorder="1"/>
    <xf numFmtId="43" fontId="41" fillId="3" borderId="1" xfId="1" applyFont="1" applyFill="1" applyBorder="1"/>
    <xf numFmtId="0" fontId="41" fillId="3" borderId="1" xfId="0" applyFont="1" applyFill="1" applyBorder="1"/>
    <xf numFmtId="0" fontId="41" fillId="3" borderId="0" xfId="0" applyFont="1" applyFill="1" applyAlignment="1">
      <alignment horizontal="left" indent="1"/>
    </xf>
    <xf numFmtId="174" fontId="41" fillId="0" borderId="1" xfId="0" applyNumberFormat="1" applyFont="1" applyBorder="1"/>
    <xf numFmtId="1" fontId="41" fillId="0" borderId="35" xfId="0" applyNumberFormat="1" applyFont="1" applyBorder="1"/>
    <xf numFmtId="0" fontId="43" fillId="0" borderId="0" xfId="0" applyFont="1"/>
    <xf numFmtId="0" fontId="43" fillId="0" borderId="6" xfId="0" applyFont="1" applyBorder="1"/>
    <xf numFmtId="0" fontId="41" fillId="3" borderId="5" xfId="0" applyFont="1" applyFill="1" applyBorder="1" applyAlignment="1">
      <alignment horizontal="left" indent="1"/>
    </xf>
    <xf numFmtId="174" fontId="41" fillId="3" borderId="6" xfId="1" applyNumberFormat="1" applyFont="1" applyFill="1" applyBorder="1"/>
    <xf numFmtId="0" fontId="41" fillId="3" borderId="42" xfId="0" applyFont="1" applyFill="1" applyBorder="1" applyAlignment="1">
      <alignment horizontal="left" indent="1"/>
    </xf>
    <xf numFmtId="0" fontId="41" fillId="3" borderId="6" xfId="0" applyFont="1" applyFill="1" applyBorder="1" applyAlignment="1">
      <alignment horizontal="left" indent="1"/>
    </xf>
    <xf numFmtId="174" fontId="41" fillId="0" borderId="47" xfId="0" applyNumberFormat="1" applyFont="1" applyBorder="1"/>
    <xf numFmtId="1" fontId="41" fillId="0" borderId="62" xfId="0" applyNumberFormat="1" applyFont="1" applyBorder="1"/>
    <xf numFmtId="0" fontId="41" fillId="0" borderId="58" xfId="0" applyFont="1" applyBorder="1"/>
    <xf numFmtId="0" fontId="41" fillId="0" borderId="59" xfId="0" applyFont="1" applyBorder="1"/>
    <xf numFmtId="174" fontId="41" fillId="0" borderId="12" xfId="0" applyNumberFormat="1" applyFont="1" applyBorder="1"/>
    <xf numFmtId="174" fontId="41" fillId="0" borderId="11" xfId="0" applyNumberFormat="1" applyFont="1" applyBorder="1"/>
    <xf numFmtId="0" fontId="22" fillId="0" borderId="0" xfId="0" applyFont="1"/>
    <xf numFmtId="0" fontId="65" fillId="10" borderId="49" xfId="0" applyFont="1" applyFill="1" applyBorder="1" applyAlignment="1">
      <alignment horizontal="center" vertical="center" wrapText="1"/>
    </xf>
    <xf numFmtId="0" fontId="65" fillId="10" borderId="50" xfId="0" applyFont="1" applyFill="1" applyBorder="1" applyAlignment="1">
      <alignment horizontal="center" vertical="center" wrapText="1"/>
    </xf>
    <xf numFmtId="4" fontId="28" fillId="0" borderId="0" xfId="0" applyNumberFormat="1" applyFont="1"/>
    <xf numFmtId="174" fontId="51" fillId="0" borderId="12" xfId="1" applyNumberFormat="1" applyFont="1" applyBorder="1" applyAlignment="1">
      <alignment horizontal="right" vertical="top"/>
    </xf>
    <xf numFmtId="10" fontId="47" fillId="0" borderId="0" xfId="2" applyNumberFormat="1" applyFont="1" applyBorder="1"/>
    <xf numFmtId="10" fontId="47" fillId="0" borderId="6" xfId="2" applyNumberFormat="1" applyFont="1" applyBorder="1"/>
    <xf numFmtId="0" fontId="41" fillId="0" borderId="3" xfId="0" applyFont="1" applyBorder="1"/>
    <xf numFmtId="174" fontId="41" fillId="0" borderId="0" xfId="1" applyNumberFormat="1" applyFont="1" applyBorder="1" applyAlignment="1">
      <alignment horizontal="right"/>
    </xf>
    <xf numFmtId="174" fontId="41" fillId="0" borderId="6" xfId="1" applyNumberFormat="1" applyFont="1" applyBorder="1" applyAlignment="1">
      <alignment horizontal="right"/>
    </xf>
    <xf numFmtId="174" fontId="41" fillId="0" borderId="12" xfId="1" applyNumberFormat="1" applyFont="1" applyBorder="1" applyAlignment="1">
      <alignment horizontal="right"/>
    </xf>
    <xf numFmtId="174" fontId="41" fillId="0" borderId="11" xfId="1" applyNumberFormat="1" applyFont="1" applyBorder="1" applyAlignment="1">
      <alignment horizontal="right"/>
    </xf>
    <xf numFmtId="0" fontId="41" fillId="0" borderId="10" xfId="0" applyFont="1" applyBorder="1" applyAlignment="1">
      <alignment horizontal="left" indent="2"/>
    </xf>
    <xf numFmtId="0" fontId="42" fillId="10" borderId="3" xfId="0" applyFont="1" applyFill="1" applyBorder="1"/>
    <xf numFmtId="0" fontId="42" fillId="10" borderId="4" xfId="0" applyFont="1" applyFill="1" applyBorder="1"/>
    <xf numFmtId="9" fontId="41" fillId="0" borderId="10" xfId="0" applyNumberFormat="1" applyFont="1" applyBorder="1"/>
    <xf numFmtId="9" fontId="41" fillId="0" borderId="12" xfId="0" applyNumberFormat="1" applyFont="1" applyBorder="1"/>
    <xf numFmtId="9" fontId="41" fillId="0" borderId="11" xfId="0" applyNumberFormat="1" applyFont="1" applyBorder="1"/>
    <xf numFmtId="0" fontId="41" fillId="0" borderId="47" xfId="0" applyFont="1" applyBorder="1"/>
    <xf numFmtId="0" fontId="41" fillId="0" borderId="5" xfId="0" applyFont="1" applyBorder="1" applyAlignment="1">
      <alignment horizontal="left"/>
    </xf>
    <xf numFmtId="10" fontId="51" fillId="0" borderId="0" xfId="2" applyNumberFormat="1" applyFont="1"/>
    <xf numFmtId="0" fontId="43" fillId="0" borderId="0" xfId="0" applyFont="1" applyAlignment="1">
      <alignment horizontal="left" indent="1"/>
    </xf>
    <xf numFmtId="164" fontId="66" fillId="0" borderId="0" xfId="0" applyNumberFormat="1" applyFont="1" applyAlignment="1">
      <alignment horizontal="right" vertical="top"/>
    </xf>
    <xf numFmtId="0" fontId="67" fillId="0" borderId="0" xfId="0" applyFont="1"/>
    <xf numFmtId="37" fontId="66" fillId="3" borderId="64" xfId="0" applyNumberFormat="1" applyFont="1" applyFill="1" applyBorder="1" applyAlignment="1">
      <alignment horizontal="right" vertical="top"/>
    </xf>
    <xf numFmtId="174" fontId="67" fillId="0" borderId="0" xfId="1" applyNumberFormat="1" applyFont="1" applyBorder="1"/>
    <xf numFmtId="9" fontId="41" fillId="0" borderId="0" xfId="2" applyFont="1"/>
    <xf numFmtId="0" fontId="65" fillId="10" borderId="7" xfId="0" applyFont="1" applyFill="1" applyBorder="1"/>
    <xf numFmtId="0" fontId="45" fillId="0" borderId="5" xfId="0" applyFont="1" applyBorder="1"/>
    <xf numFmtId="0" fontId="45" fillId="0" borderId="10" xfId="0" applyFont="1" applyBorder="1"/>
    <xf numFmtId="0" fontId="45" fillId="0" borderId="12" xfId="0" applyFont="1" applyBorder="1"/>
    <xf numFmtId="9" fontId="41" fillId="0" borderId="1" xfId="2" applyFont="1" applyBorder="1"/>
    <xf numFmtId="9" fontId="41" fillId="0" borderId="47" xfId="2" applyFont="1" applyBorder="1"/>
    <xf numFmtId="0" fontId="0" fillId="0" borderId="12" xfId="0" applyBorder="1"/>
    <xf numFmtId="2" fontId="67" fillId="0" borderId="0" xfId="0" applyNumberFormat="1" applyFont="1"/>
    <xf numFmtId="2" fontId="67" fillId="0" borderId="6" xfId="0" applyNumberFormat="1" applyFont="1" applyBorder="1"/>
    <xf numFmtId="2" fontId="67" fillId="0" borderId="12" xfId="0" applyNumberFormat="1" applyFont="1" applyBorder="1"/>
    <xf numFmtId="2" fontId="67" fillId="0" borderId="11" xfId="0" applyNumberFormat="1" applyFont="1" applyBorder="1"/>
    <xf numFmtId="10" fontId="36" fillId="0" borderId="66" xfId="0" applyNumberFormat="1" applyFont="1" applyBorder="1"/>
    <xf numFmtId="10" fontId="36" fillId="0" borderId="64" xfId="0" applyNumberFormat="1" applyFont="1" applyBorder="1"/>
    <xf numFmtId="10" fontId="36" fillId="0" borderId="38" xfId="0" applyNumberFormat="1" applyFont="1" applyBorder="1"/>
    <xf numFmtId="0" fontId="68" fillId="10" borderId="13" xfId="0" applyFont="1" applyFill="1" applyBorder="1"/>
    <xf numFmtId="0" fontId="65" fillId="10" borderId="36" xfId="0" applyFont="1" applyFill="1" applyBorder="1" applyAlignment="1">
      <alignment horizontal="center"/>
    </xf>
    <xf numFmtId="0" fontId="65" fillId="10" borderId="34" xfId="0" applyFont="1" applyFill="1" applyBorder="1" applyAlignment="1">
      <alignment horizontal="center"/>
    </xf>
    <xf numFmtId="0" fontId="65" fillId="10" borderId="42" xfId="0" applyFont="1" applyFill="1" applyBorder="1" applyAlignment="1">
      <alignment horizontal="center"/>
    </xf>
    <xf numFmtId="0" fontId="65" fillId="10" borderId="21" xfId="0" applyFont="1" applyFill="1" applyBorder="1" applyAlignment="1">
      <alignment horizontal="center"/>
    </xf>
  </cellXfs>
  <cellStyles count="8">
    <cellStyle name="Comma" xfId="1" builtinId="3"/>
    <cellStyle name="Currency" xfId="6" builtinId="4"/>
    <cellStyle name="Hyperlink" xfId="3" builtinId="8"/>
    <cellStyle name="Normal" xfId="0" builtinId="0"/>
    <cellStyle name="Normal 3" xfId="4" xr:uid="{09ADF41C-07DD-4C4A-B92A-300C47B8CF2D}"/>
    <cellStyle name="Normal_PiranhaWeb Comps Model 3" xfId="7" xr:uid="{33CDEA06-9CC0-EE41-AB8B-3810273A7151}"/>
    <cellStyle name="Percent" xfId="2" builtinId="5"/>
    <cellStyle name="Percent 2" xfId="5" xr:uid="{BB044018-9C3F-FF44-A68F-695BA8FC1FD5}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46CA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Cover!$B$10:$B$12</c:f>
              <c:strCache>
                <c:ptCount val="3"/>
                <c:pt idx="0">
                  <c:v>Current Price</c:v>
                </c:pt>
                <c:pt idx="1">
                  <c:v>Valuation:</c:v>
                </c:pt>
                <c:pt idx="2">
                  <c:v>Model 12-month Price Target</c:v>
                </c:pt>
              </c:strCache>
            </c:strRef>
          </c:cat>
          <c:val>
            <c:numRef>
              <c:f>Cover!$C$10:$C$12</c:f>
              <c:numCache>
                <c:formatCode>0.00</c:formatCode>
                <c:ptCount val="3"/>
                <c:pt idx="0" formatCode="General">
                  <c:v>139.35</c:v>
                </c:pt>
                <c:pt idx="1">
                  <c:v>148.93646567978348</c:v>
                </c:pt>
                <c:pt idx="2">
                  <c:v>152.80877434588496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5D-DE4D-829D-D2E99FAA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28851711"/>
        <c:axId val="1983989679"/>
      </c:barChart>
      <c:catAx>
        <c:axId val="1528851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989679"/>
        <c:crosses val="autoZero"/>
        <c:auto val="1"/>
        <c:lblAlgn val="ctr"/>
        <c:lblOffset val="100"/>
        <c:noMultiLvlLbl val="0"/>
      </c:catAx>
      <c:valAx>
        <c:axId val="198398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5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Business</a:t>
            </a:r>
            <a:r>
              <a:rPr lang="en-US" baseline="0"/>
              <a:t> </a:t>
            </a:r>
            <a:r>
              <a:rPr lang="en-US"/>
              <a:t>Segments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E8D-874F-A2D0-80D816A06D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E8D-874F-A2D0-80D816A06D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E8D-874F-A2D0-80D816A06D3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E8D-874F-A2D0-80D816A06D3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'Revenue Cleaned'!$B$12:$B$15</c:f>
              <c:strCache>
                <c:ptCount val="4"/>
                <c:pt idx="0">
                  <c:v>Personal Care</c:v>
                </c:pt>
                <c:pt idx="1">
                  <c:v>Consumer Tissue</c:v>
                </c:pt>
                <c:pt idx="2">
                  <c:v>K-C Professional</c:v>
                </c:pt>
                <c:pt idx="3">
                  <c:v>Corporate and Other</c:v>
                </c:pt>
              </c:strCache>
            </c:strRef>
          </c:cat>
          <c:val>
            <c:numRef>
              <c:f>'Revenue Cleaned'!$J$12:$J$15</c:f>
              <c:numCache>
                <c:formatCode>0%</c:formatCode>
                <c:ptCount val="4"/>
                <c:pt idx="0">
                  <c:v>0.52327345700161521</c:v>
                </c:pt>
                <c:pt idx="1">
                  <c:v>0.30786549850717049</c:v>
                </c:pt>
                <c:pt idx="2">
                  <c:v>0.16660956389799814</c:v>
                </c:pt>
                <c:pt idx="3">
                  <c:v>2.2514805932161912E-3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47-8248-926B-C9273FB8B99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765541</xdr:colOff>
      <xdr:row>8</xdr:row>
      <xdr:rowOff>111760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F763F5-8F62-FF4A-5097-2A433C4447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517"/>
        <a:stretch/>
      </xdr:blipFill>
      <xdr:spPr>
        <a:xfrm>
          <a:off x="0" y="0"/>
          <a:ext cx="6264641" cy="1737360"/>
        </a:xfrm>
        <a:prstGeom prst="rect">
          <a:avLst/>
        </a:prstGeom>
      </xdr:spPr>
    </xdr:pic>
    <xdr:clientData/>
  </xdr:twoCellAnchor>
  <xdr:twoCellAnchor>
    <xdr:from>
      <xdr:col>9</xdr:col>
      <xdr:colOff>107950</xdr:colOff>
      <xdr:row>3</xdr:row>
      <xdr:rowOff>107950</xdr:rowOff>
    </xdr:from>
    <xdr:to>
      <xdr:col>13</xdr:col>
      <xdr:colOff>361950</xdr:colOff>
      <xdr:row>15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8D595B-E205-042D-2DDA-CCCE37A3A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768349</xdr:colOff>
      <xdr:row>1</xdr:row>
      <xdr:rowOff>152870</xdr:rowOff>
    </xdr:from>
    <xdr:to>
      <xdr:col>22</xdr:col>
      <xdr:colOff>462609</xdr:colOff>
      <xdr:row>15</xdr:row>
      <xdr:rowOff>19286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384F78-F3D1-BB1A-5099-1B75A6E41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203199</xdr:rowOff>
    </xdr:from>
    <xdr:to>
      <xdr:col>11</xdr:col>
      <xdr:colOff>76200</xdr:colOff>
      <xdr:row>17</xdr:row>
      <xdr:rowOff>35940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B9EE3A-D206-9C4F-8807-7ACA2C5A1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" y="203199"/>
          <a:ext cx="10871200" cy="3287141"/>
        </a:xfrm>
        <a:prstGeom prst="rect">
          <a:avLst/>
        </a:prstGeom>
      </xdr:spPr>
    </xdr:pic>
    <xdr:clientData/>
  </xdr:twoCellAnchor>
  <xdr:twoCellAnchor editAs="oneCell">
    <xdr:from>
      <xdr:col>1</xdr:col>
      <xdr:colOff>50799</xdr:colOff>
      <xdr:row>17</xdr:row>
      <xdr:rowOff>76200</xdr:rowOff>
    </xdr:from>
    <xdr:to>
      <xdr:col>11</xdr:col>
      <xdr:colOff>89578</xdr:colOff>
      <xdr:row>34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852FE1-F777-F3AD-C748-5745935CF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299" y="3530600"/>
          <a:ext cx="10833779" cy="34417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shitiz Udainiya" id="{C6B88277-2370-F04D-93B0-FD9112B40D00}" userId="S::kshitiz@umd.edu::eaca7e6c-588a-40da-a692-4653867bbd50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" dT="2024-12-04T03:50:12.37" personId="{C6B88277-2370-F04D-93B0-FD9112B40D00}" id="{5780E7B7-C9F5-2F4D-94C2-603CC04B6865}">
    <text>Updated to FY2025 Value</text>
  </threadedComment>
  <threadedComment ref="E31" dT="2024-12-04T03:08:52.83" personId="{C6B88277-2370-F04D-93B0-FD9112B40D00}" id="{92D05C6D-3BBF-6D4E-95E5-C97407AF9A48}">
    <text>More weight given to historic beta as the forward beta seems uncharacteristically high.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2" dT="2024-12-04T19:43:25.25" personId="{C6B88277-2370-F04D-93B0-FD9112B40D00}" id="{312CD9CC-D0A5-E145-95D0-FA1D73018247}">
    <text xml:space="preserve">D&amp;E Markets comprise Eastern Europe, the Middle East and Africa, Latin America and Asia-Pacific, excluding Australia and South Korea
</text>
  </threadedComment>
  <threadedComment ref="B63" dT="2024-12-04T19:43:35.23" personId="{C6B88277-2370-F04D-93B0-FD9112B40D00}" id="{C6573625-C51D-4A4A-8A14-E8DCD5C8A3FB}">
    <text>Developed Markets consist of Western and Central Europe, Australia and South Korea.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J15" dT="2024-12-04T03:57:58.76" personId="{C6B88277-2370-F04D-93B0-FD9112B40D00}" id="{7FB13636-7A4D-2743-A897-BAC2636935A8}">
    <text>No explanation details shared on 10K. Only mentioned as earned from non earning securities.</text>
  </threadedComment>
  <threadedComment ref="M33" dT="2024-12-04T04:08:19.19" personId="{C6B88277-2370-F04D-93B0-FD9112B40D00}" id="{58E0B062-6D40-C745-B674-407EB9526C83}">
    <text>Q3 Cogs percentage</text>
  </threadedComment>
  <threadedComment ref="N33" dT="2024-12-04T19:10:41.63" personId="{C6B88277-2370-F04D-93B0-FD9112B40D00}" id="{B0656247-C56C-1D41-9A81-ABB2243935A1}">
    <text xml:space="preserve">Decresed as they have been implementing cost cutting measures all around the company. Futhermore the cogs were recently higher due to lingering covid effects.
There was also a new operating model implemented link - https://www.nasdaq.com/articles/kimberly-clark-announces-new-operating-model-to-incur-approx.-$1.5-bln-in-reorganization
</text>
    <extLst>
      <x:ext xmlns:xltc2="http://schemas.microsoft.com/office/spreadsheetml/2020/threadedcomments2" uri="{F7C98A9C-CBB3-438F-8F68-D28B6AF4A901}">
        <xltc2:checksum>1594514109</xltc2:checksum>
        <xltc2:hyperlink startIndex="215" length="120" url="https://www.nasdaq.com/articles/kimberly-clark-announces-new-operating-model-to-incur-approx.-$1.5-bln-in-reorganization"/>
        <xltc2:hyperlink startIndex="335" length="1" url="https://www.nasdaq.com/articles/kimberly-clark-announces-new-operating-model-to-incur-approx.-$1.5-bln-in-reorganization"/>
      </x:ext>
    </extLst>
  </threadedComment>
  <threadedComment ref="N35" dT="2024-12-04T20:30:57.75" personId="{C6B88277-2370-F04D-93B0-FD9112B40D00}" id="{1097AB0C-831A-0D4B-9332-F751B8BAC2C2}">
    <text xml:space="preserve">Due to their decrease in Volume. It’s important for them to keep Adv high
</text>
  </threadedComment>
  <threadedComment ref="N37" dT="2024-12-04T20:31:32.73" personId="{C6B88277-2370-F04D-93B0-FD9112B40D00}" id="{B136F389-598A-E443-9D29-AC8991CA174D}">
    <text>They have been focusing on cost cutting measures and hence I kept SGA a bit lower</text>
  </threadedComment>
  <threadedComment ref="S40" dT="2024-12-04T04:07:58.02" personId="{C6B88277-2370-F04D-93B0-FD9112B40D00}" id="{6AC9C974-3AC7-5D4A-B283-6CCFEAE0BF9E}">
    <text xml:space="preserve">Guidance
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87FCA6-3BD1-D445-B1A4-8D1AF1A608AB}">
  <we:reference id="wa200000565" version="1.0.0.78" store="en-US" storeType="OMEX"/>
  <we:alternateReferences>
    <we:reference id="wa200000565" version="1.0.0.78" store="" storeType="OMEX"/>
  </we:alternateReferences>
  <we:properties>
    <we:property name="userSettings_GEDTC-893175" value="&quot;{\&quot;dex2RequestClickThrough\&quot;:true,\&quot;isKeepRICUpperCase\&quot;:false,\&quot;functionSeparator\&quot;:\&quot;;\&quot;,\&quot;instrumentsHeaderSetting\&quot;:{\&quot;isInclude\&quot;:true,\&quot;headerPosition\&quot;:\&quot;Row\&quot;},\&quot;fieldsHeaderSetting\&quot;:{\&quot;isInclude\&quot;:true,\&quot;headerPosition\&quot;:\&quot;Column\&quot;},\&quot;dateHeaderSetting\&quot;:{\&quot;isInclude\&quot;:false,\&quot;headerPosition\&quot;:\&quot;Column\&quot;},\&quot;commonUserFundamentalsType\&quot;:\&quot;PLATFORM_DEFAULT\&quot;,\&quot;pauseMode\&quot;:false}&quot;"/>
    <we:property name="userSettings_GEUS2-90120" value="&quot;{\&quot;dex2RequestClickThrough\&quot;:true,\&quot;isKeepRICUpperCase\&quot;:false,\&quot;functionSeparator\&quot;:\&quot;;\&quot;,\&quot;instrumentsHeaderSetting\&quot;:{\&quot;isInclude\&quot;:true,\&quot;headerPosition\&quot;:\&quot;Row\&quot;},\&quot;fieldsHeaderSetting\&quot;:{\&quot;isInclude\&quot;:true,\&quot;headerPosition\&quot;:\&quot;Column\&quot;},\&quot;dateHeaderSetting\&quot;:{\&quot;isInclude\&quot;:false,\&quot;headerPosition\&quot;:\&quot;Column\&quot;},\&quot;commonUserFundamentalsType\&quot;:\&quot;PLATFORM_DEFAULT\&quot;,\&quot;pauseMode\&quot;:false}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cnbc.com/quotes/US10Y" TargetMode="External"/><Relationship Id="rId1" Type="http://schemas.openxmlformats.org/officeDocument/2006/relationships/hyperlink" Target="http://www.wsj.com/mdc/public/page/2_3021-peyield.html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FD6F-6AB0-2243-AA27-F45F7E047CA2}">
  <dimension ref="B9:H30"/>
  <sheetViews>
    <sheetView showGridLines="0" workbookViewId="0">
      <selection activeCell="D23" sqref="D23"/>
    </sheetView>
  </sheetViews>
  <sheetFormatPr baseColWidth="10" defaultRowHeight="16"/>
  <cols>
    <col min="1" max="1" width="10.625" style="184"/>
    <col min="2" max="2" width="22.25" style="184" bestFit="1" customWidth="1"/>
    <col min="3" max="6" width="10.625" style="184"/>
    <col min="7" max="7" width="9.25" style="184" customWidth="1"/>
    <col min="8" max="8" width="10.5" style="184" bestFit="1" customWidth="1"/>
    <col min="9" max="16384" width="10.625" style="184"/>
  </cols>
  <sheetData>
    <row r="9" spans="2:8" ht="17" thickBot="1">
      <c r="F9" s="676" t="s">
        <v>105</v>
      </c>
      <c r="G9" s="677"/>
      <c r="H9" s="420" t="s">
        <v>1540</v>
      </c>
    </row>
    <row r="10" spans="2:8">
      <c r="B10" s="421" t="s">
        <v>1528</v>
      </c>
      <c r="C10" s="422">
        <v>139.35</v>
      </c>
      <c r="F10" s="423" t="s">
        <v>1535</v>
      </c>
      <c r="G10" s="424">
        <v>2</v>
      </c>
      <c r="H10" s="425" t="s">
        <v>1536</v>
      </c>
    </row>
    <row r="11" spans="2:8">
      <c r="B11" s="426" t="s">
        <v>1529</v>
      </c>
      <c r="C11" s="427">
        <f ca="1">DCF!C9</f>
        <v>148.93646567978348</v>
      </c>
      <c r="F11" s="428" t="s">
        <v>4</v>
      </c>
      <c r="G11" s="425"/>
      <c r="H11" s="425" t="s">
        <v>1537</v>
      </c>
    </row>
    <row r="12" spans="2:8">
      <c r="B12" s="426" t="s">
        <v>1530</v>
      </c>
      <c r="C12" s="427">
        <f ca="1">DCF!C10</f>
        <v>152.80877434588496</v>
      </c>
      <c r="F12" s="429" t="s">
        <v>4</v>
      </c>
      <c r="G12" s="430" t="s">
        <v>4</v>
      </c>
      <c r="H12" s="430" t="s">
        <v>1538</v>
      </c>
    </row>
    <row r="13" spans="2:8" ht="17" thickBot="1">
      <c r="B13" s="431" t="s">
        <v>1533</v>
      </c>
      <c r="C13" s="269">
        <v>3.5000000000000003E-2</v>
      </c>
      <c r="F13" s="284"/>
      <c r="G13" s="284"/>
      <c r="H13" s="284"/>
    </row>
    <row r="14" spans="2:8">
      <c r="B14" s="426" t="s">
        <v>1531</v>
      </c>
      <c r="C14" s="269">
        <f ca="1">DCF!J9</f>
        <v>8.7921590064159894E-2</v>
      </c>
      <c r="F14" s="284"/>
      <c r="G14" s="284"/>
      <c r="H14" s="284"/>
    </row>
    <row r="15" spans="2:8" ht="17" thickBot="1">
      <c r="B15" s="431" t="s">
        <v>1532</v>
      </c>
      <c r="C15" s="269">
        <f ca="1">DCF!J10</f>
        <v>0.11620726330083975</v>
      </c>
      <c r="E15" s="432"/>
      <c r="F15" s="676" t="s">
        <v>117</v>
      </c>
      <c r="G15" s="677"/>
      <c r="H15" s="420" t="s">
        <v>1540</v>
      </c>
    </row>
    <row r="16" spans="2:8" ht="17" thickBot="1">
      <c r="B16" s="431" t="s">
        <v>1534</v>
      </c>
      <c r="C16" s="269">
        <f ca="1">C13+C15</f>
        <v>0.15120726330083975</v>
      </c>
      <c r="F16" s="423" t="s">
        <v>1535</v>
      </c>
      <c r="G16" s="424">
        <v>2</v>
      </c>
      <c r="H16" s="425" t="s">
        <v>1536</v>
      </c>
    </row>
    <row r="17" spans="2:8" ht="17" thickBot="1">
      <c r="B17" s="426" t="s">
        <v>1543</v>
      </c>
      <c r="C17" s="433">
        <f>Ke!E31</f>
        <v>7.3012996538442426E-2</v>
      </c>
      <c r="F17" s="428" t="s">
        <v>4</v>
      </c>
      <c r="G17" s="425"/>
      <c r="H17" s="425" t="s">
        <v>1537</v>
      </c>
    </row>
    <row r="18" spans="2:8">
      <c r="F18" s="429" t="s">
        <v>4</v>
      </c>
      <c r="G18" s="430" t="s">
        <v>4</v>
      </c>
      <c r="H18" s="430" t="s">
        <v>1538</v>
      </c>
    </row>
    <row r="19" spans="2:8">
      <c r="F19" s="284"/>
      <c r="G19" s="284"/>
      <c r="H19" s="284"/>
    </row>
    <row r="20" spans="2:8">
      <c r="F20" s="284"/>
      <c r="G20" s="284"/>
      <c r="H20" s="284"/>
    </row>
    <row r="21" spans="2:8">
      <c r="F21" s="674" t="s">
        <v>1539</v>
      </c>
      <c r="G21" s="675"/>
      <c r="H21" s="420" t="s">
        <v>1540</v>
      </c>
    </row>
    <row r="22" spans="2:8">
      <c r="F22" s="423" t="s">
        <v>1535</v>
      </c>
      <c r="G22" s="424">
        <v>2</v>
      </c>
      <c r="H22" s="425" t="s">
        <v>1536</v>
      </c>
    </row>
    <row r="23" spans="2:8">
      <c r="F23" s="428" t="s">
        <v>4</v>
      </c>
      <c r="G23" s="425"/>
      <c r="H23" s="425" t="s">
        <v>1537</v>
      </c>
    </row>
    <row r="24" spans="2:8">
      <c r="F24" s="429" t="s">
        <v>4</v>
      </c>
      <c r="G24" s="430" t="s">
        <v>4</v>
      </c>
      <c r="H24" s="430" t="s">
        <v>1538</v>
      </c>
    </row>
    <row r="27" spans="2:8">
      <c r="F27" s="674" t="s">
        <v>173</v>
      </c>
      <c r="G27" s="675"/>
      <c r="H27" s="420"/>
    </row>
    <row r="28" spans="2:8">
      <c r="F28" s="423" t="s">
        <v>1535</v>
      </c>
      <c r="G28" s="424">
        <v>2</v>
      </c>
      <c r="H28" s="425" t="s">
        <v>1536</v>
      </c>
    </row>
    <row r="29" spans="2:8">
      <c r="F29" s="428" t="s">
        <v>4</v>
      </c>
      <c r="G29" s="425"/>
      <c r="H29" s="425" t="s">
        <v>1537</v>
      </c>
    </row>
    <row r="30" spans="2:8">
      <c r="F30" s="429" t="s">
        <v>4</v>
      </c>
      <c r="G30" s="430" t="s">
        <v>4</v>
      </c>
      <c r="H30" s="430" t="s">
        <v>1538</v>
      </c>
    </row>
  </sheetData>
  <mergeCells count="4">
    <mergeCell ref="F21:G21"/>
    <mergeCell ref="F15:G15"/>
    <mergeCell ref="F9:G9"/>
    <mergeCell ref="F27:G27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9704-27DA-B64B-B700-B54BFB05B2DA}">
  <dimension ref="B1:O57"/>
  <sheetViews>
    <sheetView showGridLines="0" zoomScale="101" workbookViewId="0">
      <selection activeCell="C8" sqref="C8"/>
    </sheetView>
  </sheetViews>
  <sheetFormatPr baseColWidth="10" defaultRowHeight="16"/>
  <cols>
    <col min="1" max="1" width="2.125" style="184" customWidth="1"/>
    <col min="2" max="2" width="22" style="184" bestFit="1" customWidth="1"/>
    <col min="3" max="10" width="10.625" style="184"/>
    <col min="11" max="11" width="15.25" style="184" bestFit="1" customWidth="1"/>
    <col min="12" max="16384" width="10.625" style="184"/>
  </cols>
  <sheetData>
    <row r="1" spans="2:15">
      <c r="B1" s="320" t="str">
        <f>Ke!B3</f>
        <v>Kimberly-Clark Corporation</v>
      </c>
      <c r="C1" s="321"/>
      <c r="D1" s="321"/>
      <c r="E1" s="321"/>
      <c r="F1" s="321"/>
      <c r="G1" s="321"/>
      <c r="H1" s="321"/>
      <c r="I1" s="321"/>
      <c r="J1" s="321"/>
    </row>
    <row r="2" spans="2:15">
      <c r="B2" s="322" t="str">
        <f>B1</f>
        <v>Kimberly-Clark Corporation</v>
      </c>
      <c r="C2" s="322"/>
      <c r="D2" s="322"/>
      <c r="E2" s="322"/>
      <c r="F2" s="322"/>
      <c r="G2" s="322"/>
      <c r="H2" s="322"/>
      <c r="I2" s="322"/>
      <c r="J2" s="322"/>
    </row>
    <row r="3" spans="2:15" ht="17" thickBot="1">
      <c r="B3" s="320"/>
      <c r="C3" s="321"/>
      <c r="D3" s="321"/>
      <c r="E3" s="321"/>
      <c r="F3" s="321"/>
      <c r="G3" s="321"/>
      <c r="H3" s="321"/>
      <c r="I3" s="321"/>
      <c r="J3" s="323" t="s">
        <v>189</v>
      </c>
    </row>
    <row r="4" spans="2:15">
      <c r="B4" s="324" t="s">
        <v>190</v>
      </c>
      <c r="C4" s="325">
        <f>Ke!E31</f>
        <v>7.3012996538442426E-2</v>
      </c>
      <c r="D4" s="321"/>
      <c r="E4" s="321"/>
      <c r="F4" s="321"/>
      <c r="G4" s="321"/>
      <c r="H4" s="326">
        <f ca="1">TODAY()</f>
        <v>45687</v>
      </c>
      <c r="I4" s="327" t="s">
        <v>191</v>
      </c>
      <c r="J4" s="328">
        <f>333.485305</f>
        <v>333.48530499999998</v>
      </c>
      <c r="O4" s="329"/>
    </row>
    <row r="5" spans="2:15">
      <c r="B5" s="330" t="s">
        <v>192</v>
      </c>
      <c r="C5" s="331">
        <f>J4</f>
        <v>333.48530499999998</v>
      </c>
      <c r="D5" s="321"/>
      <c r="E5" s="332"/>
      <c r="F5" s="321"/>
      <c r="G5" s="321"/>
      <c r="H5" s="333">
        <f ca="1">H4+365</f>
        <v>46052</v>
      </c>
      <c r="I5" s="321" t="s">
        <v>193</v>
      </c>
      <c r="J5" s="331">
        <f>J4+BS!L74</f>
        <v>332.72285811878862</v>
      </c>
      <c r="O5" s="329"/>
    </row>
    <row r="6" spans="2:15" ht="17" thickBot="1">
      <c r="B6" s="330"/>
      <c r="C6" s="334"/>
      <c r="D6" s="321"/>
      <c r="E6" s="321"/>
      <c r="F6" s="321"/>
      <c r="G6" s="321"/>
      <c r="H6" s="335">
        <v>46360</v>
      </c>
      <c r="I6" s="336" t="s">
        <v>194</v>
      </c>
      <c r="J6" s="337">
        <f>J5+BS!M74</f>
        <v>332.01229181281559</v>
      </c>
      <c r="N6" s="184" t="s">
        <v>1521</v>
      </c>
    </row>
    <row r="7" spans="2:15" ht="17" thickBot="1">
      <c r="B7" s="330" t="s">
        <v>195</v>
      </c>
      <c r="C7" s="338">
        <v>136.9</v>
      </c>
      <c r="D7" s="321"/>
      <c r="E7" s="321"/>
      <c r="F7" s="321"/>
      <c r="G7" s="321"/>
      <c r="H7" s="321"/>
      <c r="I7" s="321"/>
    </row>
    <row r="8" spans="2:15" ht="17" thickBot="1">
      <c r="B8" s="330"/>
      <c r="C8" s="339"/>
      <c r="D8" s="321"/>
      <c r="E8" s="321"/>
      <c r="F8" s="321"/>
      <c r="G8" s="321"/>
      <c r="H8" s="340" t="s">
        <v>196</v>
      </c>
      <c r="I8" s="341"/>
      <c r="J8" s="342"/>
    </row>
    <row r="9" spans="2:15">
      <c r="B9" s="330" t="s">
        <v>197</v>
      </c>
      <c r="C9" s="343">
        <f ca="1">C25</f>
        <v>148.93646567978348</v>
      </c>
      <c r="D9" s="321"/>
      <c r="E9" s="321"/>
      <c r="F9" s="321"/>
      <c r="G9" s="321"/>
      <c r="H9" s="344" t="s">
        <v>196</v>
      </c>
      <c r="I9" s="327"/>
      <c r="J9" s="345">
        <f ca="1">C9/$C$7-1</f>
        <v>8.7921590064159894E-2</v>
      </c>
    </row>
    <row r="10" spans="2:15" ht="17" thickBot="1">
      <c r="B10" s="346" t="s">
        <v>198</v>
      </c>
      <c r="C10" s="347">
        <f ca="1">C47</f>
        <v>152.80877434588496</v>
      </c>
      <c r="D10" s="321"/>
      <c r="E10" s="321"/>
      <c r="F10" s="321"/>
      <c r="G10" s="321"/>
      <c r="H10" s="348" t="s">
        <v>199</v>
      </c>
      <c r="I10" s="336"/>
      <c r="J10" s="349">
        <f ca="1">C10/C7-1</f>
        <v>0.11620726330083975</v>
      </c>
    </row>
    <row r="11" spans="2:15">
      <c r="B11" s="321"/>
      <c r="C11" s="350"/>
      <c r="D11" s="321"/>
      <c r="E11" s="321"/>
      <c r="F11" s="321"/>
      <c r="G11" s="321"/>
      <c r="H11" s="321"/>
      <c r="I11" s="321"/>
      <c r="J11" s="321"/>
    </row>
    <row r="12" spans="2:15">
      <c r="B12" s="321"/>
      <c r="C12" s="321"/>
      <c r="D12" s="321"/>
      <c r="E12" s="321"/>
      <c r="F12" s="321"/>
      <c r="G12" s="321"/>
      <c r="H12" s="321"/>
      <c r="I12" s="321"/>
      <c r="J12" s="321"/>
    </row>
    <row r="13" spans="2:15">
      <c r="B13" s="322" t="s">
        <v>200</v>
      </c>
      <c r="C13" s="322"/>
      <c r="D13" s="322"/>
      <c r="E13" s="322"/>
      <c r="F13" s="322"/>
      <c r="G13" s="322"/>
      <c r="H13" s="322"/>
      <c r="I13" s="322"/>
      <c r="J13" s="322"/>
    </row>
    <row r="14" spans="2:15">
      <c r="B14" s="351"/>
      <c r="C14" s="351"/>
      <c r="D14" s="351"/>
      <c r="E14" s="351"/>
      <c r="F14" s="351"/>
      <c r="G14" s="351"/>
      <c r="H14" s="351"/>
      <c r="I14" s="351"/>
      <c r="J14" s="351"/>
    </row>
    <row r="15" spans="2:15">
      <c r="B15" s="352"/>
      <c r="C15" s="353"/>
      <c r="D15" s="354">
        <v>45657</v>
      </c>
      <c r="E15" s="354">
        <v>46022</v>
      </c>
      <c r="F15" s="354">
        <v>46387</v>
      </c>
      <c r="G15" s="354">
        <v>46752</v>
      </c>
      <c r="H15" s="354">
        <v>47118</v>
      </c>
      <c r="I15" s="354">
        <v>47483</v>
      </c>
      <c r="J15" s="355"/>
    </row>
    <row r="16" spans="2:15">
      <c r="B16" s="356" t="s">
        <v>201</v>
      </c>
      <c r="C16" s="321"/>
      <c r="D16" s="357">
        <f t="shared" ref="D16:I16" ca="1" si="0">MAX((D15-$H$4)/365,0)</f>
        <v>0</v>
      </c>
      <c r="E16" s="357">
        <f t="shared" ca="1" si="0"/>
        <v>0.9178082191780822</v>
      </c>
      <c r="F16" s="357">
        <f t="shared" ca="1" si="0"/>
        <v>1.9178082191780821</v>
      </c>
      <c r="G16" s="357">
        <f t="shared" ca="1" si="0"/>
        <v>2.9178082191780823</v>
      </c>
      <c r="H16" s="357">
        <f t="shared" ca="1" si="0"/>
        <v>3.9205479452054797</v>
      </c>
      <c r="I16" s="357">
        <f t="shared" ca="1" si="0"/>
        <v>4.9205479452054792</v>
      </c>
      <c r="J16" s="358"/>
    </row>
    <row r="17" spans="2:13">
      <c r="B17" s="359" t="s">
        <v>202</v>
      </c>
      <c r="C17" s="360"/>
      <c r="D17" s="361">
        <f>'Derived CF'!C53</f>
        <v>2152.8160983490011</v>
      </c>
      <c r="E17" s="361">
        <f>'Derived CF'!D53</f>
        <v>2437.4103121878625</v>
      </c>
      <c r="F17" s="361">
        <f>'Derived CF'!E53</f>
        <v>2515.1438122726122</v>
      </c>
      <c r="G17" s="361">
        <f>'Derived CF'!F53</f>
        <v>2617.2335412619932</v>
      </c>
      <c r="H17" s="361">
        <f>'Derived CF'!G53</f>
        <v>2723.3049659841936</v>
      </c>
      <c r="I17" s="361">
        <f>'Derived CF'!H53</f>
        <v>2864.4620742710786</v>
      </c>
      <c r="J17" s="362"/>
    </row>
    <row r="18" spans="2:13">
      <c r="B18" s="359" t="s">
        <v>203</v>
      </c>
      <c r="C18" s="360"/>
      <c r="D18" s="361">
        <f ca="1">(D17*D16)/((1+$C$4)^D16)</f>
        <v>0</v>
      </c>
      <c r="E18" s="361">
        <f ca="1">E17/((1+$C$4)^E16)</f>
        <v>2284.752388158417</v>
      </c>
      <c r="F18" s="361">
        <f ca="1">F17/((1+$C$4)^F16)</f>
        <v>2197.1936535124146</v>
      </c>
      <c r="G18" s="361">
        <f ca="1">G17/((1+$C$4)^G16)</f>
        <v>2130.8015724586298</v>
      </c>
      <c r="H18" s="361">
        <f ca="1">H17/((1+$C$4)^H16)</f>
        <v>2065.8937306924131</v>
      </c>
      <c r="I18" s="361">
        <f ca="1">I17/((1+$C$4)^I16)</f>
        <v>2025.115482566571</v>
      </c>
      <c r="J18" s="362"/>
    </row>
    <row r="19" spans="2:13" ht="17" thickBot="1">
      <c r="B19" s="321"/>
      <c r="C19" s="321"/>
      <c r="D19" s="321"/>
      <c r="E19" s="321"/>
      <c r="F19" s="321"/>
      <c r="G19" s="321"/>
      <c r="H19" s="321"/>
      <c r="I19" s="321"/>
      <c r="J19" s="321"/>
    </row>
    <row r="20" spans="2:13" ht="17" thickBot="1">
      <c r="B20" s="363" t="s">
        <v>204</v>
      </c>
      <c r="C20" s="364">
        <v>0.02</v>
      </c>
      <c r="D20" s="365"/>
      <c r="E20" s="652">
        <f>E17/D17-1</f>
        <v>0.13219624939497487</v>
      </c>
      <c r="F20" s="652">
        <f t="shared" ref="F20:G20" si="1">F17/E17-1</f>
        <v>3.1891840161689888E-2</v>
      </c>
      <c r="G20" s="652">
        <f t="shared" si="1"/>
        <v>4.0590016559385322E-2</v>
      </c>
      <c r="H20" s="652">
        <f>H17/G17-1</f>
        <v>4.052807021228011E-2</v>
      </c>
      <c r="I20" s="652">
        <f>I17/H17-1</f>
        <v>5.1833015416938855E-2</v>
      </c>
      <c r="J20" s="321"/>
    </row>
    <row r="21" spans="2:13">
      <c r="B21" s="320"/>
      <c r="C21" s="365"/>
      <c r="D21" s="365"/>
      <c r="E21" s="365"/>
      <c r="F21" s="365"/>
      <c r="G21" s="365"/>
      <c r="H21" s="365"/>
      <c r="I21" s="321"/>
      <c r="J21" s="321"/>
    </row>
    <row r="22" spans="2:13">
      <c r="B22" s="352" t="s">
        <v>205</v>
      </c>
      <c r="C22" s="366">
        <f>I17*(1+C20)/(C4-C20)</f>
        <v>55113.868419752311</v>
      </c>
      <c r="D22" s="367"/>
      <c r="E22" s="368"/>
      <c r="F22" s="332"/>
      <c r="G22" s="368"/>
      <c r="H22" s="368"/>
      <c r="I22" s="321"/>
      <c r="J22" s="321"/>
    </row>
    <row r="23" spans="2:13">
      <c r="B23" s="369" t="s">
        <v>206</v>
      </c>
      <c r="C23" s="370">
        <f ca="1">C22/(1+C4)^(I16)</f>
        <v>38964.365855456177</v>
      </c>
      <c r="D23" s="332"/>
      <c r="E23" s="368"/>
      <c r="F23" s="332"/>
      <c r="G23" s="368"/>
      <c r="H23" s="368"/>
      <c r="I23" s="321"/>
      <c r="J23" s="321"/>
    </row>
    <row r="24" spans="2:13">
      <c r="B24" s="371" t="s">
        <v>207</v>
      </c>
      <c r="C24" s="372">
        <f ca="1">SUM(D18:I18)+C23</f>
        <v>49668.122682844623</v>
      </c>
      <c r="D24" s="332"/>
      <c r="E24" s="368"/>
      <c r="F24" s="332"/>
      <c r="G24" s="368"/>
      <c r="H24" s="368"/>
      <c r="I24" s="321"/>
      <c r="J24" s="321"/>
    </row>
    <row r="25" spans="2:13" ht="17" thickBot="1">
      <c r="B25" s="373" t="s">
        <v>208</v>
      </c>
      <c r="C25" s="374">
        <f ca="1">C24/C5</f>
        <v>148.93646567978348</v>
      </c>
      <c r="D25" s="350"/>
      <c r="E25" s="350"/>
      <c r="F25" s="357"/>
      <c r="G25" s="350"/>
      <c r="H25" s="350"/>
      <c r="I25" s="321"/>
      <c r="J25" s="321"/>
    </row>
    <row r="26" spans="2:13" ht="17" thickBot="1">
      <c r="B26" s="321"/>
      <c r="C26" s="321"/>
      <c r="D26" s="375" t="s">
        <v>204</v>
      </c>
      <c r="E26" s="375"/>
      <c r="F26" s="375"/>
      <c r="G26" s="375"/>
      <c r="H26" s="375"/>
      <c r="I26" s="375"/>
      <c r="J26" s="375"/>
    </row>
    <row r="27" spans="2:13" ht="17" thickBot="1">
      <c r="B27" s="321"/>
      <c r="C27" s="376">
        <f ca="1">C25</f>
        <v>148.93646567978348</v>
      </c>
      <c r="D27" s="377">
        <f>E27-$M$27</f>
        <v>4.9999999999999984E-3</v>
      </c>
      <c r="E27" s="377">
        <f>F27-$M$27</f>
        <v>9.9999999999999985E-3</v>
      </c>
      <c r="F27" s="377">
        <f>G27-$M$27</f>
        <v>1.4999999999999999E-2</v>
      </c>
      <c r="G27" s="378">
        <v>0.02</v>
      </c>
      <c r="H27" s="377">
        <f>G27+$M$27</f>
        <v>2.5000000000000001E-2</v>
      </c>
      <c r="I27" s="377">
        <f>H27+$M$27</f>
        <v>3.0000000000000002E-2</v>
      </c>
      <c r="J27" s="377">
        <f>I27+$M$27</f>
        <v>3.5000000000000003E-2</v>
      </c>
      <c r="K27" s="379"/>
      <c r="L27" s="380" t="s">
        <v>210</v>
      </c>
      <c r="M27" s="381">
        <v>5.0000000000000001E-3</v>
      </c>
    </row>
    <row r="28" spans="2:13" ht="18" thickTop="1" thickBot="1">
      <c r="B28" s="321"/>
      <c r="C28" s="382">
        <f>C29-$M$28</f>
        <v>6.5399999999999986E-2</v>
      </c>
      <c r="D28" s="383">
        <f t="dataTable" ref="D28:J34" dt2D="1" dtr="1" r1="C20" r2="C4" ca="1"/>
        <v>137.40304890050064</v>
      </c>
      <c r="E28" s="384">
        <v>147.41514123479774</v>
      </c>
      <c r="F28" s="384">
        <v>159.4137598258998</v>
      </c>
      <c r="G28" s="385">
        <v>174.05524594808165</v>
      </c>
      <c r="H28" s="384">
        <v>192.32086229852627</v>
      </c>
      <c r="I28" s="384">
        <v>215.74625727904004</v>
      </c>
      <c r="J28" s="386">
        <v>246.87737429261756</v>
      </c>
      <c r="K28" s="387"/>
      <c r="L28" s="388" t="s">
        <v>211</v>
      </c>
      <c r="M28" s="389">
        <v>4.0000000000000001E-3</v>
      </c>
    </row>
    <row r="29" spans="2:13" ht="17" thickBot="1">
      <c r="B29" s="321"/>
      <c r="C29" s="382">
        <f>C30-$M$28</f>
        <v>6.9399999999999989E-2</v>
      </c>
      <c r="D29" s="390">
        <v>128.75994977256389</v>
      </c>
      <c r="E29" s="391">
        <v>137.39010475788197</v>
      </c>
      <c r="F29" s="391">
        <v>147.60668529197176</v>
      </c>
      <c r="G29" s="392">
        <v>159.89139953741579</v>
      </c>
      <c r="H29" s="391">
        <v>174.94294131561742</v>
      </c>
      <c r="I29" s="391">
        <v>193.81467136239817</v>
      </c>
      <c r="J29" s="393">
        <v>218.17236944603377</v>
      </c>
      <c r="K29" s="387"/>
    </row>
    <row r="30" spans="2:13">
      <c r="B30" s="321"/>
      <c r="C30" s="382">
        <f>C31-$M$28</f>
        <v>7.3399999999999993E-2</v>
      </c>
      <c r="D30" s="390">
        <v>121.12968169114856</v>
      </c>
      <c r="E30" s="391">
        <v>128.63188324206075</v>
      </c>
      <c r="F30" s="394">
        <v>137.41870834621128</v>
      </c>
      <c r="G30" s="395">
        <v>147.85100631630763</v>
      </c>
      <c r="H30" s="396">
        <v>160.43873775129987</v>
      </c>
      <c r="I30" s="391">
        <v>175.92686813444706</v>
      </c>
      <c r="J30" s="393">
        <v>195.44836580487211</v>
      </c>
      <c r="K30" s="387"/>
    </row>
    <row r="31" spans="2:13">
      <c r="B31" s="397" t="s">
        <v>212</v>
      </c>
      <c r="C31" s="365">
        <v>7.7399999999999997E-2</v>
      </c>
      <c r="D31" s="398">
        <v>114.34433476865652</v>
      </c>
      <c r="E31" s="392">
        <v>120.91489572455335</v>
      </c>
      <c r="F31" s="399">
        <v>128.53843119261316</v>
      </c>
      <c r="G31" s="400">
        <v>137.49010872827921</v>
      </c>
      <c r="H31" s="401">
        <v>148.15012167151508</v>
      </c>
      <c r="I31" s="392">
        <v>161.05908249307075</v>
      </c>
      <c r="J31" s="402">
        <v>177.01260954612545</v>
      </c>
      <c r="K31" s="387"/>
    </row>
    <row r="32" spans="2:13" ht="17" thickBot="1">
      <c r="B32" s="321"/>
      <c r="C32" s="382">
        <f>C31+$M$28</f>
        <v>8.14E-2</v>
      </c>
      <c r="D32" s="390">
        <v>108.27116433945214</v>
      </c>
      <c r="E32" s="391">
        <v>114.06411239916817</v>
      </c>
      <c r="F32" s="403">
        <v>120.72949239558842</v>
      </c>
      <c r="G32" s="404">
        <v>128.48043916666998</v>
      </c>
      <c r="H32" s="405">
        <v>137.60566728014183</v>
      </c>
      <c r="I32" s="391">
        <v>148.50623160246039</v>
      </c>
      <c r="J32" s="393">
        <v>161.75605547700275</v>
      </c>
      <c r="K32" s="387"/>
    </row>
    <row r="33" spans="2:11">
      <c r="B33" s="321"/>
      <c r="C33" s="382">
        <f>C32+$M$28</f>
        <v>8.5400000000000004E-2</v>
      </c>
      <c r="D33" s="390">
        <v>102.80384336990649</v>
      </c>
      <c r="E33" s="391">
        <v>107.94164580040378</v>
      </c>
      <c r="F33" s="391">
        <v>113.80924971250582</v>
      </c>
      <c r="G33" s="392">
        <v>120.57404076713111</v>
      </c>
      <c r="H33" s="391">
        <v>128.45883034073407</v>
      </c>
      <c r="I33" s="391">
        <v>137.76686712978884</v>
      </c>
      <c r="J33" s="393">
        <v>148.92173661508463</v>
      </c>
      <c r="K33" s="387"/>
    </row>
    <row r="34" spans="2:11" ht="17" thickBot="1">
      <c r="B34" s="321"/>
      <c r="C34" s="382">
        <f>C33+$M$28</f>
        <v>8.9400000000000007E-2</v>
      </c>
      <c r="D34" s="406">
        <v>97.856202335446554</v>
      </c>
      <c r="E34" s="407">
        <v>102.43739503076799</v>
      </c>
      <c r="F34" s="407">
        <v>107.63433943244985</v>
      </c>
      <c r="G34" s="408">
        <v>113.58012308509454</v>
      </c>
      <c r="H34" s="407">
        <v>120.44916506889517</v>
      </c>
      <c r="I34" s="407">
        <v>128.47461142707309</v>
      </c>
      <c r="J34" s="409">
        <v>137.975323659916</v>
      </c>
      <c r="K34" s="387"/>
    </row>
    <row r="35" spans="2:11" ht="17" thickTop="1">
      <c r="B35" s="321"/>
      <c r="C35" s="410"/>
      <c r="D35" s="357"/>
      <c r="E35" s="357"/>
      <c r="F35" s="357"/>
      <c r="G35" s="357"/>
      <c r="H35" s="357"/>
      <c r="I35" s="357"/>
      <c r="J35" s="357"/>
    </row>
    <row r="36" spans="2:11">
      <c r="B36" s="410"/>
      <c r="C36" s="357"/>
      <c r="D36" s="357"/>
      <c r="E36" s="357"/>
      <c r="F36" s="357"/>
      <c r="G36" s="357"/>
      <c r="H36" s="357"/>
      <c r="I36" s="357"/>
      <c r="J36" s="321"/>
    </row>
    <row r="37" spans="2:11">
      <c r="B37" s="322" t="s">
        <v>213</v>
      </c>
      <c r="C37" s="322"/>
      <c r="D37" s="322"/>
      <c r="E37" s="322"/>
      <c r="F37" s="322"/>
      <c r="G37" s="322"/>
      <c r="H37" s="322"/>
      <c r="I37" s="322"/>
      <c r="J37" s="322"/>
    </row>
    <row r="38" spans="2:11">
      <c r="B38" s="351"/>
      <c r="C38" s="351"/>
      <c r="D38" s="351"/>
      <c r="E38" s="351"/>
      <c r="F38" s="351"/>
      <c r="G38" s="351"/>
      <c r="H38" s="351"/>
      <c r="I38" s="351"/>
      <c r="J38" s="351"/>
    </row>
    <row r="39" spans="2:11">
      <c r="B39" s="352"/>
      <c r="C39" s="353"/>
      <c r="D39" s="354">
        <v>45657</v>
      </c>
      <c r="E39" s="354">
        <v>46022</v>
      </c>
      <c r="F39" s="354">
        <v>46387</v>
      </c>
      <c r="G39" s="354">
        <v>46752</v>
      </c>
      <c r="H39" s="354">
        <v>47118</v>
      </c>
      <c r="I39" s="354">
        <v>47483</v>
      </c>
      <c r="J39" s="355"/>
    </row>
    <row r="40" spans="2:11">
      <c r="B40" s="356" t="s">
        <v>214</v>
      </c>
      <c r="C40" s="321"/>
      <c r="D40" s="357">
        <f t="shared" ref="D40:I40" ca="1" si="2">MAX((D39-$H$5)/365,0)</f>
        <v>0</v>
      </c>
      <c r="E40" s="357">
        <f t="shared" ca="1" si="2"/>
        <v>0</v>
      </c>
      <c r="F40" s="357">
        <f t="shared" ca="1" si="2"/>
        <v>0.9178082191780822</v>
      </c>
      <c r="G40" s="357">
        <f t="shared" ca="1" si="2"/>
        <v>1.9178082191780821</v>
      </c>
      <c r="H40" s="357">
        <f t="shared" ca="1" si="2"/>
        <v>2.9205479452054797</v>
      </c>
      <c r="I40" s="357">
        <f t="shared" ca="1" si="2"/>
        <v>3.9205479452054797</v>
      </c>
      <c r="J40" s="358"/>
    </row>
    <row r="41" spans="2:11">
      <c r="B41" s="359" t="s">
        <v>202</v>
      </c>
      <c r="C41" s="360"/>
      <c r="D41" s="411">
        <f t="shared" ref="D41:I41" si="3">D17</f>
        <v>2152.8160983490011</v>
      </c>
      <c r="E41" s="411">
        <f t="shared" si="3"/>
        <v>2437.4103121878625</v>
      </c>
      <c r="F41" s="411">
        <f t="shared" si="3"/>
        <v>2515.1438122726122</v>
      </c>
      <c r="G41" s="411">
        <f t="shared" si="3"/>
        <v>2617.2335412619932</v>
      </c>
      <c r="H41" s="411">
        <f t="shared" si="3"/>
        <v>2723.3049659841936</v>
      </c>
      <c r="I41" s="411">
        <f t="shared" si="3"/>
        <v>2864.4620742710786</v>
      </c>
      <c r="J41" s="370"/>
    </row>
    <row r="42" spans="2:11">
      <c r="B42" s="359" t="s">
        <v>203</v>
      </c>
      <c r="C42" s="360"/>
      <c r="D42" s="361">
        <f ca="1">(D41*D40)/((1+$C$4)^D40)</f>
        <v>0</v>
      </c>
      <c r="E42" s="361">
        <f ca="1">E41*E40/((1+$C$4)^E40)</f>
        <v>0</v>
      </c>
      <c r="F42" s="361">
        <f ca="1">F41/((1+$C$4)^F40)</f>
        <v>2357.6173461306043</v>
      </c>
      <c r="G42" s="361">
        <f ca="1">G41/((1+$C$4)^G40)</f>
        <v>2286.3777802926597</v>
      </c>
      <c r="H42" s="361">
        <f ca="1">H41/((1+$C$4)^H40)</f>
        <v>2216.7308225002485</v>
      </c>
      <c r="I42" s="361">
        <f ca="1">I41/((1+$C$4)^I40)</f>
        <v>2172.97523228515</v>
      </c>
      <c r="J42" s="362"/>
    </row>
    <row r="43" spans="2:11">
      <c r="B43" s="320"/>
      <c r="C43" s="412"/>
      <c r="D43" s="332"/>
      <c r="E43" s="332"/>
      <c r="F43" s="332"/>
      <c r="G43" s="332"/>
      <c r="H43" s="332"/>
      <c r="I43" s="332"/>
      <c r="J43" s="332"/>
    </row>
    <row r="44" spans="2:11">
      <c r="B44" s="352" t="s">
        <v>205</v>
      </c>
      <c r="C44" s="366">
        <f>I41*(1+C20)/(C4-C20)</f>
        <v>55113.868419752311</v>
      </c>
      <c r="D44" s="368"/>
      <c r="E44" s="332"/>
      <c r="F44" s="332"/>
      <c r="G44" s="368"/>
      <c r="H44" s="321"/>
      <c r="I44" s="321"/>
      <c r="J44" s="321"/>
    </row>
    <row r="45" spans="2:11">
      <c r="B45" s="369" t="s">
        <v>206</v>
      </c>
      <c r="C45" s="370">
        <f ca="1">C44/(1+C4)^I40</f>
        <v>41809.270964783202</v>
      </c>
      <c r="D45" s="368"/>
      <c r="E45" s="332"/>
      <c r="F45" s="332"/>
      <c r="G45" s="368"/>
      <c r="H45" s="321"/>
      <c r="I45" s="321"/>
      <c r="J45" s="321"/>
    </row>
    <row r="46" spans="2:11">
      <c r="B46" s="371" t="s">
        <v>207</v>
      </c>
      <c r="C46" s="372">
        <f ca="1">SUM(E42:I42)+C45</f>
        <v>50842.972145991866</v>
      </c>
      <c r="D46" s="368"/>
      <c r="E46" s="332"/>
      <c r="F46" s="332"/>
      <c r="G46" s="368"/>
      <c r="H46" s="321"/>
      <c r="I46" s="321"/>
      <c r="J46" s="321"/>
    </row>
    <row r="47" spans="2:11" ht="17" thickBot="1">
      <c r="B47" s="373" t="s">
        <v>208</v>
      </c>
      <c r="C47" s="413">
        <f ca="1">C46/J5</f>
        <v>152.80877434588496</v>
      </c>
      <c r="D47" s="414"/>
      <c r="E47" s="414"/>
      <c r="F47" s="414"/>
      <c r="G47" s="414"/>
      <c r="H47" s="321"/>
      <c r="I47" s="321"/>
      <c r="J47" s="321"/>
    </row>
    <row r="48" spans="2:11">
      <c r="B48" s="321"/>
      <c r="C48" s="321"/>
      <c r="D48" s="375" t="s">
        <v>204</v>
      </c>
      <c r="E48" s="375"/>
      <c r="F48" s="375"/>
      <c r="G48" s="375"/>
      <c r="H48" s="375"/>
      <c r="I48" s="375"/>
      <c r="J48" s="375"/>
    </row>
    <row r="49" spans="2:10" ht="17" thickBot="1">
      <c r="B49" s="321"/>
      <c r="C49" s="415">
        <f ca="1">C47</f>
        <v>152.80877434588496</v>
      </c>
      <c r="D49" s="416">
        <f>E49-$M$27</f>
        <v>4.9999999999999984E-3</v>
      </c>
      <c r="E49" s="416">
        <f>F49-$M$27</f>
        <v>9.9999999999999985E-3</v>
      </c>
      <c r="F49" s="416">
        <f>G49-$M$27</f>
        <v>1.4999999999999999E-2</v>
      </c>
      <c r="G49" s="417">
        <f>G27</f>
        <v>0.02</v>
      </c>
      <c r="H49" s="416">
        <f>G49+$M$27</f>
        <v>2.5000000000000001E-2</v>
      </c>
      <c r="I49" s="416">
        <f>H49+$M$27</f>
        <v>3.0000000000000002E-2</v>
      </c>
      <c r="J49" s="416">
        <f>I49+$M$27</f>
        <v>3.5000000000000003E-2</v>
      </c>
    </row>
    <row r="50" spans="2:10" ht="17" thickTop="1">
      <c r="B50" s="418"/>
      <c r="C50" s="382">
        <f t="shared" ref="C50:C56" si="4">C28</f>
        <v>6.5399999999999986E-2</v>
      </c>
      <c r="D50" s="383">
        <f t="dataTable" ref="D50:J56" dt2D="1" dtr="1" r1="C20" r2="C4" ca="1"/>
        <v>139.36305613396158</v>
      </c>
      <c r="E50" s="384">
        <v>150.054557937651</v>
      </c>
      <c r="F50" s="384">
        <v>162.86738946429472</v>
      </c>
      <c r="G50" s="385">
        <v>178.50243057830488</v>
      </c>
      <c r="H50" s="384">
        <v>198.00753137400068</v>
      </c>
      <c r="I50" s="384">
        <v>223.02254764870665</v>
      </c>
      <c r="J50" s="386">
        <v>256.26618769798688</v>
      </c>
    </row>
    <row r="51" spans="2:10" ht="17" thickBot="1">
      <c r="B51" s="418"/>
      <c r="C51" s="382">
        <f t="shared" si="4"/>
        <v>6.9399999999999989E-2</v>
      </c>
      <c r="D51" s="390">
        <v>130.64627802975383</v>
      </c>
      <c r="E51" s="391">
        <v>139.89658618707779</v>
      </c>
      <c r="F51" s="391">
        <v>150.84731863802745</v>
      </c>
      <c r="G51" s="392">
        <v>164.01479854868353</v>
      </c>
      <c r="H51" s="391">
        <v>180.1479270878657</v>
      </c>
      <c r="I51" s="391">
        <v>200.37575830196729</v>
      </c>
      <c r="J51" s="393">
        <v>226.48377300854023</v>
      </c>
    </row>
    <row r="52" spans="2:10">
      <c r="B52" s="418"/>
      <c r="C52" s="382">
        <f t="shared" si="4"/>
        <v>7.3399999999999993E-2</v>
      </c>
      <c r="D52" s="390">
        <v>122.95002609916421</v>
      </c>
      <c r="E52" s="391">
        <v>131.02133601274033</v>
      </c>
      <c r="F52" s="394">
        <v>140.47471954165485</v>
      </c>
      <c r="G52" s="395">
        <v>151.69839961156458</v>
      </c>
      <c r="H52" s="396">
        <v>165.24102184467876</v>
      </c>
      <c r="I52" s="391">
        <v>181.90406394717414</v>
      </c>
      <c r="J52" s="393">
        <v>202.90643993052763</v>
      </c>
    </row>
    <row r="53" spans="2:10">
      <c r="B53" s="419" t="s">
        <v>212</v>
      </c>
      <c r="C53" s="382">
        <f t="shared" si="4"/>
        <v>7.7399999999999997E-2</v>
      </c>
      <c r="D53" s="398">
        <v>116.10513522192797</v>
      </c>
      <c r="E53" s="392">
        <v>123.20041346517841</v>
      </c>
      <c r="F53" s="399">
        <v>131.43275552946255</v>
      </c>
      <c r="G53" s="400">
        <v>141.09930352829105</v>
      </c>
      <c r="H53" s="401">
        <v>152.61061259559813</v>
      </c>
      <c r="I53" s="392">
        <v>166.55046787963676</v>
      </c>
      <c r="J53" s="402">
        <v>183.77802488160899</v>
      </c>
    </row>
    <row r="54" spans="2:10" ht="17" thickBot="1">
      <c r="B54" s="418"/>
      <c r="C54" s="382">
        <f t="shared" si="4"/>
        <v>8.14E-2</v>
      </c>
      <c r="D54" s="390">
        <v>109.97786787053812</v>
      </c>
      <c r="E54" s="391">
        <v>116.25660563625019</v>
      </c>
      <c r="F54" s="403">
        <v>123.48093643896709</v>
      </c>
      <c r="G54" s="404">
        <v>131.88186834961834</v>
      </c>
      <c r="H54" s="405">
        <v>141.77232719478218</v>
      </c>
      <c r="I54" s="391">
        <v>153.58699982305188</v>
      </c>
      <c r="J54" s="393">
        <v>167.94793810396587</v>
      </c>
    </row>
    <row r="55" spans="2:10">
      <c r="B55" s="418"/>
      <c r="C55" s="382">
        <f t="shared" si="4"/>
        <v>8.5400000000000004E-2</v>
      </c>
      <c r="D55" s="390">
        <v>104.4611012681962</v>
      </c>
      <c r="E55" s="391">
        <v>110.0503047785064</v>
      </c>
      <c r="F55" s="391">
        <v>116.43342924198566</v>
      </c>
      <c r="G55" s="392">
        <v>123.79256662037001</v>
      </c>
      <c r="H55" s="391">
        <v>132.37010422696369</v>
      </c>
      <c r="I55" s="391">
        <v>142.49593382030713</v>
      </c>
      <c r="J55" s="393">
        <v>154.63085658693296</v>
      </c>
    </row>
    <row r="56" spans="2:10" ht="17" thickBot="1">
      <c r="B56" s="418"/>
      <c r="C56" s="382">
        <f t="shared" si="4"/>
        <v>8.9400000000000007E-2</v>
      </c>
      <c r="D56" s="406">
        <v>99.468020568415326</v>
      </c>
      <c r="E56" s="407">
        <v>104.47003596551224</v>
      </c>
      <c r="F56" s="407">
        <v>110.14436526006841</v>
      </c>
      <c r="G56" s="408">
        <v>116.63632125412839</v>
      </c>
      <c r="H56" s="407">
        <v>124.1363449491293</v>
      </c>
      <c r="I56" s="407">
        <v>132.89899889581389</v>
      </c>
      <c r="J56" s="409">
        <v>143.27243481799198</v>
      </c>
    </row>
    <row r="57" spans="2:10" ht="17" thickTop="1">
      <c r="B57" s="321"/>
      <c r="C57" s="321"/>
      <c r="D57" s="321"/>
      <c r="E57" s="321"/>
      <c r="F57" s="321"/>
      <c r="G57" s="321"/>
      <c r="H57" s="321"/>
      <c r="I57" s="321"/>
      <c r="J57" s="32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82E1-1B81-FB45-82B7-C998C8B46588}">
  <dimension ref="B1:I21"/>
  <sheetViews>
    <sheetView showGridLines="0" workbookViewId="0">
      <selection activeCell="I11" sqref="I11"/>
    </sheetView>
  </sheetViews>
  <sheetFormatPr baseColWidth="10" defaultRowHeight="16"/>
  <cols>
    <col min="1" max="2" width="10.625" style="184"/>
    <col min="3" max="7" width="11.25" style="184" bestFit="1" customWidth="1"/>
    <col min="8" max="16384" width="10.625" style="184"/>
  </cols>
  <sheetData>
    <row r="1" spans="2:9" ht="17" thickBot="1"/>
    <row r="2" spans="2:9" ht="17" thickBot="1">
      <c r="B2" s="568" t="s">
        <v>1544</v>
      </c>
      <c r="C2" s="208" t="s">
        <v>178</v>
      </c>
      <c r="D2" s="208" t="s">
        <v>179</v>
      </c>
      <c r="E2" s="208" t="s">
        <v>180</v>
      </c>
      <c r="F2" s="208" t="s">
        <v>181</v>
      </c>
      <c r="G2" s="208" t="s">
        <v>182</v>
      </c>
      <c r="H2" s="187" t="s">
        <v>183</v>
      </c>
    </row>
    <row r="3" spans="2:9">
      <c r="B3" s="209"/>
      <c r="H3" s="210"/>
      <c r="I3" s="493"/>
    </row>
    <row r="4" spans="2:9">
      <c r="B4" s="277" t="s">
        <v>1545</v>
      </c>
      <c r="C4" s="534">
        <f>IS!M4</f>
        <v>19953.154999999999</v>
      </c>
      <c r="D4" s="534">
        <f>IS!N4</f>
        <v>20723.612174999998</v>
      </c>
      <c r="E4" s="534">
        <f>IS!O4</f>
        <v>21459.529274</v>
      </c>
      <c r="F4" s="534">
        <f>IS!P4</f>
        <v>22224.038435760001</v>
      </c>
      <c r="G4" s="534">
        <f>IS!Q4</f>
        <v>23018.315406694404</v>
      </c>
      <c r="H4" s="541">
        <f>IS!R4</f>
        <v>23974.99006909618</v>
      </c>
      <c r="I4" s="493"/>
    </row>
    <row r="5" spans="2:9">
      <c r="B5" s="278" t="s">
        <v>365</v>
      </c>
      <c r="C5" s="493">
        <f>IS!M23</f>
        <v>2522.9679219825002</v>
      </c>
      <c r="D5" s="493">
        <f>IS!N23</f>
        <v>2763.8014828288869</v>
      </c>
      <c r="E5" s="493">
        <f>IS!O23</f>
        <v>2865.1935650192613</v>
      </c>
      <c r="F5" s="493">
        <f>IS!P23</f>
        <v>2970.5249615444886</v>
      </c>
      <c r="G5" s="493">
        <f>IS!Q23</f>
        <v>3079.957662630432</v>
      </c>
      <c r="H5" s="542">
        <f>IS!R23</f>
        <v>3211.7649492548308</v>
      </c>
      <c r="I5" s="493"/>
    </row>
    <row r="6" spans="2:9">
      <c r="B6" s="278" t="s">
        <v>1516</v>
      </c>
      <c r="C6" s="493">
        <f>'Derived CF'!C53</f>
        <v>2152.8160983490011</v>
      </c>
      <c r="D6" s="493">
        <f>'Derived CF'!D53</f>
        <v>2437.4103121878625</v>
      </c>
      <c r="E6" s="493">
        <f>'Derived CF'!E53</f>
        <v>2515.1438122726122</v>
      </c>
      <c r="F6" s="493">
        <f>'Derived CF'!F53</f>
        <v>2617.2335412619932</v>
      </c>
      <c r="G6" s="493">
        <f>'Derived CF'!G53</f>
        <v>2723.3049659841936</v>
      </c>
      <c r="H6" s="542">
        <f>'Derived CF'!H53</f>
        <v>2864.4620742710786</v>
      </c>
    </row>
    <row r="7" spans="2:9" ht="17" thickBot="1">
      <c r="B7" s="516" t="s">
        <v>1549</v>
      </c>
      <c r="C7" s="569">
        <f ca="1">DCF!C9</f>
        <v>148.93646567978348</v>
      </c>
      <c r="D7" s="198"/>
      <c r="E7" s="198"/>
      <c r="F7" s="198"/>
      <c r="G7" s="198"/>
      <c r="H7" s="199"/>
    </row>
    <row r="8" spans="2:9" ht="17" thickBot="1"/>
    <row r="9" spans="2:9" ht="17" thickBot="1">
      <c r="B9" s="568" t="s">
        <v>1547</v>
      </c>
      <c r="C9" s="208" t="s">
        <v>178</v>
      </c>
      <c r="D9" s="208" t="s">
        <v>179</v>
      </c>
      <c r="E9" s="208" t="s">
        <v>180</v>
      </c>
      <c r="F9" s="208" t="s">
        <v>181</v>
      </c>
      <c r="G9" s="187" t="s">
        <v>182</v>
      </c>
    </row>
    <row r="10" spans="2:9">
      <c r="B10" s="209"/>
      <c r="G10" s="210"/>
    </row>
    <row r="11" spans="2:9">
      <c r="B11" s="277" t="s">
        <v>1545</v>
      </c>
      <c r="C11" s="534">
        <v>20046.919999999998</v>
      </c>
      <c r="D11" s="534">
        <v>20409.117850000002</v>
      </c>
      <c r="E11" s="534">
        <v>20964.605382825001</v>
      </c>
      <c r="F11" s="534">
        <v>21549.760059966811</v>
      </c>
      <c r="G11" s="541">
        <v>22147.363561223214</v>
      </c>
      <c r="H11" s="658"/>
      <c r="I11" s="658"/>
    </row>
    <row r="12" spans="2:9">
      <c r="B12" s="278" t="s">
        <v>365</v>
      </c>
      <c r="C12" s="493">
        <v>2498.8041244864448</v>
      </c>
      <c r="D12" s="493">
        <v>2567.2098345537979</v>
      </c>
      <c r="E12" s="493">
        <v>2663.8546125273956</v>
      </c>
      <c r="F12" s="493">
        <v>2757.2490613519212</v>
      </c>
      <c r="G12" s="542">
        <v>2861.37937579045</v>
      </c>
    </row>
    <row r="13" spans="2:9">
      <c r="B13" s="278" t="s">
        <v>1516</v>
      </c>
      <c r="C13" s="493">
        <v>2611.6865911824325</v>
      </c>
      <c r="D13" s="493">
        <v>2974.3416685677971</v>
      </c>
      <c r="E13" s="493">
        <v>3002.1604291973968</v>
      </c>
      <c r="F13" s="493">
        <v>3023.2477954154851</v>
      </c>
      <c r="G13" s="542">
        <v>3165.4373606169124</v>
      </c>
    </row>
    <row r="14" spans="2:9" ht="17" thickBot="1">
      <c r="B14" s="516" t="s">
        <v>1549</v>
      </c>
      <c r="C14" s="570">
        <v>140.63</v>
      </c>
      <c r="D14" s="198"/>
      <c r="E14" s="198"/>
      <c r="F14" s="198"/>
      <c r="G14" s="199"/>
    </row>
    <row r="15" spans="2:9" ht="17" thickBot="1"/>
    <row r="16" spans="2:9" ht="17" thickBot="1">
      <c r="B16" s="568" t="s">
        <v>1546</v>
      </c>
      <c r="C16" s="208" t="s">
        <v>178</v>
      </c>
      <c r="D16" s="208" t="s">
        <v>179</v>
      </c>
      <c r="E16" s="187" t="s">
        <v>180</v>
      </c>
    </row>
    <row r="17" spans="2:5">
      <c r="B17" s="209"/>
      <c r="E17" s="210"/>
    </row>
    <row r="18" spans="2:5">
      <c r="B18" s="277" t="s">
        <v>1545</v>
      </c>
      <c r="C18" s="191">
        <v>20004</v>
      </c>
      <c r="D18" s="191">
        <v>20019</v>
      </c>
      <c r="E18" s="512">
        <v>20533</v>
      </c>
    </row>
    <row r="19" spans="2:5">
      <c r="B19" s="278" t="s">
        <v>365</v>
      </c>
      <c r="C19" s="195">
        <v>2478</v>
      </c>
      <c r="D19" s="195">
        <v>2538</v>
      </c>
      <c r="E19" s="571">
        <v>2660</v>
      </c>
    </row>
    <row r="20" spans="2:5">
      <c r="B20" s="278" t="s">
        <v>1516</v>
      </c>
      <c r="E20" s="210"/>
    </row>
    <row r="21" spans="2:5" ht="17" thickBot="1">
      <c r="B21" s="516" t="s">
        <v>1549</v>
      </c>
      <c r="C21" s="570">
        <v>150.77000000000001</v>
      </c>
      <c r="D21" s="198"/>
      <c r="E21" s="199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62D7-5CCD-E441-9C4B-076F0B05BBCD}">
  <dimension ref="A1:H33"/>
  <sheetViews>
    <sheetView showGridLines="0" topLeftCell="A6" workbookViewId="0">
      <selection activeCell="F30" sqref="F30"/>
    </sheetView>
  </sheetViews>
  <sheetFormatPr baseColWidth="10" defaultRowHeight="16"/>
  <cols>
    <col min="1" max="1" width="3.625" style="286" customWidth="1"/>
    <col min="2" max="2" width="18.75" style="286" bestFit="1" customWidth="1"/>
    <col min="3" max="3" width="22.75" style="286" bestFit="1" customWidth="1"/>
    <col min="4" max="4" width="2.125" style="286" customWidth="1"/>
    <col min="5" max="6" width="10.625" style="286"/>
    <col min="7" max="7" width="20.125" style="286" bestFit="1" customWidth="1"/>
    <col min="8" max="16384" width="10.625" style="286"/>
  </cols>
  <sheetData>
    <row r="1" spans="1:8">
      <c r="A1" s="285"/>
      <c r="H1" s="285"/>
    </row>
    <row r="2" spans="1:8">
      <c r="A2" s="285"/>
      <c r="B2" s="287" t="s">
        <v>215</v>
      </c>
      <c r="C2" s="287"/>
      <c r="D2" s="287"/>
      <c r="E2" s="287" t="s">
        <v>216</v>
      </c>
      <c r="F2" s="287"/>
      <c r="G2" s="287"/>
      <c r="H2" s="285"/>
    </row>
    <row r="3" spans="1:8">
      <c r="A3" s="285"/>
      <c r="B3" s="288" t="s">
        <v>252</v>
      </c>
      <c r="C3" s="288"/>
      <c r="D3" s="287"/>
      <c r="E3" s="288" t="s">
        <v>253</v>
      </c>
      <c r="F3" s="287"/>
      <c r="G3" s="287"/>
      <c r="H3" s="285"/>
    </row>
    <row r="4" spans="1:8">
      <c r="A4" s="285"/>
      <c r="B4" s="287" t="s">
        <v>190</v>
      </c>
      <c r="C4" s="287"/>
      <c r="D4" s="287"/>
      <c r="E4" s="287"/>
      <c r="F4" s="287"/>
      <c r="G4" s="287"/>
      <c r="H4" s="285"/>
    </row>
    <row r="5" spans="1:8">
      <c r="A5" s="285"/>
      <c r="B5" s="287" t="s">
        <v>1555</v>
      </c>
      <c r="C5" s="287"/>
      <c r="D5" s="287"/>
      <c r="E5" s="287"/>
      <c r="F5" s="287"/>
      <c r="G5" s="287"/>
      <c r="H5" s="285"/>
    </row>
    <row r="6" spans="1:8" ht="17" thickBot="1">
      <c r="A6" s="285"/>
      <c r="B6" s="287"/>
      <c r="C6" s="289"/>
      <c r="D6" s="287"/>
      <c r="E6" s="287"/>
      <c r="F6" s="287"/>
      <c r="G6" s="287"/>
      <c r="H6" s="285"/>
    </row>
    <row r="7" spans="1:8">
      <c r="A7" s="285"/>
      <c r="B7" s="290" t="s">
        <v>217</v>
      </c>
      <c r="C7" s="291"/>
      <c r="D7" s="292" t="s">
        <v>4</v>
      </c>
      <c r="E7" s="292" t="s">
        <v>4</v>
      </c>
      <c r="F7" s="292" t="s">
        <v>4</v>
      </c>
      <c r="G7" s="293" t="s">
        <v>218</v>
      </c>
      <c r="H7" s="285"/>
    </row>
    <row r="8" spans="1:8">
      <c r="A8" s="285"/>
      <c r="B8" s="294" t="s">
        <v>4</v>
      </c>
      <c r="C8" s="295" t="s">
        <v>219</v>
      </c>
      <c r="D8" s="287"/>
      <c r="E8" s="296">
        <v>23.01</v>
      </c>
      <c r="F8" s="297"/>
      <c r="G8" s="298" t="s">
        <v>220</v>
      </c>
      <c r="H8" s="285"/>
    </row>
    <row r="9" spans="1:8" ht="18">
      <c r="A9" s="285"/>
      <c r="B9" s="294" t="s">
        <v>4</v>
      </c>
      <c r="C9" s="295" t="s">
        <v>1556</v>
      </c>
      <c r="D9" s="287"/>
      <c r="E9" s="299">
        <v>7.8E-2</v>
      </c>
      <c r="F9" s="297"/>
      <c r="G9" s="300" t="s">
        <v>221</v>
      </c>
      <c r="H9" s="285"/>
    </row>
    <row r="10" spans="1:8" ht="18">
      <c r="A10" s="285"/>
      <c r="B10" s="294" t="s">
        <v>4</v>
      </c>
      <c r="C10" s="295" t="s">
        <v>1557</v>
      </c>
      <c r="D10" s="287"/>
      <c r="E10" s="301">
        <v>4.1779999999999998E-2</v>
      </c>
      <c r="F10" s="297"/>
      <c r="G10" s="298" t="s">
        <v>222</v>
      </c>
      <c r="H10" s="285"/>
    </row>
    <row r="11" spans="1:8" ht="18">
      <c r="A11" s="285"/>
      <c r="B11" s="294" t="s">
        <v>4</v>
      </c>
      <c r="C11" s="295" t="s">
        <v>1558</v>
      </c>
      <c r="D11" s="287"/>
      <c r="E11" s="302">
        <f>((1+E9)/E8)+E9</f>
        <v>0.12484919600173838</v>
      </c>
      <c r="F11" s="287"/>
      <c r="G11" s="303" t="s">
        <v>223</v>
      </c>
      <c r="H11" s="285"/>
    </row>
    <row r="12" spans="1:8" ht="18">
      <c r="A12" s="285"/>
      <c r="B12" s="294" t="s">
        <v>4</v>
      </c>
      <c r="C12" s="295" t="s">
        <v>1559</v>
      </c>
      <c r="D12" s="287"/>
      <c r="E12" s="302">
        <f>E11-E10</f>
        <v>8.3069196001738385E-2</v>
      </c>
      <c r="F12" s="287"/>
      <c r="G12" s="303" t="s">
        <v>223</v>
      </c>
      <c r="H12" s="285"/>
    </row>
    <row r="13" spans="1:8">
      <c r="A13" s="285"/>
      <c r="B13" s="294" t="s">
        <v>4</v>
      </c>
      <c r="C13" s="295"/>
      <c r="D13" s="287"/>
      <c r="E13" s="287"/>
      <c r="F13" s="287"/>
      <c r="G13" s="303" t="s">
        <v>4</v>
      </c>
      <c r="H13" s="285"/>
    </row>
    <row r="14" spans="1:8">
      <c r="A14" s="285"/>
      <c r="B14" s="304" t="s">
        <v>224</v>
      </c>
      <c r="C14" s="305"/>
      <c r="D14" s="306" t="s">
        <v>4</v>
      </c>
      <c r="E14" s="306" t="s">
        <v>4</v>
      </c>
      <c r="F14" s="306" t="s">
        <v>4</v>
      </c>
      <c r="G14" s="307" t="s">
        <v>4</v>
      </c>
      <c r="H14" s="285"/>
    </row>
    <row r="15" spans="1:8">
      <c r="A15" s="285"/>
      <c r="B15" s="294" t="str">
        <f>B3</f>
        <v>Kimberly-Clark Corporation</v>
      </c>
      <c r="C15" s="295"/>
      <c r="D15" s="287"/>
      <c r="E15" s="287"/>
      <c r="F15" s="287"/>
      <c r="G15" s="303" t="s">
        <v>4</v>
      </c>
      <c r="H15" s="285"/>
    </row>
    <row r="16" spans="1:8">
      <c r="A16" s="285"/>
      <c r="B16" s="294" t="s">
        <v>4</v>
      </c>
      <c r="C16" s="295" t="s">
        <v>225</v>
      </c>
      <c r="D16" s="287"/>
      <c r="E16" s="308">
        <f>Cover!C10</f>
        <v>139.35</v>
      </c>
      <c r="F16" s="297"/>
      <c r="G16" s="300" t="s">
        <v>221</v>
      </c>
      <c r="H16" s="285"/>
    </row>
    <row r="17" spans="1:8">
      <c r="A17" s="285"/>
      <c r="B17" s="294" t="s">
        <v>4</v>
      </c>
      <c r="C17" s="295" t="s">
        <v>226</v>
      </c>
      <c r="D17" s="287"/>
      <c r="E17" s="308">
        <v>7.64</v>
      </c>
      <c r="F17" s="297"/>
      <c r="G17" s="300" t="s">
        <v>221</v>
      </c>
      <c r="H17" s="285"/>
    </row>
    <row r="18" spans="1:8">
      <c r="A18" s="285"/>
      <c r="B18" s="294" t="s">
        <v>4</v>
      </c>
      <c r="C18" s="295" t="s">
        <v>227</v>
      </c>
      <c r="D18" s="287"/>
      <c r="E18" s="309">
        <f>E16/E17</f>
        <v>18.23952879581152</v>
      </c>
      <c r="F18" s="287"/>
      <c r="G18" s="303" t="s">
        <v>223</v>
      </c>
      <c r="H18" s="285"/>
    </row>
    <row r="19" spans="1:8">
      <c r="A19" s="285"/>
      <c r="B19" s="294" t="s">
        <v>4</v>
      </c>
      <c r="C19" s="295" t="s">
        <v>228</v>
      </c>
      <c r="D19" s="287"/>
      <c r="E19" s="299">
        <v>7.17E-2</v>
      </c>
      <c r="F19" s="297"/>
      <c r="G19" s="300" t="s">
        <v>1548</v>
      </c>
      <c r="H19" s="285"/>
    </row>
    <row r="20" spans="1:8">
      <c r="A20" s="285"/>
      <c r="B20" s="294" t="s">
        <v>4</v>
      </c>
      <c r="C20" s="295" t="s">
        <v>229</v>
      </c>
      <c r="D20" s="287"/>
      <c r="E20" s="302">
        <f>((1+E19)/E18)+E19</f>
        <v>0.13045700035880875</v>
      </c>
      <c r="F20" s="287"/>
      <c r="G20" s="303" t="s">
        <v>223</v>
      </c>
      <c r="H20" s="285"/>
    </row>
    <row r="21" spans="1:8">
      <c r="A21" s="285"/>
      <c r="B21" s="294" t="s">
        <v>209</v>
      </c>
      <c r="C21" s="295" t="s">
        <v>230</v>
      </c>
      <c r="D21" s="287"/>
      <c r="E21" s="287"/>
      <c r="F21" s="287"/>
      <c r="G21" s="303" t="s">
        <v>4</v>
      </c>
      <c r="H21" s="285"/>
    </row>
    <row r="22" spans="1:8">
      <c r="A22" s="285"/>
      <c r="B22" s="294" t="s">
        <v>4</v>
      </c>
      <c r="C22" s="295" t="s">
        <v>231</v>
      </c>
      <c r="D22" s="285"/>
      <c r="E22" s="309">
        <f>(E20-E10)/E12</f>
        <v>1.067507627700562</v>
      </c>
      <c r="F22" s="287"/>
      <c r="G22" s="303" t="s">
        <v>223</v>
      </c>
      <c r="H22" s="285"/>
    </row>
    <row r="23" spans="1:8">
      <c r="A23" s="285"/>
      <c r="B23" s="294" t="s">
        <v>4</v>
      </c>
      <c r="C23" s="295" t="s">
        <v>232</v>
      </c>
      <c r="D23" s="285"/>
      <c r="E23" s="288">
        <v>0.41</v>
      </c>
      <c r="F23" s="297"/>
      <c r="G23" s="300" t="s">
        <v>221</v>
      </c>
      <c r="H23" s="285"/>
    </row>
    <row r="24" spans="1:8">
      <c r="A24" s="285"/>
      <c r="B24" s="294" t="s">
        <v>4</v>
      </c>
      <c r="C24" s="295" t="s">
        <v>1541</v>
      </c>
      <c r="D24" s="287"/>
      <c r="E24" s="310">
        <f>'Comps-Num'!N10</f>
        <v>0.42189219070726069</v>
      </c>
      <c r="F24" s="287"/>
      <c r="G24" s="303" t="s">
        <v>1574</v>
      </c>
      <c r="H24" s="285"/>
    </row>
    <row r="25" spans="1:8">
      <c r="A25" s="285"/>
      <c r="B25" s="304" t="s">
        <v>233</v>
      </c>
      <c r="C25" s="305"/>
      <c r="D25" s="306" t="s">
        <v>4</v>
      </c>
      <c r="E25" s="306" t="s">
        <v>4</v>
      </c>
      <c r="F25" s="306" t="s">
        <v>4</v>
      </c>
      <c r="G25" s="307" t="s">
        <v>4</v>
      </c>
      <c r="H25" s="285"/>
    </row>
    <row r="26" spans="1:8">
      <c r="A26" s="285"/>
      <c r="B26" s="294" t="s">
        <v>4</v>
      </c>
      <c r="C26" s="295" t="s">
        <v>234</v>
      </c>
      <c r="D26" s="287"/>
      <c r="E26" s="299">
        <v>6.5000000000000002E-2</v>
      </c>
      <c r="F26" s="297"/>
      <c r="G26" s="303" t="s">
        <v>235</v>
      </c>
      <c r="H26" s="285"/>
    </row>
    <row r="27" spans="1:8">
      <c r="A27" s="285"/>
      <c r="B27" s="294" t="s">
        <v>4</v>
      </c>
      <c r="C27" s="295" t="s">
        <v>236</v>
      </c>
      <c r="D27" s="287"/>
      <c r="E27" s="302">
        <f>E10+(E22*E26)</f>
        <v>0.11116799580053653</v>
      </c>
      <c r="F27" s="302">
        <f>1-F28-F29</f>
        <v>9.9999999999999978E-2</v>
      </c>
      <c r="G27" s="303"/>
      <c r="H27" s="285"/>
    </row>
    <row r="28" spans="1:8">
      <c r="A28" s="285"/>
      <c r="B28" s="294"/>
      <c r="C28" s="295" t="s">
        <v>238</v>
      </c>
      <c r="D28" s="287"/>
      <c r="E28" s="302">
        <f>E10+(E23*E26)</f>
        <v>6.8429999999999991E-2</v>
      </c>
      <c r="F28" s="302">
        <v>0.5</v>
      </c>
      <c r="G28" s="303"/>
      <c r="H28" s="285"/>
    </row>
    <row r="29" spans="1:8">
      <c r="A29" s="285"/>
      <c r="B29" s="294" t="s">
        <v>4</v>
      </c>
      <c r="C29" s="295" t="s">
        <v>237</v>
      </c>
      <c r="D29" s="287"/>
      <c r="E29" s="311">
        <f>E10+(E24*E26)</f>
        <v>6.9202992395971941E-2</v>
      </c>
      <c r="F29" s="302">
        <v>0.4</v>
      </c>
      <c r="G29" s="303" t="s">
        <v>4</v>
      </c>
      <c r="H29" s="285"/>
    </row>
    <row r="30" spans="1:8">
      <c r="A30" s="285"/>
      <c r="B30" s="294"/>
      <c r="C30" s="295" t="s">
        <v>239</v>
      </c>
      <c r="D30" s="287"/>
      <c r="E30" s="310">
        <f>SUMPRODUCT(E22:E24,F27:F29)</f>
        <v>0.48050763905296046</v>
      </c>
      <c r="F30" s="302"/>
      <c r="G30" s="303"/>
      <c r="H30" s="285"/>
    </row>
    <row r="31" spans="1:8">
      <c r="A31" s="285"/>
      <c r="B31" s="294" t="s">
        <v>4</v>
      </c>
      <c r="C31" s="312" t="s">
        <v>240</v>
      </c>
      <c r="D31" s="313"/>
      <c r="E31" s="314">
        <f>SUMPRODUCT(E27:E29,F27:F29)</f>
        <v>7.3012996538442426E-2</v>
      </c>
      <c r="F31" s="287"/>
      <c r="G31" s="303" t="s">
        <v>4</v>
      </c>
      <c r="H31" s="285"/>
    </row>
    <row r="32" spans="1:8">
      <c r="A32" s="285"/>
      <c r="B32" s="294" t="s">
        <v>4</v>
      </c>
      <c r="C32" s="295"/>
      <c r="D32" s="287"/>
      <c r="E32" s="287"/>
      <c r="F32" s="287"/>
      <c r="G32" s="303" t="s">
        <v>4</v>
      </c>
      <c r="H32" s="285"/>
    </row>
    <row r="33" spans="2:7" ht="17" thickBot="1">
      <c r="B33" s="315" t="s">
        <v>4</v>
      </c>
      <c r="C33" s="316" t="s">
        <v>241</v>
      </c>
      <c r="D33" s="317" t="s">
        <v>4</v>
      </c>
      <c r="E33" s="318">
        <f>E26+E10</f>
        <v>0.10678</v>
      </c>
      <c r="F33" s="317" t="s">
        <v>4</v>
      </c>
      <c r="G33" s="319" t="s">
        <v>4</v>
      </c>
    </row>
  </sheetData>
  <hyperlinks>
    <hyperlink ref="G8" r:id="rId1" xr:uid="{0A295DB2-AA4F-F043-B6C1-02B0DD7236FB}"/>
    <hyperlink ref="G10" r:id="rId2" xr:uid="{178E3204-9FBD-3B4B-969A-3D41371C866B}"/>
  </hyperlinks>
  <pageMargins left="0.7" right="0.7" top="0.75" bottom="0.75" header="0.3" footer="0.3"/>
  <pageSetup orientation="portrait" horizontalDpi="0" verticalDpi="0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70D4-6B5D-FB4F-91AE-2058E1C9FE0E}">
  <dimension ref="A1:BG377"/>
  <sheetViews>
    <sheetView workbookViewId="0">
      <selection activeCell="X31" sqref="X31"/>
    </sheetView>
  </sheetViews>
  <sheetFormatPr baseColWidth="10" defaultRowHeight="16"/>
  <sheetData>
    <row r="1" spans="1:59">
      <c r="A1" t="s">
        <v>142</v>
      </c>
      <c r="C1">
        <v>2023</v>
      </c>
      <c r="D1">
        <v>2022</v>
      </c>
      <c r="K1">
        <v>2023</v>
      </c>
      <c r="L1">
        <v>2022</v>
      </c>
    </row>
    <row r="2" spans="1:59">
      <c r="A2" t="s">
        <v>141</v>
      </c>
      <c r="C2" s="9">
        <v>10691</v>
      </c>
      <c r="D2" s="9">
        <v>10622</v>
      </c>
      <c r="J2" t="s">
        <v>155</v>
      </c>
      <c r="K2" s="9">
        <v>1890</v>
      </c>
      <c r="L2" s="9">
        <v>1787</v>
      </c>
    </row>
    <row r="3" spans="1:59">
      <c r="C3" t="s">
        <v>106</v>
      </c>
      <c r="D3" t="s">
        <v>139</v>
      </c>
      <c r="E3" t="s">
        <v>108</v>
      </c>
      <c r="F3" t="s">
        <v>109</v>
      </c>
      <c r="G3" t="s">
        <v>254</v>
      </c>
      <c r="H3" t="s">
        <v>255</v>
      </c>
      <c r="K3" t="s">
        <v>106</v>
      </c>
      <c r="L3" t="s">
        <v>139</v>
      </c>
      <c r="M3" t="s">
        <v>157</v>
      </c>
      <c r="N3" t="s">
        <v>256</v>
      </c>
      <c r="O3" t="s">
        <v>158</v>
      </c>
      <c r="P3" t="s">
        <v>257</v>
      </c>
      <c r="Q3" t="s">
        <v>115</v>
      </c>
    </row>
    <row r="4" spans="1:59">
      <c r="A4" t="s">
        <v>161</v>
      </c>
      <c r="C4">
        <v>-1</v>
      </c>
      <c r="D4">
        <v>5</v>
      </c>
      <c r="E4">
        <v>1</v>
      </c>
      <c r="F4">
        <v>-5</v>
      </c>
      <c r="G4">
        <v>1</v>
      </c>
      <c r="H4">
        <v>5</v>
      </c>
      <c r="K4">
        <v>-1</v>
      </c>
      <c r="L4">
        <v>31</v>
      </c>
      <c r="M4">
        <v>-3</v>
      </c>
      <c r="N4">
        <v>8</v>
      </c>
      <c r="O4">
        <v>-6</v>
      </c>
      <c r="P4">
        <v>-23</v>
      </c>
      <c r="Q4">
        <v>6</v>
      </c>
    </row>
    <row r="5" spans="1:59">
      <c r="A5" t="s">
        <v>162</v>
      </c>
      <c r="C5">
        <v>1</v>
      </c>
      <c r="D5">
        <v>2</v>
      </c>
      <c r="E5">
        <v>0</v>
      </c>
      <c r="F5">
        <v>0</v>
      </c>
      <c r="G5">
        <v>4</v>
      </c>
      <c r="H5">
        <v>4</v>
      </c>
    </row>
    <row r="6" spans="1:59" ht="20">
      <c r="A6" t="s">
        <v>163</v>
      </c>
      <c r="C6">
        <v>-4</v>
      </c>
      <c r="D6">
        <v>9</v>
      </c>
      <c r="E6">
        <v>2</v>
      </c>
      <c r="F6">
        <v>-11</v>
      </c>
      <c r="G6">
        <v>-4</v>
      </c>
      <c r="H6">
        <v>7</v>
      </c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</row>
    <row r="7" spans="1:59">
      <c r="A7" t="s">
        <v>164</v>
      </c>
      <c r="C7">
        <v>-5</v>
      </c>
      <c r="D7">
        <v>6</v>
      </c>
      <c r="E7">
        <v>1</v>
      </c>
      <c r="F7">
        <v>-2</v>
      </c>
      <c r="G7">
        <v>0</v>
      </c>
      <c r="H7">
        <v>3</v>
      </c>
      <c r="V7" s="29"/>
    </row>
    <row r="8" spans="1:59">
      <c r="V8" s="29"/>
      <c r="W8" s="632" t="s">
        <v>106</v>
      </c>
      <c r="X8" s="632" t="s">
        <v>108</v>
      </c>
      <c r="Y8" s="632" t="s">
        <v>107</v>
      </c>
      <c r="Z8" s="632" t="s">
        <v>186</v>
      </c>
      <c r="AA8" s="632" t="s">
        <v>114</v>
      </c>
      <c r="AB8" s="632" t="s">
        <v>263</v>
      </c>
      <c r="AC8" s="632" t="s">
        <v>264</v>
      </c>
    </row>
    <row r="9" spans="1:59">
      <c r="A9" s="1" t="s">
        <v>167</v>
      </c>
      <c r="B9" s="1">
        <v>-3</v>
      </c>
      <c r="C9" s="1">
        <v>6</v>
      </c>
      <c r="D9" s="1">
        <v>0</v>
      </c>
      <c r="E9" s="1">
        <v>-2</v>
      </c>
      <c r="F9" s="1">
        <v>-1</v>
      </c>
      <c r="G9" s="1">
        <v>1</v>
      </c>
      <c r="H9" s="1">
        <v>3</v>
      </c>
      <c r="V9" s="31" t="s">
        <v>111</v>
      </c>
      <c r="W9" s="30">
        <v>2</v>
      </c>
      <c r="X9" s="30">
        <v>1</v>
      </c>
      <c r="Y9" s="30">
        <v>0</v>
      </c>
      <c r="Z9" s="30">
        <v>0</v>
      </c>
      <c r="AA9" s="30">
        <v>0</v>
      </c>
      <c r="AB9" s="30">
        <v>2</v>
      </c>
      <c r="AC9" s="30">
        <v>2</v>
      </c>
    </row>
    <row r="10" spans="1:59">
      <c r="A10" s="4" t="s">
        <v>162</v>
      </c>
      <c r="B10" s="1">
        <v>0</v>
      </c>
      <c r="C10" s="1">
        <v>5</v>
      </c>
      <c r="D10" s="1">
        <v>0</v>
      </c>
      <c r="E10" s="1">
        <v>0</v>
      </c>
      <c r="F10" s="1">
        <v>0</v>
      </c>
      <c r="G10" s="1">
        <v>5</v>
      </c>
      <c r="H10" s="1">
        <v>5</v>
      </c>
      <c r="V10" s="31" t="s">
        <v>112</v>
      </c>
      <c r="W10" s="30">
        <v>2</v>
      </c>
      <c r="X10" s="30">
        <v>1</v>
      </c>
      <c r="Y10" s="30">
        <v>14</v>
      </c>
      <c r="Z10" s="30">
        <v>0</v>
      </c>
      <c r="AA10" s="30">
        <v>-20</v>
      </c>
      <c r="AB10" s="30">
        <v>-3</v>
      </c>
      <c r="AC10" s="30">
        <v>17</v>
      </c>
    </row>
    <row r="11" spans="1:59">
      <c r="A11" s="4" t="s">
        <v>163</v>
      </c>
      <c r="B11" s="1">
        <v>-9</v>
      </c>
      <c r="C11" s="1">
        <v>7</v>
      </c>
      <c r="D11" s="1">
        <v>0</v>
      </c>
      <c r="E11" s="1">
        <v>-8</v>
      </c>
      <c r="F11" s="1">
        <v>-3</v>
      </c>
      <c r="G11" s="1">
        <v>-13</v>
      </c>
      <c r="H11" s="1">
        <v>-2</v>
      </c>
      <c r="V11" s="31" t="s">
        <v>113</v>
      </c>
      <c r="W11" s="30">
        <v>-1</v>
      </c>
      <c r="X11" s="30">
        <v>0</v>
      </c>
      <c r="Y11" s="30">
        <v>-2</v>
      </c>
      <c r="Z11" s="30">
        <v>0</v>
      </c>
      <c r="AA11" s="30">
        <v>-2</v>
      </c>
      <c r="AB11" s="30">
        <v>-5</v>
      </c>
      <c r="AC11" s="30">
        <v>-3</v>
      </c>
    </row>
    <row r="12" spans="1:59">
      <c r="A12" s="4" t="s">
        <v>164</v>
      </c>
      <c r="B12" s="1">
        <v>-5</v>
      </c>
      <c r="C12" s="1">
        <v>9</v>
      </c>
      <c r="D12" s="1">
        <v>0</v>
      </c>
      <c r="E12" s="1">
        <v>0</v>
      </c>
      <c r="F12" s="1">
        <v>-1</v>
      </c>
      <c r="G12" s="1">
        <v>4</v>
      </c>
      <c r="H12" s="1">
        <v>4</v>
      </c>
    </row>
    <row r="13" spans="1:59">
      <c r="V13" s="30" t="s">
        <v>118</v>
      </c>
      <c r="W13" s="30">
        <v>0</v>
      </c>
      <c r="X13" s="30">
        <v>0</v>
      </c>
      <c r="Y13" s="30">
        <v>-1</v>
      </c>
      <c r="Z13" s="30">
        <v>-2</v>
      </c>
      <c r="AA13" s="30">
        <v>0</v>
      </c>
      <c r="AB13" s="30">
        <v>-3</v>
      </c>
      <c r="AC13" s="30">
        <v>-1</v>
      </c>
    </row>
    <row r="14" spans="1:59">
      <c r="A14" s="1" t="s">
        <v>1579</v>
      </c>
      <c r="B14" s="1">
        <v>-5</v>
      </c>
      <c r="C14" s="1">
        <v>10</v>
      </c>
      <c r="D14" s="1">
        <v>1</v>
      </c>
      <c r="E14" s="1">
        <v>-1</v>
      </c>
      <c r="F14" s="1">
        <v>-1</v>
      </c>
      <c r="G14" s="1">
        <v>5</v>
      </c>
      <c r="H14" s="1">
        <v>7</v>
      </c>
      <c r="V14" s="31" t="s">
        <v>111</v>
      </c>
      <c r="W14" s="30">
        <v>-1</v>
      </c>
      <c r="X14" s="30">
        <v>0</v>
      </c>
      <c r="Y14" s="30">
        <v>2</v>
      </c>
      <c r="Z14" s="30">
        <v>0</v>
      </c>
      <c r="AA14" s="30">
        <v>0</v>
      </c>
      <c r="AB14" s="30">
        <v>1</v>
      </c>
      <c r="AC14" s="30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>
      <c r="A15" s="4" t="s">
        <v>162</v>
      </c>
      <c r="B15" s="1">
        <v>-2</v>
      </c>
      <c r="C15" s="1">
        <v>9</v>
      </c>
      <c r="D15" s="1">
        <v>0</v>
      </c>
      <c r="E15" s="1">
        <v>0</v>
      </c>
      <c r="F15" s="1">
        <v>0</v>
      </c>
      <c r="G15" s="1">
        <v>8</v>
      </c>
      <c r="H15" s="1">
        <v>8</v>
      </c>
      <c r="V15" s="31" t="s">
        <v>112</v>
      </c>
      <c r="W15" s="30">
        <v>-2</v>
      </c>
      <c r="X15" s="30">
        <v>0</v>
      </c>
      <c r="Y15" s="30">
        <v>-3</v>
      </c>
      <c r="Z15" s="30">
        <v>-9</v>
      </c>
      <c r="AA15" s="30">
        <v>-1</v>
      </c>
      <c r="AB15" s="30">
        <v>-15</v>
      </c>
      <c r="AC15" s="30">
        <v>-6</v>
      </c>
    </row>
    <row r="16" spans="1:59">
      <c r="A16" s="4" t="s">
        <v>163</v>
      </c>
      <c r="B16" s="1">
        <v>-5</v>
      </c>
      <c r="C16" s="1">
        <v>10</v>
      </c>
      <c r="D16" s="1">
        <v>1</v>
      </c>
      <c r="E16" s="1">
        <v>-6</v>
      </c>
      <c r="F16" s="1">
        <v>-6</v>
      </c>
      <c r="G16" s="1">
        <v>-5</v>
      </c>
      <c r="H16" s="1">
        <v>6</v>
      </c>
      <c r="V16" s="31" t="s">
        <v>113</v>
      </c>
      <c r="W16" s="30">
        <v>3</v>
      </c>
      <c r="X16" s="30">
        <v>0</v>
      </c>
      <c r="Y16" s="30">
        <v>-5</v>
      </c>
      <c r="Z16" s="30">
        <v>0</v>
      </c>
      <c r="AA16" s="30">
        <v>0</v>
      </c>
      <c r="AB16" s="30">
        <v>-2</v>
      </c>
      <c r="AC16" s="30">
        <v>-2</v>
      </c>
    </row>
    <row r="17" spans="1:59">
      <c r="A17" s="4" t="s">
        <v>164</v>
      </c>
      <c r="B17" s="1">
        <v>-13</v>
      </c>
      <c r="C17" s="1">
        <v>13</v>
      </c>
      <c r="D17" s="1">
        <v>4</v>
      </c>
      <c r="E17" s="1">
        <v>0</v>
      </c>
      <c r="F17" s="1">
        <v>0</v>
      </c>
      <c r="G17" s="1">
        <v>4</v>
      </c>
      <c r="H17" s="1">
        <v>4</v>
      </c>
    </row>
    <row r="18" spans="1:59">
      <c r="V18" s="30" t="s">
        <v>120</v>
      </c>
      <c r="W18" s="30">
        <v>-1</v>
      </c>
      <c r="X18" s="30">
        <v>1</v>
      </c>
      <c r="Y18" s="30">
        <v>0</v>
      </c>
      <c r="Z18" s="30">
        <v>-4</v>
      </c>
      <c r="AA18" s="30">
        <v>-2</v>
      </c>
      <c r="AB18" s="30">
        <v>-6</v>
      </c>
      <c r="AC18" s="30">
        <v>0</v>
      </c>
    </row>
    <row r="19" spans="1:59">
      <c r="V19" s="31" t="s">
        <v>111</v>
      </c>
      <c r="W19" s="30">
        <v>-3</v>
      </c>
      <c r="X19" s="30">
        <v>0</v>
      </c>
      <c r="Y19" s="30">
        <v>0</v>
      </c>
      <c r="Z19" s="30">
        <v>-3</v>
      </c>
      <c r="AA19" s="30">
        <v>0</v>
      </c>
      <c r="AB19" s="30">
        <v>-5</v>
      </c>
      <c r="AC19" s="30">
        <v>-3</v>
      </c>
    </row>
    <row r="20" spans="1:59">
      <c r="V20" s="31" t="s">
        <v>112</v>
      </c>
      <c r="W20" s="30">
        <v>0</v>
      </c>
      <c r="X20" s="30">
        <v>1</v>
      </c>
      <c r="Y20" s="30">
        <v>11</v>
      </c>
      <c r="Z20" s="30">
        <v>-11</v>
      </c>
      <c r="AA20" s="30">
        <v>-11</v>
      </c>
      <c r="AB20" s="30">
        <v>-10</v>
      </c>
      <c r="AC20" s="30">
        <v>13</v>
      </c>
    </row>
    <row r="21" spans="1:59">
      <c r="V21" s="31" t="s">
        <v>113</v>
      </c>
      <c r="W21" s="30">
        <v>4</v>
      </c>
      <c r="X21" s="30">
        <v>1</v>
      </c>
      <c r="Y21" s="30">
        <v>-7</v>
      </c>
      <c r="Z21" s="30">
        <v>-2</v>
      </c>
      <c r="AA21" s="30">
        <v>-1</v>
      </c>
      <c r="AB21" s="30">
        <v>-5</v>
      </c>
      <c r="AC21" s="30">
        <v>-2</v>
      </c>
    </row>
    <row r="23" spans="1:59" ht="20"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</row>
    <row r="24" spans="1:59">
      <c r="V24" s="29"/>
      <c r="W24" s="632"/>
      <c r="X24" s="632"/>
      <c r="Y24" s="632"/>
      <c r="Z24" s="632"/>
      <c r="AA24" s="632"/>
      <c r="AB24" s="632"/>
      <c r="AC24" s="632"/>
    </row>
    <row r="25" spans="1:59">
      <c r="V25" s="29"/>
      <c r="W25" s="632"/>
      <c r="X25" s="632"/>
      <c r="Y25" s="632"/>
      <c r="Z25" s="632"/>
      <c r="AA25" s="632"/>
      <c r="AB25" s="632"/>
      <c r="AC25" s="632"/>
    </row>
    <row r="29" spans="1:59">
      <c r="A29" s="8"/>
    </row>
    <row r="30" spans="1:59">
      <c r="A30" s="1" t="s">
        <v>143</v>
      </c>
    </row>
    <row r="31" spans="1:5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59">
      <c r="A32" s="2"/>
      <c r="B32" s="2"/>
      <c r="C32" s="3">
        <v>2023</v>
      </c>
      <c r="D32" s="2"/>
      <c r="E32" s="3">
        <v>2022</v>
      </c>
      <c r="F32" s="2"/>
      <c r="G32" s="2"/>
      <c r="H32" s="2"/>
      <c r="I32" s="3">
        <v>2023</v>
      </c>
      <c r="J32" s="2"/>
      <c r="K32" s="3">
        <v>2022</v>
      </c>
    </row>
    <row r="33" spans="1:21">
      <c r="A33" s="4" t="s">
        <v>141</v>
      </c>
      <c r="B33" s="2"/>
      <c r="C33" s="1"/>
      <c r="D33" s="26">
        <v>6290</v>
      </c>
      <c r="E33" s="2"/>
      <c r="F33" s="2"/>
      <c r="G33" s="4"/>
      <c r="H33" s="27">
        <v>6243</v>
      </c>
      <c r="I33" s="2"/>
      <c r="J33" s="2"/>
      <c r="K33" s="4" t="s">
        <v>155</v>
      </c>
      <c r="L33" s="2"/>
      <c r="M33" s="1"/>
      <c r="N33" s="1">
        <v>976</v>
      </c>
      <c r="O33" s="2"/>
      <c r="P33" s="2"/>
      <c r="Q33" s="4"/>
      <c r="R33" s="4">
        <v>806</v>
      </c>
      <c r="S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5" t="s">
        <v>159</v>
      </c>
      <c r="B35" s="2"/>
      <c r="D35" s="2"/>
      <c r="F35" s="2"/>
      <c r="H35" s="2"/>
      <c r="J35" s="2"/>
      <c r="L35" s="2"/>
      <c r="N35" s="2"/>
    </row>
    <row r="36" spans="1:21">
      <c r="A36" s="5"/>
      <c r="B36" s="6" t="s">
        <v>106</v>
      </c>
      <c r="C36" s="6" t="s">
        <v>139</v>
      </c>
      <c r="D36" s="6" t="s">
        <v>108</v>
      </c>
      <c r="E36" s="6" t="s">
        <v>258</v>
      </c>
      <c r="F36" s="6" t="s">
        <v>109</v>
      </c>
      <c r="G36" s="6" t="s">
        <v>254</v>
      </c>
      <c r="H36" s="6" t="s">
        <v>255</v>
      </c>
      <c r="I36" s="6"/>
      <c r="J36" s="2"/>
      <c r="K36" s="6"/>
      <c r="L36" s="2"/>
      <c r="M36" s="6"/>
      <c r="N36" s="2"/>
      <c r="O36" s="6"/>
    </row>
    <row r="37" spans="1:21">
      <c r="A37" s="1" t="s">
        <v>167</v>
      </c>
      <c r="B37" s="1">
        <v>-3</v>
      </c>
      <c r="C37" s="1">
        <v>6</v>
      </c>
      <c r="D37" s="1">
        <v>0</v>
      </c>
      <c r="E37" s="1">
        <v>-2</v>
      </c>
      <c r="F37" s="1">
        <v>-1</v>
      </c>
      <c r="G37" s="1">
        <v>1</v>
      </c>
      <c r="H37" s="1">
        <v>3</v>
      </c>
      <c r="J37" s="2"/>
      <c r="L37" s="2"/>
      <c r="N37" s="2"/>
    </row>
    <row r="38" spans="1:21">
      <c r="A38" s="4" t="s">
        <v>162</v>
      </c>
      <c r="B38" s="1">
        <v>0</v>
      </c>
      <c r="C38" s="1">
        <v>5</v>
      </c>
      <c r="D38" s="1">
        <v>0</v>
      </c>
      <c r="E38" s="1">
        <v>0</v>
      </c>
      <c r="F38" s="1">
        <v>0</v>
      </c>
      <c r="G38" s="1">
        <v>5</v>
      </c>
      <c r="H38" s="1">
        <v>5</v>
      </c>
      <c r="J38" s="2"/>
      <c r="L38" s="2"/>
      <c r="N38" s="2"/>
    </row>
    <row r="39" spans="1:21">
      <c r="A39" s="4" t="s">
        <v>163</v>
      </c>
      <c r="B39" s="1">
        <v>-9</v>
      </c>
      <c r="C39" s="1">
        <v>7</v>
      </c>
      <c r="D39" s="1">
        <v>0</v>
      </c>
      <c r="E39" s="1">
        <v>-8</v>
      </c>
      <c r="F39" s="1">
        <v>-3</v>
      </c>
      <c r="G39" s="1">
        <v>-13</v>
      </c>
      <c r="H39" s="1">
        <v>-2</v>
      </c>
      <c r="J39" s="2"/>
      <c r="L39" s="2"/>
      <c r="N39" s="2"/>
    </row>
    <row r="40" spans="1:21">
      <c r="A40" s="4" t="s">
        <v>164</v>
      </c>
      <c r="B40" s="1">
        <v>-5</v>
      </c>
      <c r="C40" s="1">
        <v>9</v>
      </c>
      <c r="D40" s="1">
        <v>0</v>
      </c>
      <c r="E40" s="1">
        <v>0</v>
      </c>
      <c r="F40" s="1">
        <v>-1</v>
      </c>
      <c r="G40" s="1">
        <v>4</v>
      </c>
      <c r="H40" s="1">
        <v>4</v>
      </c>
      <c r="J40" s="2"/>
      <c r="L40" s="2"/>
      <c r="N40" s="2"/>
    </row>
    <row r="51" spans="1:3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>
      <c r="A52" s="5" t="s">
        <v>165</v>
      </c>
      <c r="B52" s="2"/>
      <c r="C52" s="6" t="s">
        <v>106</v>
      </c>
      <c r="D52" s="2"/>
      <c r="E52" s="6" t="s">
        <v>139</v>
      </c>
      <c r="F52" s="2"/>
      <c r="G52" s="6" t="s">
        <v>157</v>
      </c>
      <c r="H52" s="2"/>
      <c r="I52" s="6" t="s">
        <v>256</v>
      </c>
      <c r="J52" s="2"/>
      <c r="K52" s="6" t="s">
        <v>158</v>
      </c>
      <c r="L52" s="2"/>
      <c r="M52" s="6" t="s">
        <v>257</v>
      </c>
      <c r="N52" s="2"/>
      <c r="O52" s="6" t="s">
        <v>115</v>
      </c>
    </row>
    <row r="53" spans="1:38">
      <c r="A53" s="5" t="s">
        <v>155</v>
      </c>
      <c r="B53" s="2"/>
      <c r="C53" s="6"/>
      <c r="D53" s="2"/>
      <c r="E53" s="6"/>
      <c r="F53" s="2"/>
      <c r="G53" s="6"/>
      <c r="H53" s="2"/>
      <c r="I53" s="6"/>
      <c r="J53" s="2"/>
      <c r="K53" s="6"/>
      <c r="L53" s="2"/>
      <c r="M53" s="6"/>
      <c r="N53" s="2"/>
      <c r="O53" s="6"/>
    </row>
    <row r="54" spans="1:38">
      <c r="A54" s="5" t="s">
        <v>160</v>
      </c>
      <c r="B54" s="2"/>
      <c r="C54" s="6"/>
      <c r="D54" s="2"/>
      <c r="E54" s="6"/>
      <c r="F54" s="2"/>
      <c r="G54" s="6"/>
      <c r="H54" s="2"/>
      <c r="I54" s="6"/>
      <c r="J54" s="2"/>
      <c r="K54" s="6"/>
      <c r="L54" s="2"/>
      <c r="M54" s="6"/>
      <c r="N54" s="2"/>
      <c r="O54" s="6"/>
    </row>
    <row r="55" spans="1:38">
      <c r="A55" s="4" t="s">
        <v>166</v>
      </c>
      <c r="B55" s="2"/>
      <c r="C55" s="1">
        <v>-7</v>
      </c>
      <c r="D55" s="2"/>
      <c r="E55" s="1">
        <v>48</v>
      </c>
      <c r="F55" s="2"/>
      <c r="G55" s="1">
        <v>-8</v>
      </c>
      <c r="H55" s="2"/>
      <c r="I55" s="1">
        <v>14</v>
      </c>
      <c r="J55" s="2"/>
      <c r="K55" s="1">
        <v>0</v>
      </c>
      <c r="L55" s="2"/>
      <c r="M55" s="1">
        <v>-26</v>
      </c>
      <c r="N55" s="2"/>
      <c r="O55" s="1">
        <v>21</v>
      </c>
    </row>
    <row r="56" spans="1:38">
      <c r="A56" s="8"/>
    </row>
    <row r="57" spans="1:38">
      <c r="A57" s="1" t="s">
        <v>140</v>
      </c>
    </row>
    <row r="58" spans="1:3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38">
      <c r="A59" s="2"/>
      <c r="B59" s="2"/>
      <c r="C59" s="3">
        <v>2023</v>
      </c>
      <c r="D59" s="2"/>
      <c r="E59" s="3">
        <v>2022</v>
      </c>
      <c r="F59" s="2"/>
      <c r="G59" s="2"/>
      <c r="H59" s="2"/>
      <c r="I59" s="3">
        <v>2023</v>
      </c>
      <c r="J59" s="2"/>
      <c r="K59" s="3">
        <v>2022</v>
      </c>
    </row>
    <row r="60" spans="1:38">
      <c r="A60" s="4"/>
      <c r="B60" s="2"/>
      <c r="C60" s="1"/>
      <c r="D60" s="26">
        <v>3404</v>
      </c>
      <c r="E60" s="2"/>
      <c r="F60" s="2"/>
      <c r="G60" s="4"/>
      <c r="H60" s="27">
        <v>3256</v>
      </c>
      <c r="I60" s="2"/>
      <c r="J60" s="2"/>
      <c r="K60" s="4" t="s">
        <v>155</v>
      </c>
      <c r="L60" s="2"/>
      <c r="M60" s="1"/>
      <c r="N60" s="1">
        <v>665</v>
      </c>
      <c r="O60" s="2"/>
      <c r="P60" s="2"/>
      <c r="Q60" s="4"/>
      <c r="R60" s="4">
        <v>457</v>
      </c>
      <c r="S60" s="2"/>
    </row>
    <row r="61" spans="1:3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>
      <c r="A62" s="5"/>
      <c r="B62" s="6" t="s">
        <v>106</v>
      </c>
      <c r="D62" s="2"/>
      <c r="E62" s="6" t="s">
        <v>139</v>
      </c>
      <c r="F62" s="2"/>
      <c r="G62" s="6" t="s">
        <v>108</v>
      </c>
      <c r="H62" s="2"/>
      <c r="I62" s="6" t="s">
        <v>258</v>
      </c>
      <c r="J62" s="2"/>
      <c r="K62" s="6" t="s">
        <v>109</v>
      </c>
      <c r="L62" s="2"/>
      <c r="M62" s="6" t="s">
        <v>254</v>
      </c>
      <c r="N62" s="2"/>
      <c r="O62" s="6" t="s">
        <v>255</v>
      </c>
    </row>
    <row r="63" spans="1:38">
      <c r="A63" s="5"/>
      <c r="B63" s="2"/>
      <c r="C63" s="6"/>
      <c r="D63" s="2"/>
      <c r="E63" s="6"/>
      <c r="F63" s="2"/>
      <c r="G63" s="6"/>
      <c r="H63" s="2"/>
      <c r="I63" s="6"/>
      <c r="J63" s="2"/>
      <c r="K63" s="6"/>
      <c r="L63" s="2"/>
      <c r="M63" s="6"/>
      <c r="N63" s="2"/>
      <c r="O63" s="6"/>
    </row>
    <row r="64" spans="1:38">
      <c r="A64" s="1" t="s">
        <v>1579</v>
      </c>
      <c r="B64" s="1">
        <v>-5</v>
      </c>
      <c r="C64" s="1">
        <v>10</v>
      </c>
      <c r="D64" s="1">
        <v>1</v>
      </c>
      <c r="E64" s="1">
        <v>-1</v>
      </c>
      <c r="F64" s="1">
        <v>-1</v>
      </c>
      <c r="G64" s="1">
        <v>5</v>
      </c>
      <c r="H64" s="1">
        <v>7</v>
      </c>
      <c r="J64" s="2"/>
      <c r="L64" s="2"/>
      <c r="N64" s="2"/>
    </row>
    <row r="65" spans="1:38">
      <c r="A65" s="4" t="s">
        <v>162</v>
      </c>
      <c r="B65" s="1">
        <v>-2</v>
      </c>
      <c r="C65" s="1">
        <v>9</v>
      </c>
      <c r="D65" s="1">
        <v>0</v>
      </c>
      <c r="E65" s="1">
        <v>0</v>
      </c>
      <c r="F65" s="1">
        <v>0</v>
      </c>
      <c r="G65" s="1">
        <v>8</v>
      </c>
      <c r="H65" s="1">
        <v>8</v>
      </c>
      <c r="J65" s="2"/>
      <c r="L65" s="2"/>
      <c r="N65" s="2"/>
    </row>
    <row r="66" spans="1:38">
      <c r="A66" s="4" t="s">
        <v>163</v>
      </c>
      <c r="B66" s="1">
        <v>-5</v>
      </c>
      <c r="C66" s="1">
        <v>10</v>
      </c>
      <c r="D66" s="1">
        <v>1</v>
      </c>
      <c r="E66" s="1">
        <v>-6</v>
      </c>
      <c r="F66" s="1">
        <v>-6</v>
      </c>
      <c r="G66" s="1">
        <v>-5</v>
      </c>
      <c r="H66" s="1">
        <v>6</v>
      </c>
      <c r="J66" s="2"/>
      <c r="L66" s="2"/>
      <c r="N66" s="2"/>
    </row>
    <row r="67" spans="1:38">
      <c r="A67" s="4" t="s">
        <v>164</v>
      </c>
      <c r="B67" s="1">
        <v>-13</v>
      </c>
      <c r="C67" s="1">
        <v>13</v>
      </c>
      <c r="D67" s="1">
        <v>4</v>
      </c>
      <c r="E67" s="1">
        <v>0</v>
      </c>
      <c r="F67" s="1">
        <v>0</v>
      </c>
      <c r="G67" s="1">
        <v>4</v>
      </c>
      <c r="H67" s="1">
        <v>4</v>
      </c>
      <c r="J67" s="2"/>
      <c r="L67" s="2"/>
      <c r="N67" s="2"/>
    </row>
    <row r="78" spans="1:3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>
      <c r="A79" s="5" t="s">
        <v>165</v>
      </c>
      <c r="B79" s="2"/>
      <c r="C79" s="6" t="s">
        <v>106</v>
      </c>
      <c r="D79" s="2"/>
      <c r="E79" s="6" t="s">
        <v>139</v>
      </c>
      <c r="F79" s="2"/>
      <c r="G79" s="6" t="s">
        <v>157</v>
      </c>
      <c r="H79" s="2"/>
      <c r="I79" s="6" t="s">
        <v>256</v>
      </c>
      <c r="J79" s="2"/>
      <c r="K79" s="6" t="s">
        <v>158</v>
      </c>
      <c r="L79" s="2"/>
      <c r="M79" s="6" t="s">
        <v>257</v>
      </c>
      <c r="N79" s="2"/>
      <c r="O79" s="6" t="s">
        <v>115</v>
      </c>
    </row>
    <row r="80" spans="1:38">
      <c r="A80" s="5" t="s">
        <v>155</v>
      </c>
      <c r="B80" s="2"/>
      <c r="C80" s="6"/>
      <c r="D80" s="2"/>
      <c r="E80" s="6"/>
      <c r="F80" s="2"/>
      <c r="G80" s="6"/>
      <c r="H80" s="2"/>
      <c r="I80" s="6"/>
      <c r="J80" s="2"/>
      <c r="K80" s="6"/>
      <c r="L80" s="2"/>
      <c r="M80" s="6"/>
      <c r="N80" s="2"/>
      <c r="O80" s="6"/>
    </row>
    <row r="81" spans="1:27">
      <c r="A81" s="5" t="s">
        <v>160</v>
      </c>
      <c r="B81" s="2"/>
      <c r="C81" s="6"/>
      <c r="D81" s="2"/>
      <c r="E81" s="6"/>
      <c r="F81" s="2"/>
      <c r="G81" s="6"/>
      <c r="H81" s="2"/>
      <c r="I81" s="6"/>
      <c r="J81" s="2"/>
      <c r="K81" s="6"/>
      <c r="L81" s="2"/>
      <c r="M81" s="6"/>
      <c r="N81" s="2"/>
      <c r="O81" s="6"/>
    </row>
    <row r="82" spans="1:27">
      <c r="A82" s="4" t="s">
        <v>166</v>
      </c>
      <c r="B82" s="2"/>
      <c r="C82" s="1">
        <v>-14</v>
      </c>
      <c r="D82" s="2"/>
      <c r="E82" s="1">
        <v>73</v>
      </c>
      <c r="F82" s="2"/>
      <c r="G82" s="1">
        <v>10</v>
      </c>
      <c r="H82" s="2"/>
      <c r="I82" s="1">
        <v>13</v>
      </c>
      <c r="J82" s="2"/>
      <c r="K82" s="1">
        <v>-3</v>
      </c>
      <c r="L82" s="2"/>
      <c r="M82" s="1">
        <v>-33</v>
      </c>
      <c r="N82" s="2"/>
      <c r="O82" s="1">
        <v>46</v>
      </c>
    </row>
    <row r="83" spans="1:27">
      <c r="A83" s="8"/>
    </row>
    <row r="84" spans="1:27">
      <c r="A84" s="1" t="s">
        <v>142</v>
      </c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3">
        <v>2022</v>
      </c>
      <c r="D86" s="2"/>
      <c r="E86" s="3">
        <v>2021</v>
      </c>
      <c r="F86" s="2"/>
      <c r="G86" s="2"/>
      <c r="H86" s="2"/>
      <c r="I86" s="3">
        <v>2022</v>
      </c>
      <c r="J86" s="2"/>
      <c r="K86" s="3">
        <v>2021</v>
      </c>
    </row>
    <row r="87" spans="1:27">
      <c r="A87" s="4" t="s">
        <v>141</v>
      </c>
      <c r="B87" s="2"/>
      <c r="C87" s="1"/>
      <c r="D87" s="26">
        <v>10622</v>
      </c>
      <c r="E87" s="2"/>
      <c r="F87" s="2"/>
      <c r="G87" s="4"/>
      <c r="H87" s="27">
        <v>10267</v>
      </c>
      <c r="I87" s="2"/>
      <c r="J87" s="2"/>
      <c r="K87" s="4" t="s">
        <v>155</v>
      </c>
      <c r="L87" s="2"/>
      <c r="M87" s="1"/>
      <c r="N87" s="26">
        <v>1787</v>
      </c>
      <c r="O87" s="2"/>
      <c r="P87" s="2"/>
      <c r="Q87" s="4"/>
      <c r="R87" s="27">
        <v>1856</v>
      </c>
      <c r="S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7">
      <c r="A89" s="3" t="s">
        <v>141</v>
      </c>
      <c r="B89" s="2"/>
      <c r="C89" s="3" t="s">
        <v>149</v>
      </c>
      <c r="D89" s="2"/>
      <c r="E89" s="3" t="s">
        <v>155</v>
      </c>
      <c r="F89" s="2"/>
      <c r="G89" s="3" t="s">
        <v>149</v>
      </c>
    </row>
    <row r="90" spans="1:27">
      <c r="A90" s="2"/>
      <c r="B90" s="2"/>
      <c r="C90" s="3" t="s">
        <v>150</v>
      </c>
      <c r="D90" s="2"/>
      <c r="E90" s="2"/>
      <c r="F90" s="2"/>
      <c r="G90" s="3" t="s">
        <v>150</v>
      </c>
    </row>
    <row r="91" spans="1:27">
      <c r="A91" s="4" t="s">
        <v>106</v>
      </c>
      <c r="B91" s="2"/>
      <c r="C91" s="1">
        <v>-3</v>
      </c>
      <c r="D91" s="2"/>
      <c r="E91" s="2"/>
      <c r="F91" s="4" t="s">
        <v>106</v>
      </c>
      <c r="G91" s="2"/>
      <c r="H91" s="1">
        <v>-7</v>
      </c>
      <c r="I91" s="2"/>
    </row>
    <row r="92" spans="1:27">
      <c r="A92" s="4" t="s">
        <v>139</v>
      </c>
      <c r="B92" s="2"/>
      <c r="C92" s="1">
        <v>8</v>
      </c>
      <c r="D92" s="2"/>
      <c r="E92" s="2"/>
      <c r="F92" s="4" t="s">
        <v>139</v>
      </c>
      <c r="G92" s="2"/>
      <c r="H92" s="1">
        <v>45</v>
      </c>
      <c r="I92" s="2"/>
    </row>
    <row r="93" spans="1:27">
      <c r="A93" s="4" t="s">
        <v>108</v>
      </c>
      <c r="B93" s="2"/>
      <c r="C93" s="1">
        <v>2</v>
      </c>
      <c r="D93" s="2"/>
      <c r="E93" s="2"/>
      <c r="F93" s="4" t="s">
        <v>157</v>
      </c>
      <c r="G93" s="2"/>
      <c r="H93" s="1">
        <v>-34</v>
      </c>
      <c r="I93" s="2"/>
    </row>
    <row r="94" spans="1:27">
      <c r="A94" s="4" t="s">
        <v>109</v>
      </c>
      <c r="B94" s="2"/>
      <c r="C94" s="1">
        <v>-3</v>
      </c>
      <c r="D94" s="2"/>
      <c r="E94" s="2"/>
      <c r="F94" s="4" t="s">
        <v>256</v>
      </c>
      <c r="G94" s="2"/>
      <c r="H94" s="1">
        <v>7</v>
      </c>
      <c r="I94" s="2"/>
    </row>
    <row r="95" spans="1:27">
      <c r="A95" s="4" t="s">
        <v>254</v>
      </c>
      <c r="B95" s="2"/>
      <c r="C95" s="1">
        <v>3</v>
      </c>
      <c r="D95" s="2"/>
      <c r="E95" s="2"/>
      <c r="F95" s="4" t="s">
        <v>158</v>
      </c>
      <c r="G95" s="2"/>
      <c r="H95" s="1">
        <v>-3</v>
      </c>
      <c r="I95" s="2"/>
    </row>
    <row r="96" spans="1:27">
      <c r="A96" s="4" t="s">
        <v>255</v>
      </c>
      <c r="B96" s="2"/>
      <c r="C96" s="1">
        <v>7</v>
      </c>
      <c r="D96" s="2"/>
      <c r="E96" s="4" t="s">
        <v>257</v>
      </c>
      <c r="F96" s="2"/>
      <c r="G96" s="1">
        <v>-12</v>
      </c>
      <c r="H96" s="2"/>
    </row>
    <row r="97" spans="1:27">
      <c r="D97" s="2"/>
      <c r="E97" s="2"/>
      <c r="F97" s="4" t="s">
        <v>115</v>
      </c>
      <c r="G97" s="2"/>
      <c r="H97" s="1">
        <v>-4</v>
      </c>
      <c r="I97" s="2"/>
    </row>
    <row r="99" spans="1:27">
      <c r="A99" s="1" t="s">
        <v>143</v>
      </c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3">
        <v>2022</v>
      </c>
      <c r="D101" s="2"/>
      <c r="E101" s="3">
        <v>2021</v>
      </c>
      <c r="F101" s="2"/>
      <c r="G101" s="2"/>
      <c r="H101" s="2"/>
      <c r="I101" s="3">
        <v>2022</v>
      </c>
      <c r="J101" s="2"/>
      <c r="K101" s="3">
        <v>2021</v>
      </c>
    </row>
    <row r="102" spans="1:27">
      <c r="A102" s="4" t="s">
        <v>141</v>
      </c>
      <c r="B102" s="2"/>
      <c r="C102" s="1"/>
      <c r="D102" s="26">
        <v>6243</v>
      </c>
      <c r="E102" s="2"/>
      <c r="F102" s="2"/>
      <c r="G102" s="4"/>
      <c r="H102" s="27">
        <v>6034</v>
      </c>
      <c r="I102" s="2"/>
      <c r="J102" s="2"/>
      <c r="K102" s="4" t="s">
        <v>155</v>
      </c>
      <c r="L102" s="2"/>
      <c r="M102" s="1"/>
      <c r="N102" s="1">
        <v>806</v>
      </c>
      <c r="O102" s="2"/>
      <c r="P102" s="2"/>
      <c r="Q102" s="4"/>
      <c r="R102" s="4">
        <v>888</v>
      </c>
      <c r="S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7">
      <c r="A104" s="3" t="s">
        <v>141</v>
      </c>
      <c r="B104" s="2"/>
      <c r="C104" s="3" t="s">
        <v>149</v>
      </c>
      <c r="D104" s="2"/>
      <c r="E104" s="3" t="s">
        <v>155</v>
      </c>
      <c r="F104" s="2"/>
      <c r="G104" s="3" t="s">
        <v>149</v>
      </c>
    </row>
    <row r="105" spans="1:27">
      <c r="A105" s="2"/>
      <c r="B105" s="2"/>
      <c r="C105" s="3" t="s">
        <v>150</v>
      </c>
      <c r="D105" s="2"/>
      <c r="E105" s="2"/>
      <c r="F105" s="2"/>
      <c r="G105" s="3" t="s">
        <v>150</v>
      </c>
    </row>
    <row r="106" spans="1:27">
      <c r="A106" s="4" t="s">
        <v>106</v>
      </c>
      <c r="B106" s="2"/>
      <c r="C106" s="1">
        <v>-1</v>
      </c>
      <c r="D106" s="2"/>
      <c r="E106" s="2"/>
      <c r="F106" s="4" t="s">
        <v>106</v>
      </c>
      <c r="G106" s="2"/>
      <c r="H106" s="1">
        <v>-5</v>
      </c>
      <c r="I106" s="2"/>
    </row>
    <row r="107" spans="1:27">
      <c r="A107" s="4" t="s">
        <v>139</v>
      </c>
      <c r="B107" s="2"/>
      <c r="C107" s="1">
        <v>8</v>
      </c>
      <c r="D107" s="2"/>
      <c r="E107" s="2"/>
      <c r="F107" s="4" t="s">
        <v>139</v>
      </c>
      <c r="G107" s="2"/>
      <c r="H107" s="1">
        <v>55</v>
      </c>
      <c r="I107" s="2"/>
    </row>
    <row r="108" spans="1:27">
      <c r="A108" s="4" t="s">
        <v>108</v>
      </c>
      <c r="B108" s="2"/>
      <c r="C108" s="1">
        <v>0</v>
      </c>
      <c r="D108" s="2"/>
      <c r="E108" s="2"/>
      <c r="F108" s="4" t="s">
        <v>157</v>
      </c>
      <c r="G108" s="2"/>
      <c r="H108" s="1">
        <v>-66</v>
      </c>
      <c r="I108" s="2"/>
    </row>
    <row r="109" spans="1:27">
      <c r="A109" s="4" t="s">
        <v>109</v>
      </c>
      <c r="B109" s="2"/>
      <c r="C109" s="1">
        <v>-4</v>
      </c>
      <c r="D109" s="2"/>
      <c r="E109" s="2"/>
      <c r="F109" s="4" t="s">
        <v>256</v>
      </c>
      <c r="G109" s="2"/>
      <c r="H109" s="1">
        <v>12</v>
      </c>
      <c r="I109" s="2"/>
    </row>
    <row r="110" spans="1:27">
      <c r="A110" s="4" t="s">
        <v>254</v>
      </c>
      <c r="B110" s="2"/>
      <c r="C110" s="1">
        <v>3</v>
      </c>
      <c r="D110" s="2"/>
      <c r="E110" s="2"/>
      <c r="F110" s="4" t="s">
        <v>158</v>
      </c>
      <c r="G110" s="2"/>
      <c r="H110" s="1">
        <v>-1</v>
      </c>
      <c r="I110" s="2"/>
    </row>
    <row r="111" spans="1:27">
      <c r="A111" s="2"/>
      <c r="B111" s="2"/>
      <c r="C111" s="2"/>
      <c r="D111" s="2"/>
      <c r="E111" s="4" t="s">
        <v>257</v>
      </c>
      <c r="F111" s="2"/>
      <c r="G111" s="1">
        <v>-4</v>
      </c>
      <c r="H111" s="2"/>
    </row>
    <row r="112" spans="1:27">
      <c r="A112" s="4" t="s">
        <v>255</v>
      </c>
      <c r="B112" s="2"/>
      <c r="C112" s="1">
        <v>7</v>
      </c>
      <c r="D112" s="2"/>
      <c r="E112" s="2"/>
      <c r="F112" s="4" t="s">
        <v>115</v>
      </c>
      <c r="G112" s="2"/>
      <c r="H112" s="1">
        <v>-9</v>
      </c>
      <c r="I112" s="2"/>
    </row>
    <row r="114" spans="1:27">
      <c r="A114" s="1" t="s">
        <v>140</v>
      </c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3">
        <v>2022</v>
      </c>
      <c r="D116" s="2"/>
      <c r="E116" s="3">
        <v>2021</v>
      </c>
      <c r="F116" s="2"/>
      <c r="G116" s="2"/>
      <c r="H116" s="2"/>
      <c r="I116" s="3">
        <v>2022</v>
      </c>
      <c r="J116" s="2"/>
      <c r="K116" s="3">
        <v>2021</v>
      </c>
    </row>
    <row r="117" spans="1:27">
      <c r="A117" s="4" t="s">
        <v>141</v>
      </c>
      <c r="B117" s="2"/>
      <c r="C117" s="1"/>
      <c r="D117" s="26">
        <v>3256</v>
      </c>
      <c r="E117" s="2"/>
      <c r="F117" s="2"/>
      <c r="G117" s="4"/>
      <c r="H117" s="27">
        <v>3072</v>
      </c>
      <c r="I117" s="2"/>
      <c r="J117" s="2"/>
      <c r="K117" s="4" t="s">
        <v>155</v>
      </c>
      <c r="L117" s="2"/>
      <c r="M117" s="1"/>
      <c r="N117" s="1">
        <v>457</v>
      </c>
      <c r="O117" s="2"/>
      <c r="P117" s="2"/>
      <c r="Q117" s="4"/>
      <c r="R117" s="4">
        <v>404</v>
      </c>
      <c r="S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7">
      <c r="A119" s="3" t="s">
        <v>141</v>
      </c>
      <c r="B119" s="2"/>
      <c r="C119" s="3" t="s">
        <v>149</v>
      </c>
      <c r="D119" s="2"/>
      <c r="E119" s="3" t="s">
        <v>155</v>
      </c>
      <c r="F119" s="2"/>
      <c r="G119" s="3" t="s">
        <v>149</v>
      </c>
    </row>
    <row r="120" spans="1:27">
      <c r="A120" s="2"/>
      <c r="B120" s="2"/>
      <c r="C120" s="3" t="s">
        <v>150</v>
      </c>
      <c r="D120" s="2"/>
      <c r="E120" s="2"/>
      <c r="F120" s="2"/>
      <c r="G120" s="3" t="s">
        <v>150</v>
      </c>
    </row>
    <row r="121" spans="1:27">
      <c r="A121" s="4" t="s">
        <v>106</v>
      </c>
      <c r="B121" s="2"/>
      <c r="C121" s="1">
        <v>-4</v>
      </c>
      <c r="D121" s="2"/>
      <c r="E121" s="2"/>
      <c r="F121" s="4" t="s">
        <v>106</v>
      </c>
      <c r="G121" s="2"/>
      <c r="H121" s="1">
        <v>-17</v>
      </c>
      <c r="I121" s="2"/>
    </row>
    <row r="122" spans="1:27">
      <c r="A122" s="4" t="s">
        <v>139</v>
      </c>
      <c r="B122" s="2"/>
      <c r="C122" s="1">
        <v>12</v>
      </c>
      <c r="D122" s="2"/>
      <c r="E122" s="2"/>
      <c r="F122" s="4" t="s">
        <v>139</v>
      </c>
      <c r="G122" s="2"/>
      <c r="H122" s="1">
        <v>89</v>
      </c>
      <c r="I122" s="2"/>
    </row>
    <row r="123" spans="1:27">
      <c r="A123" s="4" t="s">
        <v>108</v>
      </c>
      <c r="B123" s="2"/>
      <c r="C123" s="1">
        <v>1</v>
      </c>
      <c r="D123" s="2"/>
      <c r="E123" s="2"/>
      <c r="F123" s="4" t="s">
        <v>157</v>
      </c>
      <c r="G123" s="2"/>
      <c r="H123" s="1">
        <v>-65</v>
      </c>
      <c r="I123" s="2"/>
    </row>
    <row r="124" spans="1:27">
      <c r="A124" s="4" t="s">
        <v>109</v>
      </c>
      <c r="B124" s="2"/>
      <c r="C124" s="1">
        <v>-4</v>
      </c>
      <c r="D124" s="2"/>
      <c r="E124" s="2"/>
      <c r="F124" s="4" t="s">
        <v>256</v>
      </c>
      <c r="G124" s="2"/>
      <c r="H124" s="1">
        <v>13</v>
      </c>
      <c r="I124" s="2"/>
    </row>
    <row r="125" spans="1:27">
      <c r="A125" s="4" t="s">
        <v>254</v>
      </c>
      <c r="B125" s="2"/>
      <c r="C125" s="1">
        <v>6</v>
      </c>
      <c r="D125" s="2"/>
      <c r="E125" s="2"/>
      <c r="F125" s="4" t="s">
        <v>158</v>
      </c>
      <c r="G125" s="2"/>
      <c r="H125" s="1">
        <v>-4</v>
      </c>
      <c r="I125" s="2"/>
    </row>
    <row r="126" spans="1:27">
      <c r="A126" s="2"/>
      <c r="B126" s="2"/>
      <c r="C126" s="2"/>
      <c r="D126" s="2"/>
      <c r="E126" s="4" t="s">
        <v>257</v>
      </c>
      <c r="F126" s="2"/>
      <c r="G126" s="1">
        <v>-3</v>
      </c>
      <c r="H126" s="2"/>
    </row>
    <row r="127" spans="1:27">
      <c r="A127" s="4" t="s">
        <v>255</v>
      </c>
      <c r="B127" s="2"/>
      <c r="C127" s="1">
        <v>9</v>
      </c>
      <c r="D127" s="2"/>
      <c r="E127" s="2"/>
      <c r="F127" s="4" t="s">
        <v>115</v>
      </c>
      <c r="G127" s="2"/>
      <c r="H127" s="1">
        <v>13</v>
      </c>
      <c r="I127" s="2"/>
    </row>
    <row r="128" spans="1:27">
      <c r="A128" s="7" t="s">
        <v>259</v>
      </c>
    </row>
    <row r="130" spans="1:27">
      <c r="A130" s="1" t="s">
        <v>142</v>
      </c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3">
        <v>2021</v>
      </c>
      <c r="D132" s="2"/>
      <c r="E132" s="3">
        <v>2020</v>
      </c>
      <c r="F132" s="2"/>
      <c r="G132" s="2"/>
      <c r="H132" s="2"/>
      <c r="I132" s="3">
        <v>2021</v>
      </c>
      <c r="J132" s="2"/>
      <c r="K132" s="3">
        <v>2020</v>
      </c>
    </row>
    <row r="133" spans="1:27">
      <c r="A133" s="4" t="s">
        <v>141</v>
      </c>
      <c r="B133" s="2"/>
      <c r="C133" s="1"/>
      <c r="D133" s="26">
        <v>10267</v>
      </c>
      <c r="E133" s="2"/>
      <c r="F133" s="2"/>
      <c r="G133" s="4"/>
      <c r="H133" s="27">
        <v>9339</v>
      </c>
      <c r="I133" s="2"/>
      <c r="J133" s="2"/>
      <c r="K133" s="4" t="s">
        <v>155</v>
      </c>
      <c r="L133" s="2"/>
      <c r="M133" s="1"/>
      <c r="N133" s="26">
        <v>1856</v>
      </c>
      <c r="O133" s="2"/>
      <c r="P133" s="2"/>
      <c r="Q133" s="4"/>
      <c r="R133" s="27">
        <v>1933</v>
      </c>
      <c r="S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7">
      <c r="A135" s="3" t="s">
        <v>141</v>
      </c>
      <c r="B135" s="2"/>
      <c r="C135" s="3" t="s">
        <v>149</v>
      </c>
      <c r="D135" s="2"/>
      <c r="E135" s="3" t="s">
        <v>155</v>
      </c>
      <c r="F135" s="2"/>
      <c r="G135" s="3" t="s">
        <v>149</v>
      </c>
    </row>
    <row r="136" spans="1:27">
      <c r="A136" s="2"/>
      <c r="B136" s="2"/>
      <c r="C136" s="3" t="s">
        <v>151</v>
      </c>
      <c r="D136" s="2"/>
      <c r="E136" s="2"/>
      <c r="F136" s="2"/>
      <c r="G136" s="3" t="s">
        <v>151</v>
      </c>
    </row>
    <row r="137" spans="1:27">
      <c r="A137" s="4" t="s">
        <v>106</v>
      </c>
      <c r="B137" s="2"/>
      <c r="C137" s="1">
        <v>2</v>
      </c>
      <c r="D137" s="2"/>
      <c r="E137" s="2"/>
      <c r="F137" s="4" t="s">
        <v>106</v>
      </c>
      <c r="G137" s="2"/>
      <c r="H137" s="1">
        <v>1</v>
      </c>
      <c r="I137" s="2"/>
    </row>
    <row r="138" spans="1:27">
      <c r="A138" s="4" t="s">
        <v>139</v>
      </c>
      <c r="B138" s="2"/>
      <c r="C138" s="1">
        <v>2</v>
      </c>
      <c r="D138" s="2"/>
      <c r="E138" s="2"/>
      <c r="F138" s="4" t="s">
        <v>139</v>
      </c>
      <c r="G138" s="2"/>
      <c r="H138" s="1">
        <v>10</v>
      </c>
      <c r="I138" s="2"/>
    </row>
    <row r="139" spans="1:27">
      <c r="A139" s="4" t="s">
        <v>108</v>
      </c>
      <c r="B139" s="2"/>
      <c r="C139" s="1">
        <v>2</v>
      </c>
      <c r="D139" s="2"/>
      <c r="E139" s="2"/>
      <c r="F139" s="4" t="s">
        <v>157</v>
      </c>
      <c r="G139" s="2"/>
      <c r="H139" s="1">
        <v>-34</v>
      </c>
      <c r="I139" s="2"/>
    </row>
    <row r="140" spans="1:27">
      <c r="A140" s="4" t="s">
        <v>260</v>
      </c>
      <c r="B140" s="2"/>
      <c r="C140" s="1">
        <v>3</v>
      </c>
      <c r="D140" s="2"/>
      <c r="E140" s="2"/>
      <c r="F140" s="4" t="s">
        <v>256</v>
      </c>
      <c r="G140" s="2"/>
      <c r="H140" s="1">
        <v>11</v>
      </c>
      <c r="I140" s="2"/>
    </row>
    <row r="141" spans="1:27">
      <c r="A141" s="4" t="s">
        <v>109</v>
      </c>
      <c r="B141" s="2"/>
      <c r="C141" s="1">
        <v>1</v>
      </c>
      <c r="D141" s="2"/>
      <c r="E141" s="2"/>
      <c r="F141" s="4" t="s">
        <v>158</v>
      </c>
      <c r="G141" s="2"/>
      <c r="H141" s="1">
        <v>1</v>
      </c>
      <c r="I141" s="2"/>
    </row>
    <row r="142" spans="1:27">
      <c r="A142" s="4" t="s">
        <v>254</v>
      </c>
      <c r="B142" s="2"/>
      <c r="C142" s="1">
        <v>10</v>
      </c>
      <c r="D142" s="2"/>
      <c r="E142" s="2"/>
      <c r="F142" s="4" t="s">
        <v>257</v>
      </c>
      <c r="G142" s="2"/>
      <c r="H142" s="1">
        <v>7</v>
      </c>
      <c r="I142" s="2"/>
    </row>
    <row r="143" spans="1:27">
      <c r="A143" s="4" t="s">
        <v>255</v>
      </c>
      <c r="B143" s="2"/>
      <c r="C143" s="1">
        <v>6</v>
      </c>
      <c r="D143" s="2"/>
      <c r="E143" s="2"/>
      <c r="F143" s="4" t="s">
        <v>115</v>
      </c>
      <c r="G143" s="2"/>
      <c r="H143" s="1">
        <v>-4</v>
      </c>
      <c r="I143" s="2"/>
    </row>
    <row r="144" spans="1:27">
      <c r="A144" s="7" t="s">
        <v>261</v>
      </c>
    </row>
    <row r="146" spans="1:27">
      <c r="A146" s="1" t="s">
        <v>143</v>
      </c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3">
        <v>2021</v>
      </c>
      <c r="D148" s="2"/>
      <c r="E148" s="3">
        <v>2020</v>
      </c>
      <c r="F148" s="2"/>
      <c r="G148" s="2"/>
      <c r="H148" s="2"/>
      <c r="I148" s="3">
        <v>2021</v>
      </c>
      <c r="J148" s="2"/>
      <c r="K148" s="3">
        <v>2020</v>
      </c>
    </row>
    <row r="149" spans="1:27">
      <c r="A149" s="4" t="s">
        <v>141</v>
      </c>
      <c r="B149" s="2"/>
      <c r="C149" s="1"/>
      <c r="D149" s="26">
        <v>6034</v>
      </c>
      <c r="E149" s="2"/>
      <c r="F149" s="2"/>
      <c r="G149" s="4"/>
      <c r="H149" s="27">
        <v>6718</v>
      </c>
      <c r="I149" s="2"/>
      <c r="J149" s="2"/>
      <c r="K149" s="4" t="s">
        <v>155</v>
      </c>
      <c r="L149" s="2"/>
      <c r="M149" s="1"/>
      <c r="N149" s="1">
        <v>888</v>
      </c>
      <c r="O149" s="2"/>
      <c r="P149" s="2"/>
      <c r="Q149" s="4"/>
      <c r="R149" s="27">
        <v>1448</v>
      </c>
      <c r="S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7">
      <c r="A151" s="3" t="s">
        <v>141</v>
      </c>
      <c r="B151" s="2"/>
      <c r="C151" s="3" t="s">
        <v>149</v>
      </c>
      <c r="D151" s="2"/>
      <c r="E151" s="3" t="s">
        <v>155</v>
      </c>
      <c r="F151" s="2"/>
      <c r="G151" s="3" t="s">
        <v>149</v>
      </c>
    </row>
    <row r="152" spans="1:27">
      <c r="A152" s="2"/>
      <c r="B152" s="2"/>
      <c r="C152" s="3" t="s">
        <v>151</v>
      </c>
      <c r="D152" s="2"/>
      <c r="E152" s="2"/>
      <c r="F152" s="2"/>
      <c r="G152" s="3" t="s">
        <v>151</v>
      </c>
    </row>
    <row r="153" spans="1:27">
      <c r="A153" s="4" t="s">
        <v>106</v>
      </c>
      <c r="B153" s="2"/>
      <c r="C153" s="1">
        <v>-11</v>
      </c>
      <c r="D153" s="2"/>
      <c r="E153" s="2"/>
      <c r="F153" s="4" t="s">
        <v>106</v>
      </c>
      <c r="G153" s="2"/>
      <c r="H153" s="1">
        <v>-21</v>
      </c>
      <c r="I153" s="2"/>
    </row>
    <row r="154" spans="1:27">
      <c r="A154" s="4" t="s">
        <v>139</v>
      </c>
      <c r="B154" s="2"/>
      <c r="C154" s="1">
        <v>0</v>
      </c>
      <c r="D154" s="2"/>
      <c r="E154" s="2"/>
      <c r="F154" s="4" t="s">
        <v>139</v>
      </c>
      <c r="G154" s="2"/>
      <c r="H154" s="1">
        <v>0</v>
      </c>
      <c r="I154" s="2"/>
    </row>
    <row r="155" spans="1:27">
      <c r="A155" s="4" t="s">
        <v>108</v>
      </c>
      <c r="B155" s="2"/>
      <c r="C155" s="1">
        <v>-1</v>
      </c>
      <c r="D155" s="2"/>
      <c r="E155" s="2"/>
      <c r="F155" s="4" t="s">
        <v>157</v>
      </c>
      <c r="G155" s="2"/>
      <c r="H155" s="1">
        <v>-36</v>
      </c>
      <c r="I155" s="2"/>
    </row>
    <row r="156" spans="1:27">
      <c r="A156" s="4" t="s">
        <v>109</v>
      </c>
      <c r="B156" s="2"/>
      <c r="C156" s="1">
        <v>1</v>
      </c>
      <c r="D156" s="2"/>
      <c r="E156" s="2"/>
      <c r="F156" s="4" t="s">
        <v>256</v>
      </c>
      <c r="G156" s="2"/>
      <c r="H156" s="1">
        <v>19</v>
      </c>
      <c r="I156" s="2"/>
    </row>
    <row r="157" spans="1:27">
      <c r="A157" s="4" t="s">
        <v>254</v>
      </c>
      <c r="B157" s="2"/>
      <c r="C157" s="1">
        <v>-10</v>
      </c>
      <c r="D157" s="2"/>
      <c r="E157" s="2"/>
      <c r="F157" s="4" t="s">
        <v>158</v>
      </c>
      <c r="G157" s="2"/>
      <c r="H157" s="1">
        <v>2</v>
      </c>
      <c r="I157" s="2"/>
    </row>
    <row r="158" spans="1:27">
      <c r="A158" s="2"/>
      <c r="B158" s="2"/>
      <c r="C158" s="2"/>
      <c r="D158" s="2"/>
      <c r="E158" s="4" t="s">
        <v>257</v>
      </c>
      <c r="F158" s="2"/>
      <c r="G158" s="1">
        <v>-3</v>
      </c>
      <c r="H158" s="2"/>
    </row>
    <row r="159" spans="1:27">
      <c r="A159" s="4" t="s">
        <v>255</v>
      </c>
      <c r="B159" s="2"/>
      <c r="C159" s="1">
        <v>-11</v>
      </c>
      <c r="D159" s="2"/>
      <c r="E159" s="2"/>
      <c r="F159" s="4" t="s">
        <v>115</v>
      </c>
      <c r="G159" s="2"/>
      <c r="H159" s="1">
        <v>-39</v>
      </c>
      <c r="I159" s="2"/>
    </row>
    <row r="161" spans="1:27">
      <c r="A161" s="1" t="s">
        <v>140</v>
      </c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3">
        <v>2021</v>
      </c>
      <c r="D163" s="2"/>
      <c r="E163" s="3">
        <v>2020</v>
      </c>
      <c r="F163" s="2"/>
      <c r="G163" s="2"/>
      <c r="H163" s="2"/>
      <c r="I163" s="3">
        <v>2021</v>
      </c>
      <c r="J163" s="2"/>
      <c r="K163" s="3">
        <v>2020</v>
      </c>
    </row>
    <row r="164" spans="1:27">
      <c r="A164" s="4" t="s">
        <v>141</v>
      </c>
      <c r="B164" s="2"/>
      <c r="C164" s="1"/>
      <c r="D164" s="26">
        <v>3072</v>
      </c>
      <c r="E164" s="2"/>
      <c r="F164" s="2"/>
      <c r="G164" s="4"/>
      <c r="H164" s="27">
        <v>3019</v>
      </c>
      <c r="I164" s="2"/>
      <c r="J164" s="2"/>
      <c r="K164" s="4" t="s">
        <v>155</v>
      </c>
      <c r="L164" s="2"/>
      <c r="M164" s="1"/>
      <c r="N164" s="1">
        <v>404</v>
      </c>
      <c r="O164" s="2"/>
      <c r="P164" s="2"/>
      <c r="Q164" s="4"/>
      <c r="R164" s="4">
        <v>528</v>
      </c>
      <c r="S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7">
      <c r="A166" s="3" t="s">
        <v>141</v>
      </c>
      <c r="B166" s="2"/>
      <c r="C166" s="3" t="s">
        <v>149</v>
      </c>
      <c r="D166" s="2"/>
      <c r="E166" s="3" t="s">
        <v>155</v>
      </c>
      <c r="F166" s="2"/>
      <c r="G166" s="3" t="s">
        <v>149</v>
      </c>
    </row>
    <row r="167" spans="1:27">
      <c r="A167" s="2"/>
      <c r="B167" s="2"/>
      <c r="C167" s="3" t="s">
        <v>151</v>
      </c>
      <c r="D167" s="2"/>
      <c r="E167" s="2"/>
      <c r="F167" s="2"/>
      <c r="G167" s="3" t="s">
        <v>151</v>
      </c>
    </row>
    <row r="168" spans="1:27">
      <c r="A168" s="4" t="s">
        <v>106</v>
      </c>
      <c r="B168" s="2"/>
      <c r="C168" s="1">
        <v>-6</v>
      </c>
      <c r="D168" s="2"/>
      <c r="E168" s="2"/>
      <c r="F168" s="4" t="s">
        <v>106</v>
      </c>
      <c r="G168" s="2"/>
      <c r="H168" s="1">
        <v>-21</v>
      </c>
      <c r="I168" s="2"/>
    </row>
    <row r="169" spans="1:27">
      <c r="A169" s="4" t="s">
        <v>139</v>
      </c>
      <c r="B169" s="2"/>
      <c r="C169" s="1">
        <v>5</v>
      </c>
      <c r="D169" s="2"/>
      <c r="E169" s="2"/>
      <c r="F169" s="4" t="s">
        <v>139</v>
      </c>
      <c r="G169" s="2"/>
      <c r="H169" s="1">
        <v>31</v>
      </c>
      <c r="I169" s="2"/>
    </row>
    <row r="170" spans="1:27">
      <c r="A170" s="4" t="s">
        <v>108</v>
      </c>
      <c r="B170" s="2"/>
      <c r="C170" s="1">
        <v>1</v>
      </c>
      <c r="D170" s="2"/>
      <c r="E170" s="2"/>
      <c r="F170" s="4" t="s">
        <v>157</v>
      </c>
      <c r="G170" s="2"/>
      <c r="H170" s="1">
        <v>-57</v>
      </c>
      <c r="I170" s="2"/>
    </row>
    <row r="171" spans="1:27">
      <c r="A171" s="4" t="s">
        <v>109</v>
      </c>
      <c r="B171" s="2"/>
      <c r="C171" s="1">
        <v>1</v>
      </c>
      <c r="D171" s="2"/>
      <c r="E171" s="2"/>
      <c r="F171" s="4" t="s">
        <v>256</v>
      </c>
      <c r="G171" s="2"/>
      <c r="H171" s="1">
        <v>11</v>
      </c>
      <c r="I171" s="2"/>
    </row>
    <row r="172" spans="1:27">
      <c r="A172" s="4" t="s">
        <v>254</v>
      </c>
      <c r="B172" s="2"/>
      <c r="C172" s="1">
        <v>2</v>
      </c>
      <c r="D172" s="2"/>
      <c r="E172" s="2"/>
      <c r="F172" s="4" t="s">
        <v>158</v>
      </c>
      <c r="G172" s="2"/>
      <c r="H172" s="1">
        <v>2</v>
      </c>
      <c r="I172" s="2"/>
    </row>
    <row r="173" spans="1:27">
      <c r="A173" s="2"/>
      <c r="B173" s="2"/>
      <c r="C173" s="2"/>
      <c r="D173" s="2"/>
      <c r="E173" s="4" t="s">
        <v>257</v>
      </c>
      <c r="F173" s="2"/>
      <c r="G173" s="1">
        <v>11</v>
      </c>
      <c r="H173" s="2"/>
    </row>
    <row r="174" spans="1:27">
      <c r="A174" s="4" t="s">
        <v>255</v>
      </c>
      <c r="B174" s="2"/>
      <c r="C174" s="1">
        <v>0</v>
      </c>
      <c r="D174" s="2"/>
      <c r="E174" s="2"/>
      <c r="F174" s="4" t="s">
        <v>115</v>
      </c>
      <c r="G174" s="2"/>
      <c r="H174" s="1">
        <v>-23</v>
      </c>
      <c r="I174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3">
        <v>2020</v>
      </c>
      <c r="D177" s="2"/>
      <c r="E177" s="3">
        <v>2019</v>
      </c>
      <c r="F177" s="2"/>
      <c r="G177" s="2"/>
      <c r="H177" s="2"/>
      <c r="I177" s="3">
        <v>2020</v>
      </c>
      <c r="J177" s="2"/>
      <c r="K177" s="3">
        <v>2019</v>
      </c>
    </row>
    <row r="178" spans="1:27">
      <c r="A178" s="4" t="s">
        <v>141</v>
      </c>
      <c r="B178" s="2"/>
      <c r="C178" s="1"/>
      <c r="D178" s="26">
        <v>9339</v>
      </c>
      <c r="E178" s="2"/>
      <c r="F178" s="2"/>
      <c r="G178" s="4"/>
      <c r="H178" s="27">
        <v>9108</v>
      </c>
      <c r="I178" s="2"/>
      <c r="J178" s="2"/>
      <c r="K178" s="4" t="s">
        <v>155</v>
      </c>
      <c r="L178" s="2"/>
      <c r="M178" s="1"/>
      <c r="N178" s="26">
        <v>1933</v>
      </c>
      <c r="O178" s="2"/>
      <c r="P178" s="2"/>
      <c r="Q178" s="4"/>
      <c r="R178" s="27">
        <v>1904</v>
      </c>
      <c r="S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7">
      <c r="A180" s="3" t="s">
        <v>141</v>
      </c>
      <c r="B180" s="2"/>
      <c r="C180" s="3" t="s">
        <v>149</v>
      </c>
      <c r="D180" s="2"/>
      <c r="E180" s="3" t="s">
        <v>155</v>
      </c>
      <c r="F180" s="2"/>
      <c r="G180" s="3" t="s">
        <v>149</v>
      </c>
    </row>
    <row r="181" spans="1:27">
      <c r="A181" s="2"/>
      <c r="B181" s="2"/>
      <c r="C181" s="3" t="s">
        <v>152</v>
      </c>
      <c r="D181" s="2"/>
      <c r="E181" s="2"/>
      <c r="F181" s="2"/>
      <c r="G181" s="3" t="s">
        <v>152</v>
      </c>
    </row>
    <row r="182" spans="1:27">
      <c r="A182" s="4" t="s">
        <v>106</v>
      </c>
      <c r="B182" s="2"/>
      <c r="C182" s="1">
        <v>4</v>
      </c>
      <c r="D182" s="2"/>
      <c r="E182" s="2"/>
      <c r="F182" s="4" t="s">
        <v>106</v>
      </c>
      <c r="G182" s="2"/>
      <c r="H182" s="1">
        <v>7</v>
      </c>
      <c r="I182" s="2"/>
    </row>
    <row r="183" spans="1:27">
      <c r="A183" s="4" t="s">
        <v>139</v>
      </c>
      <c r="B183" s="2"/>
      <c r="C183" s="1">
        <v>0</v>
      </c>
      <c r="D183" s="2"/>
      <c r="E183" s="2"/>
      <c r="F183" s="4" t="s">
        <v>139</v>
      </c>
      <c r="G183" s="2"/>
      <c r="H183" s="1">
        <v>2</v>
      </c>
      <c r="I183" s="2"/>
    </row>
    <row r="184" spans="1:27">
      <c r="A184" s="4" t="s">
        <v>108</v>
      </c>
      <c r="B184" s="2"/>
      <c r="C184" s="1">
        <v>1</v>
      </c>
      <c r="D184" s="2"/>
      <c r="E184" s="2"/>
      <c r="F184" s="4" t="s">
        <v>157</v>
      </c>
      <c r="G184" s="2"/>
      <c r="H184" s="1">
        <v>2</v>
      </c>
      <c r="I184" s="2"/>
    </row>
    <row r="185" spans="1:27">
      <c r="A185" s="4" t="s">
        <v>135</v>
      </c>
      <c r="B185" s="2"/>
      <c r="C185" s="1">
        <v>1</v>
      </c>
      <c r="D185" s="2"/>
      <c r="E185" s="2"/>
      <c r="F185" s="4" t="s">
        <v>256</v>
      </c>
      <c r="G185" s="2"/>
      <c r="H185" s="1">
        <v>15</v>
      </c>
      <c r="I185" s="2"/>
    </row>
    <row r="186" spans="1:27">
      <c r="A186" s="4" t="s">
        <v>109</v>
      </c>
      <c r="B186" s="2"/>
      <c r="C186" s="1">
        <v>-4</v>
      </c>
      <c r="D186" s="2"/>
      <c r="E186" s="2"/>
      <c r="F186" s="4" t="s">
        <v>158</v>
      </c>
      <c r="G186" s="2"/>
      <c r="H186" s="1">
        <v>-2</v>
      </c>
      <c r="I186" s="2"/>
    </row>
    <row r="187" spans="1:27">
      <c r="A187" s="4" t="s">
        <v>254</v>
      </c>
      <c r="B187" s="2"/>
      <c r="C187" s="1">
        <v>3</v>
      </c>
      <c r="D187" s="2"/>
      <c r="E187" s="2"/>
      <c r="F187" s="4" t="s">
        <v>257</v>
      </c>
      <c r="G187" s="2"/>
      <c r="H187" s="1">
        <v>-22</v>
      </c>
      <c r="I187" s="2"/>
    </row>
    <row r="188" spans="1:27">
      <c r="A188" s="4" t="s">
        <v>255</v>
      </c>
      <c r="B188" s="2"/>
      <c r="C188" s="1">
        <v>5</v>
      </c>
      <c r="D188" s="2"/>
      <c r="E188" s="2"/>
      <c r="F188" s="4" t="s">
        <v>115</v>
      </c>
      <c r="G188" s="2"/>
      <c r="H188" s="1">
        <v>2</v>
      </c>
      <c r="I188" s="2"/>
    </row>
    <row r="190" spans="1:27">
      <c r="A190" s="1" t="s">
        <v>143</v>
      </c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3">
        <v>2020</v>
      </c>
      <c r="D192" s="2"/>
      <c r="E192" s="3">
        <v>2019</v>
      </c>
      <c r="F192" s="2"/>
      <c r="G192" s="2"/>
      <c r="H192" s="2"/>
      <c r="I192" s="3">
        <v>2020</v>
      </c>
      <c r="J192" s="2"/>
      <c r="K192" s="3">
        <v>2019</v>
      </c>
    </row>
    <row r="193" spans="1:27">
      <c r="A193" s="4" t="s">
        <v>141</v>
      </c>
      <c r="B193" s="2"/>
      <c r="C193" s="1"/>
      <c r="D193" s="26">
        <v>6718</v>
      </c>
      <c r="E193" s="2"/>
      <c r="F193" s="2"/>
      <c r="G193" s="4"/>
      <c r="H193" s="27">
        <v>5993</v>
      </c>
      <c r="I193" s="2"/>
      <c r="J193" s="2"/>
      <c r="K193" s="4" t="s">
        <v>155</v>
      </c>
      <c r="L193" s="2"/>
      <c r="M193" s="1"/>
      <c r="N193" s="26">
        <v>1448</v>
      </c>
      <c r="O193" s="2"/>
      <c r="P193" s="2"/>
      <c r="Q193" s="4"/>
      <c r="R193" s="27">
        <v>1007</v>
      </c>
      <c r="S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7">
      <c r="A195" s="3" t="s">
        <v>141</v>
      </c>
      <c r="B195" s="2"/>
      <c r="C195" s="3" t="s">
        <v>149</v>
      </c>
      <c r="D195" s="2"/>
      <c r="E195" s="3" t="s">
        <v>155</v>
      </c>
      <c r="F195" s="2"/>
      <c r="G195" s="3" t="s">
        <v>149</v>
      </c>
    </row>
    <row r="196" spans="1:27">
      <c r="A196" s="2"/>
      <c r="B196" s="2"/>
      <c r="C196" s="3" t="s">
        <v>152</v>
      </c>
      <c r="D196" s="2"/>
      <c r="E196" s="2"/>
      <c r="F196" s="2"/>
      <c r="G196" s="3" t="s">
        <v>152</v>
      </c>
    </row>
    <row r="197" spans="1:27">
      <c r="A197" s="4" t="s">
        <v>106</v>
      </c>
      <c r="B197" s="2"/>
      <c r="C197" s="1">
        <v>12</v>
      </c>
      <c r="D197" s="2"/>
      <c r="E197" s="2"/>
      <c r="F197" s="4" t="s">
        <v>106</v>
      </c>
      <c r="G197" s="2"/>
      <c r="H197" s="1">
        <v>27</v>
      </c>
      <c r="I197" s="2"/>
    </row>
    <row r="198" spans="1:27">
      <c r="A198" s="4" t="s">
        <v>139</v>
      </c>
      <c r="B198" s="2"/>
      <c r="C198" s="1">
        <v>2</v>
      </c>
      <c r="D198" s="2"/>
      <c r="E198" s="2"/>
      <c r="F198" s="4" t="s">
        <v>139</v>
      </c>
      <c r="G198" s="2"/>
      <c r="H198" s="1">
        <v>12</v>
      </c>
      <c r="I198" s="2"/>
    </row>
    <row r="199" spans="1:27">
      <c r="A199" s="4" t="s">
        <v>108</v>
      </c>
      <c r="B199" s="2"/>
      <c r="C199" s="1">
        <v>-1</v>
      </c>
      <c r="D199" s="2"/>
      <c r="E199" s="2"/>
      <c r="F199" s="4" t="s">
        <v>157</v>
      </c>
      <c r="G199" s="2"/>
      <c r="H199" s="1">
        <v>13</v>
      </c>
      <c r="I199" s="2"/>
    </row>
    <row r="200" spans="1:27">
      <c r="A200" s="4" t="s">
        <v>109</v>
      </c>
      <c r="B200" s="2"/>
      <c r="C200" s="1">
        <v>-1</v>
      </c>
      <c r="D200" s="2"/>
      <c r="E200" s="2"/>
      <c r="F200" s="4" t="s">
        <v>256</v>
      </c>
      <c r="G200" s="2"/>
      <c r="H200" s="1">
        <v>20</v>
      </c>
      <c r="I200" s="2"/>
    </row>
    <row r="201" spans="1:27">
      <c r="A201" s="4" t="s">
        <v>254</v>
      </c>
      <c r="B201" s="2"/>
      <c r="C201" s="1">
        <v>12</v>
      </c>
      <c r="D201" s="2"/>
      <c r="E201" s="2"/>
      <c r="F201" s="4" t="s">
        <v>158</v>
      </c>
      <c r="G201" s="2"/>
      <c r="H201" s="1">
        <v>0</v>
      </c>
      <c r="I201" s="2"/>
    </row>
    <row r="202" spans="1:27">
      <c r="A202" s="2"/>
      <c r="B202" s="2"/>
      <c r="C202" s="2"/>
      <c r="D202" s="2"/>
      <c r="E202" s="4" t="s">
        <v>257</v>
      </c>
      <c r="F202" s="2"/>
      <c r="G202" s="1">
        <v>-28</v>
      </c>
      <c r="H202" s="2"/>
    </row>
    <row r="203" spans="1:27">
      <c r="A203" s="4" t="s">
        <v>255</v>
      </c>
      <c r="B203" s="2"/>
      <c r="C203" s="1">
        <v>13</v>
      </c>
      <c r="D203" s="2"/>
      <c r="E203" s="2"/>
      <c r="F203" s="4" t="s">
        <v>115</v>
      </c>
      <c r="G203" s="2"/>
      <c r="H203" s="1">
        <v>44</v>
      </c>
      <c r="I203" s="2"/>
    </row>
    <row r="204" spans="1:27">
      <c r="A204" s="7" t="s">
        <v>259</v>
      </c>
    </row>
    <row r="206" spans="1:27">
      <c r="A206" s="1" t="s">
        <v>140</v>
      </c>
    </row>
    <row r="207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3">
        <v>2020</v>
      </c>
      <c r="D208" s="2"/>
      <c r="E208" s="3">
        <v>2019</v>
      </c>
      <c r="F208" s="2"/>
      <c r="G208" s="2"/>
      <c r="H208" s="2"/>
      <c r="I208" s="3">
        <v>2020</v>
      </c>
      <c r="J208" s="2"/>
      <c r="K208" s="3">
        <v>2019</v>
      </c>
    </row>
    <row r="209" spans="1:21">
      <c r="A209" s="4" t="s">
        <v>141</v>
      </c>
      <c r="B209" s="2"/>
      <c r="C209" s="1"/>
      <c r="D209" s="26">
        <v>3019</v>
      </c>
      <c r="E209" s="2"/>
      <c r="F209" s="2"/>
      <c r="G209" s="4"/>
      <c r="H209" s="27">
        <v>3292</v>
      </c>
      <c r="I209" s="2"/>
      <c r="J209" s="2"/>
      <c r="K209" s="4" t="s">
        <v>155</v>
      </c>
      <c r="L209" s="2"/>
      <c r="M209" s="1"/>
      <c r="N209" s="1">
        <v>528</v>
      </c>
      <c r="O209" s="2"/>
      <c r="P209" s="2"/>
      <c r="Q209" s="4"/>
      <c r="R209" s="4">
        <v>657</v>
      </c>
      <c r="S209" s="2"/>
    </row>
    <row r="210" spans="1:2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s="3" t="s">
        <v>141</v>
      </c>
      <c r="B211" s="2"/>
      <c r="C211" s="3" t="s">
        <v>149</v>
      </c>
      <c r="D211" s="2"/>
      <c r="E211" s="3" t="s">
        <v>155</v>
      </c>
      <c r="F211" s="2"/>
      <c r="G211" s="3" t="s">
        <v>149</v>
      </c>
    </row>
    <row r="212" spans="1:21">
      <c r="A212" s="2"/>
      <c r="B212" s="2"/>
      <c r="C212" s="3" t="s">
        <v>152</v>
      </c>
      <c r="D212" s="2"/>
      <c r="E212" s="2"/>
      <c r="F212" s="2"/>
      <c r="G212" s="3" t="s">
        <v>152</v>
      </c>
    </row>
    <row r="213" spans="1:21">
      <c r="A213" s="4" t="s">
        <v>106</v>
      </c>
      <c r="B213" s="2"/>
      <c r="C213" s="1">
        <v>-11</v>
      </c>
      <c r="D213" s="2"/>
      <c r="E213" s="2"/>
      <c r="F213" s="4" t="s">
        <v>106</v>
      </c>
      <c r="G213" s="2"/>
      <c r="H213" s="1">
        <v>-21</v>
      </c>
      <c r="I213" s="2"/>
    </row>
    <row r="214" spans="1:21">
      <c r="A214" s="4" t="s">
        <v>139</v>
      </c>
      <c r="B214" s="2"/>
      <c r="C214" s="1">
        <v>3</v>
      </c>
      <c r="D214" s="2"/>
      <c r="E214" s="2"/>
      <c r="F214" s="4" t="s">
        <v>139</v>
      </c>
      <c r="G214" s="2"/>
      <c r="H214" s="1">
        <v>13</v>
      </c>
      <c r="I214" s="2"/>
    </row>
    <row r="215" spans="1:21">
      <c r="A215" s="4" t="s">
        <v>108</v>
      </c>
      <c r="B215" s="2"/>
      <c r="C215" s="1">
        <v>2</v>
      </c>
      <c r="D215" s="2"/>
      <c r="E215" s="2"/>
      <c r="F215" s="4" t="s">
        <v>157</v>
      </c>
      <c r="G215" s="2"/>
      <c r="H215" s="1">
        <v>0</v>
      </c>
      <c r="I215" s="2"/>
    </row>
    <row r="216" spans="1:21">
      <c r="A216" s="4" t="s">
        <v>109</v>
      </c>
      <c r="B216" s="2"/>
      <c r="C216" s="1">
        <v>-1</v>
      </c>
      <c r="D216" s="2"/>
      <c r="E216" s="2"/>
      <c r="F216" s="4" t="s">
        <v>256</v>
      </c>
      <c r="G216" s="2"/>
      <c r="H216" s="1">
        <v>13</v>
      </c>
      <c r="I216" s="2"/>
    </row>
    <row r="217" spans="1:21">
      <c r="A217" s="4" t="s">
        <v>254</v>
      </c>
      <c r="B217" s="2"/>
      <c r="C217" s="1">
        <v>-8</v>
      </c>
      <c r="D217" s="2"/>
      <c r="E217" s="2"/>
      <c r="F217" s="4" t="s">
        <v>158</v>
      </c>
      <c r="G217" s="2"/>
      <c r="H217" s="1">
        <v>-1</v>
      </c>
      <c r="I217" s="2"/>
    </row>
    <row r="218" spans="1:21">
      <c r="A218" s="2"/>
      <c r="B218" s="2"/>
      <c r="C218" s="2"/>
      <c r="D218" s="2"/>
      <c r="E218" s="4" t="s">
        <v>257</v>
      </c>
      <c r="F218" s="2"/>
      <c r="G218" s="1">
        <v>-24</v>
      </c>
      <c r="H218" s="2"/>
    </row>
    <row r="219" spans="1:21">
      <c r="A219" s="4" t="s">
        <v>255</v>
      </c>
      <c r="B219" s="2"/>
      <c r="C219" s="1">
        <v>-7</v>
      </c>
      <c r="D219" s="2"/>
      <c r="E219" s="2"/>
      <c r="F219" s="4" t="s">
        <v>115</v>
      </c>
      <c r="G219" s="2"/>
      <c r="H219" s="1">
        <v>-20</v>
      </c>
      <c r="I219" s="2"/>
    </row>
    <row r="220" spans="1:21">
      <c r="A220" s="7" t="s">
        <v>116</v>
      </c>
    </row>
    <row r="222" spans="1:21">
      <c r="A222" s="15" t="s">
        <v>142</v>
      </c>
    </row>
    <row r="223" spans="1:21">
      <c r="A223" s="16"/>
    </row>
    <row r="224" spans="1:2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</row>
    <row r="225" spans="1:19">
      <c r="A225" s="17"/>
      <c r="B225" s="17"/>
      <c r="C225" s="18">
        <v>2019</v>
      </c>
      <c r="D225" s="17"/>
      <c r="E225" s="18">
        <v>2018</v>
      </c>
      <c r="F225" s="17"/>
      <c r="G225" s="17"/>
      <c r="H225" s="17"/>
      <c r="I225" s="18">
        <v>2019</v>
      </c>
      <c r="J225" s="17"/>
      <c r="K225" s="18">
        <v>2018</v>
      </c>
    </row>
    <row r="226" spans="1:19">
      <c r="A226" s="17" t="s">
        <v>141</v>
      </c>
      <c r="B226" s="17"/>
      <c r="C226" s="19"/>
      <c r="D226" s="20">
        <v>9108</v>
      </c>
      <c r="E226" s="17"/>
      <c r="F226" s="17"/>
      <c r="G226" s="17"/>
      <c r="H226" s="21">
        <v>9037</v>
      </c>
      <c r="I226" s="17"/>
      <c r="J226" s="17"/>
      <c r="K226" s="17" t="s">
        <v>155</v>
      </c>
      <c r="L226" s="17"/>
      <c r="M226" s="19"/>
      <c r="N226" s="20">
        <v>1904</v>
      </c>
      <c r="O226" s="17"/>
      <c r="P226" s="17"/>
      <c r="Q226" s="17"/>
      <c r="R226" s="21">
        <v>1833</v>
      </c>
      <c r="S226" s="17"/>
    </row>
    <row r="227" spans="1:19">
      <c r="A227" s="17"/>
      <c r="B227" s="17"/>
      <c r="C227" s="19"/>
      <c r="D227" s="20"/>
      <c r="E227" s="17"/>
      <c r="F227" s="17"/>
      <c r="G227" s="17"/>
      <c r="H227" s="21"/>
      <c r="I227" s="17"/>
      <c r="J227" s="17"/>
      <c r="K227" s="17"/>
      <c r="L227" s="17"/>
      <c r="M227" s="19"/>
      <c r="N227" s="20"/>
      <c r="O227" s="17"/>
      <c r="P227" s="17"/>
      <c r="Q227" s="17"/>
      <c r="R227" s="21"/>
      <c r="S227" s="17"/>
    </row>
    <row r="228" spans="1:19">
      <c r="A228" s="16"/>
    </row>
    <row r="229" spans="1:19">
      <c r="A229" s="16"/>
      <c r="B229" s="16"/>
      <c r="C229" s="16"/>
      <c r="D229" s="16"/>
      <c r="E229" s="16"/>
      <c r="F229" s="16"/>
      <c r="G229" s="16"/>
      <c r="H229" s="16"/>
      <c r="I229" s="16"/>
    </row>
    <row r="230" spans="1:19">
      <c r="A230" s="18" t="s">
        <v>141</v>
      </c>
      <c r="B230" s="17"/>
      <c r="C230" s="18" t="s">
        <v>149</v>
      </c>
      <c r="D230" s="17"/>
      <c r="E230" s="18" t="s">
        <v>155</v>
      </c>
      <c r="F230" s="17"/>
      <c r="G230" s="18" t="s">
        <v>149</v>
      </c>
    </row>
    <row r="231" spans="1:19">
      <c r="A231" s="17"/>
      <c r="B231" s="17"/>
      <c r="C231" s="18" t="s">
        <v>153</v>
      </c>
      <c r="D231" s="17"/>
      <c r="E231" s="17"/>
      <c r="F231" s="17"/>
      <c r="G231" s="18" t="s">
        <v>153</v>
      </c>
    </row>
    <row r="232" spans="1:19">
      <c r="A232" s="17" t="s">
        <v>106</v>
      </c>
      <c r="B232" s="17"/>
      <c r="C232" s="19">
        <v>1</v>
      </c>
      <c r="D232" s="17"/>
      <c r="E232" s="17"/>
      <c r="F232" s="17" t="s">
        <v>106</v>
      </c>
      <c r="G232" s="17"/>
      <c r="H232" s="19">
        <v>3</v>
      </c>
      <c r="I232" s="17"/>
    </row>
    <row r="233" spans="1:19">
      <c r="A233" s="17" t="s">
        <v>139</v>
      </c>
      <c r="B233" s="17"/>
      <c r="C233" s="19">
        <v>3</v>
      </c>
      <c r="D233" s="17"/>
      <c r="E233" s="17"/>
      <c r="F233" s="17" t="s">
        <v>139</v>
      </c>
      <c r="G233" s="17"/>
      <c r="H233" s="19">
        <v>15</v>
      </c>
      <c r="I233" s="17"/>
    </row>
    <row r="234" spans="1:19">
      <c r="A234" s="17" t="s">
        <v>108</v>
      </c>
      <c r="B234" s="17"/>
      <c r="C234" s="19">
        <v>1</v>
      </c>
      <c r="D234" s="17"/>
      <c r="E234" s="17"/>
      <c r="F234" s="17" t="s">
        <v>157</v>
      </c>
      <c r="G234" s="17"/>
      <c r="H234" s="19">
        <v>-6</v>
      </c>
      <c r="I234" s="17"/>
    </row>
    <row r="235" spans="1:19">
      <c r="A235" s="17" t="s">
        <v>109</v>
      </c>
      <c r="B235" s="17"/>
      <c r="C235" s="19">
        <v>-4</v>
      </c>
      <c r="D235" s="19"/>
      <c r="E235" s="17"/>
      <c r="F235" s="17" t="s">
        <v>256</v>
      </c>
      <c r="G235" s="17"/>
      <c r="H235" s="19">
        <v>12</v>
      </c>
      <c r="I235" s="17"/>
    </row>
    <row r="236" spans="1:19">
      <c r="A236" s="17" t="s">
        <v>254</v>
      </c>
      <c r="B236" s="17"/>
      <c r="C236" s="19">
        <v>1</v>
      </c>
      <c r="D236" s="17"/>
      <c r="E236" s="17"/>
      <c r="F236" s="17" t="s">
        <v>158</v>
      </c>
      <c r="G236" s="17"/>
      <c r="H236" s="19">
        <v>-3</v>
      </c>
      <c r="I236" s="19"/>
    </row>
    <row r="237" spans="1:19">
      <c r="A237" s="17" t="s">
        <v>255</v>
      </c>
      <c r="B237" s="17"/>
      <c r="C237" s="19">
        <v>5</v>
      </c>
      <c r="D237" s="17"/>
      <c r="F237" s="17" t="s">
        <v>257</v>
      </c>
      <c r="G237" s="17"/>
      <c r="H237" s="19">
        <v>-17</v>
      </c>
      <c r="I237" s="19"/>
    </row>
    <row r="238" spans="1:19">
      <c r="D238" s="17"/>
      <c r="E238" s="17"/>
      <c r="F238" s="17" t="s">
        <v>115</v>
      </c>
      <c r="G238" s="17"/>
      <c r="H238" s="19">
        <v>4</v>
      </c>
      <c r="I238" s="17"/>
    </row>
    <row r="239" spans="1:19">
      <c r="A239" s="17"/>
      <c r="B239" s="17"/>
      <c r="C239" s="19"/>
      <c r="D239" s="19"/>
      <c r="E239" s="17"/>
      <c r="F239" s="17"/>
      <c r="G239" s="17"/>
      <c r="H239" s="19"/>
      <c r="I239" s="17"/>
    </row>
    <row r="240" spans="1:19">
      <c r="I240" s="19"/>
    </row>
    <row r="241" spans="1:19">
      <c r="A241" s="17"/>
      <c r="B241" s="17"/>
      <c r="C241" s="19"/>
      <c r="D241" s="17"/>
      <c r="E241" s="17"/>
      <c r="F241" s="17"/>
      <c r="G241" s="17"/>
      <c r="H241" s="19"/>
      <c r="I241" s="19"/>
    </row>
    <row r="243" spans="1:19">
      <c r="I243" s="17"/>
    </row>
    <row r="244" spans="1:19">
      <c r="A244" s="17"/>
      <c r="B244" s="17"/>
      <c r="C244" s="19"/>
      <c r="D244" s="17"/>
      <c r="E244" s="17"/>
      <c r="F244" s="17"/>
      <c r="G244" s="17"/>
      <c r="H244" s="19"/>
      <c r="I244" s="17"/>
    </row>
    <row r="245" spans="1:19">
      <c r="A245" s="22"/>
      <c r="B245" s="22"/>
    </row>
    <row r="246" spans="1:19">
      <c r="A246" s="23" t="s">
        <v>261</v>
      </c>
      <c r="B246" s="23" t="s">
        <v>144</v>
      </c>
    </row>
    <row r="249" spans="1:19">
      <c r="A249" s="15" t="s">
        <v>143</v>
      </c>
    </row>
    <row r="250" spans="1:19">
      <c r="A250" s="16"/>
    </row>
    <row r="251" spans="1:19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</row>
    <row r="252" spans="1:19">
      <c r="A252" s="17"/>
      <c r="B252" s="17"/>
      <c r="C252" s="18">
        <v>2019</v>
      </c>
      <c r="D252" s="17"/>
      <c r="E252" s="18">
        <v>2018</v>
      </c>
      <c r="F252" s="17"/>
      <c r="G252" s="17"/>
      <c r="H252" s="17"/>
      <c r="I252" s="18">
        <v>2019</v>
      </c>
      <c r="J252" s="17"/>
      <c r="K252" s="18">
        <v>2018</v>
      </c>
    </row>
    <row r="253" spans="1:19">
      <c r="A253" s="17" t="s">
        <v>141</v>
      </c>
      <c r="B253" s="17"/>
      <c r="C253" s="19"/>
      <c r="D253" s="20">
        <v>5993</v>
      </c>
      <c r="E253" s="17"/>
      <c r="F253" s="17"/>
      <c r="G253" s="17"/>
      <c r="H253" s="21">
        <v>6015</v>
      </c>
      <c r="I253" s="17"/>
      <c r="J253" s="17"/>
      <c r="K253" s="17" t="s">
        <v>155</v>
      </c>
      <c r="L253" s="17"/>
      <c r="M253" s="19"/>
      <c r="N253" s="20">
        <v>1007</v>
      </c>
      <c r="O253" s="17"/>
      <c r="P253" s="17"/>
      <c r="Q253" s="17"/>
      <c r="R253" s="17">
        <v>875</v>
      </c>
      <c r="S253" s="17"/>
    </row>
    <row r="254" spans="1:19">
      <c r="A254" s="17"/>
      <c r="B254" s="17"/>
      <c r="C254" s="19"/>
      <c r="D254" s="20"/>
      <c r="E254" s="17"/>
      <c r="F254" s="17"/>
      <c r="G254" s="17"/>
      <c r="H254" s="21"/>
      <c r="I254" s="17"/>
      <c r="J254" s="17"/>
      <c r="K254" s="17"/>
      <c r="L254" s="17"/>
      <c r="M254" s="19"/>
      <c r="N254" s="20"/>
      <c r="O254" s="17"/>
      <c r="P254" s="17"/>
      <c r="Q254" s="17"/>
      <c r="R254" s="17"/>
      <c r="S254" s="17"/>
    </row>
    <row r="255" spans="1:19">
      <c r="A255" s="16"/>
    </row>
    <row r="256" spans="1:19">
      <c r="A256" s="16"/>
      <c r="B256" s="16"/>
      <c r="C256" s="16"/>
      <c r="D256" s="16"/>
      <c r="E256" s="16"/>
      <c r="F256" s="16"/>
      <c r="G256" s="16"/>
      <c r="H256" s="16"/>
      <c r="I256" s="16"/>
    </row>
    <row r="257" spans="1:9">
      <c r="A257" s="18" t="s">
        <v>141</v>
      </c>
      <c r="B257" s="17"/>
      <c r="C257" s="18" t="s">
        <v>149</v>
      </c>
      <c r="D257" s="17"/>
      <c r="E257" s="18" t="s">
        <v>155</v>
      </c>
      <c r="F257" s="17"/>
      <c r="G257" s="18" t="s">
        <v>149</v>
      </c>
    </row>
    <row r="258" spans="1:9">
      <c r="A258" s="17"/>
      <c r="B258" s="17"/>
      <c r="C258" s="18" t="s">
        <v>153</v>
      </c>
      <c r="D258" s="17"/>
      <c r="E258" s="17"/>
      <c r="F258" s="17"/>
      <c r="G258" s="18" t="s">
        <v>153</v>
      </c>
    </row>
    <row r="259" spans="1:9">
      <c r="A259" s="17" t="s">
        <v>106</v>
      </c>
      <c r="B259" s="17"/>
      <c r="C259" s="19">
        <v>-3</v>
      </c>
      <c r="D259" s="19"/>
      <c r="E259" s="17"/>
      <c r="F259" s="17" t="s">
        <v>106</v>
      </c>
      <c r="G259" s="17"/>
      <c r="H259" s="19">
        <v>-7</v>
      </c>
      <c r="I259" s="19"/>
    </row>
    <row r="260" spans="1:9">
      <c r="A260" s="17" t="s">
        <v>139</v>
      </c>
      <c r="B260" s="17"/>
      <c r="C260" s="19">
        <v>5</v>
      </c>
      <c r="D260" s="17"/>
      <c r="E260" s="17"/>
      <c r="F260" s="17" t="s">
        <v>139</v>
      </c>
      <c r="G260" s="17"/>
      <c r="H260" s="19">
        <v>33</v>
      </c>
      <c r="I260" s="17"/>
    </row>
    <row r="261" spans="1:9">
      <c r="A261" s="17" t="s">
        <v>108</v>
      </c>
      <c r="B261" s="17"/>
      <c r="C261" s="19">
        <v>0</v>
      </c>
      <c r="D261" s="17"/>
      <c r="E261" s="17"/>
      <c r="F261" s="17"/>
      <c r="G261" s="17"/>
      <c r="H261" s="19"/>
      <c r="I261" s="17"/>
    </row>
    <row r="262" spans="1:9">
      <c r="A262" s="17" t="s">
        <v>109</v>
      </c>
      <c r="B262" s="17"/>
      <c r="C262" s="19">
        <v>-3</v>
      </c>
      <c r="D262" s="17"/>
      <c r="E262" s="17"/>
      <c r="F262" s="17" t="s">
        <v>157</v>
      </c>
      <c r="G262" s="17"/>
      <c r="H262" s="19">
        <v>-3</v>
      </c>
      <c r="I262" s="19"/>
    </row>
    <row r="263" spans="1:9">
      <c r="A263" s="17" t="s">
        <v>254</v>
      </c>
      <c r="B263" s="17"/>
      <c r="C263" s="19">
        <v>0</v>
      </c>
      <c r="D263" s="17"/>
      <c r="E263" s="17"/>
      <c r="F263" s="17"/>
      <c r="G263" s="17"/>
      <c r="H263" s="19"/>
      <c r="I263" s="19"/>
    </row>
    <row r="264" spans="1:9">
      <c r="A264" s="17" t="s">
        <v>255</v>
      </c>
      <c r="B264" s="17"/>
      <c r="C264" s="19">
        <v>2</v>
      </c>
      <c r="D264" s="19"/>
      <c r="E264" s="17"/>
      <c r="F264" s="17" t="s">
        <v>256</v>
      </c>
      <c r="G264" s="17"/>
      <c r="H264" s="19">
        <v>14</v>
      </c>
      <c r="I264" s="17"/>
    </row>
    <row r="265" spans="1:9">
      <c r="A265" s="17"/>
      <c r="B265" s="17"/>
      <c r="C265" s="19"/>
      <c r="D265" s="19"/>
      <c r="E265" s="17"/>
      <c r="F265" s="17"/>
      <c r="G265" s="17"/>
      <c r="H265" s="19"/>
      <c r="I265" s="17"/>
    </row>
    <row r="266" spans="1:9">
      <c r="D266" s="17"/>
      <c r="E266" s="17"/>
      <c r="F266" s="17" t="s">
        <v>158</v>
      </c>
      <c r="G266" s="17"/>
      <c r="H266" s="19">
        <v>-1</v>
      </c>
      <c r="I266" s="19"/>
    </row>
    <row r="267" spans="1:9">
      <c r="A267" s="17"/>
      <c r="B267" s="17"/>
      <c r="C267" s="19"/>
      <c r="D267" s="17"/>
      <c r="E267" s="17"/>
      <c r="F267" s="17"/>
      <c r="G267" s="17"/>
      <c r="H267" s="19"/>
      <c r="I267" s="19"/>
    </row>
    <row r="268" spans="1:9">
      <c r="A268" s="17"/>
      <c r="B268" s="17"/>
      <c r="C268" s="17"/>
      <c r="D268" s="17"/>
      <c r="E268" s="17" t="s">
        <v>257</v>
      </c>
      <c r="F268" s="17"/>
      <c r="G268" s="19">
        <v>-21</v>
      </c>
      <c r="H268" s="19"/>
    </row>
    <row r="269" spans="1:9">
      <c r="D269" s="17"/>
      <c r="E269" s="17"/>
      <c r="F269" s="17" t="s">
        <v>115</v>
      </c>
      <c r="G269" s="17"/>
      <c r="H269" s="19">
        <v>15</v>
      </c>
      <c r="I269" s="17"/>
    </row>
    <row r="270" spans="1:9">
      <c r="A270" s="17"/>
      <c r="B270" s="17"/>
      <c r="C270" s="19"/>
      <c r="D270" s="17"/>
      <c r="E270" s="17"/>
      <c r="F270" s="17"/>
      <c r="G270" s="17"/>
      <c r="H270" s="19"/>
      <c r="I270" s="17"/>
    </row>
    <row r="271" spans="1:9">
      <c r="A271" s="22"/>
      <c r="B271" s="22"/>
    </row>
    <row r="272" spans="1:9">
      <c r="A272" s="23" t="s">
        <v>261</v>
      </c>
      <c r="B272" s="23" t="s">
        <v>145</v>
      </c>
    </row>
    <row r="275" spans="1:19">
      <c r="A275" s="15" t="s">
        <v>140</v>
      </c>
    </row>
    <row r="276" spans="1:19">
      <c r="A276" s="16"/>
    </row>
    <row r="277" spans="1:19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</row>
    <row r="278" spans="1:19">
      <c r="A278" s="17"/>
      <c r="B278" s="17"/>
      <c r="C278" s="18">
        <v>2019</v>
      </c>
      <c r="D278" s="17"/>
      <c r="E278" s="18">
        <v>2018</v>
      </c>
      <c r="F278" s="17"/>
      <c r="G278" s="17"/>
      <c r="H278" s="17"/>
      <c r="I278" s="18">
        <v>2019</v>
      </c>
      <c r="J278" s="17"/>
      <c r="K278" s="18">
        <v>2018</v>
      </c>
    </row>
    <row r="279" spans="1:19">
      <c r="A279" s="17" t="s">
        <v>141</v>
      </c>
      <c r="B279" s="17"/>
      <c r="C279" s="19"/>
      <c r="D279" s="20">
        <v>3292</v>
      </c>
      <c r="E279" s="17"/>
      <c r="F279" s="17"/>
      <c r="G279" s="17"/>
      <c r="H279" s="21">
        <v>3382</v>
      </c>
      <c r="I279" s="17"/>
      <c r="J279" s="17"/>
      <c r="K279" s="17" t="s">
        <v>155</v>
      </c>
      <c r="L279" s="17"/>
      <c r="M279" s="19"/>
      <c r="N279" s="19">
        <v>657</v>
      </c>
      <c r="O279" s="17"/>
      <c r="P279" s="17"/>
      <c r="Q279" s="17"/>
      <c r="R279" s="17">
        <v>634</v>
      </c>
      <c r="S279" s="17"/>
    </row>
    <row r="280" spans="1:19">
      <c r="A280" s="17"/>
      <c r="B280" s="17"/>
      <c r="C280" s="19"/>
      <c r="D280" s="20"/>
      <c r="E280" s="17"/>
      <c r="F280" s="17"/>
      <c r="G280" s="17"/>
      <c r="H280" s="21"/>
      <c r="I280" s="17"/>
      <c r="J280" s="17"/>
      <c r="K280" s="17"/>
      <c r="L280" s="17"/>
      <c r="M280" s="19"/>
      <c r="N280" s="19"/>
      <c r="O280" s="17"/>
      <c r="P280" s="17"/>
      <c r="Q280" s="17"/>
      <c r="R280" s="17"/>
      <c r="S280" s="17"/>
    </row>
    <row r="281" spans="1:19">
      <c r="A281" s="16"/>
    </row>
    <row r="282" spans="1:19">
      <c r="A282" s="16"/>
      <c r="B282" s="16"/>
      <c r="C282" s="16"/>
      <c r="D282" s="16"/>
      <c r="E282" s="16"/>
      <c r="F282" s="16"/>
      <c r="G282" s="16"/>
      <c r="H282" s="16"/>
      <c r="I282" s="16"/>
    </row>
    <row r="283" spans="1:19">
      <c r="A283" s="18" t="s">
        <v>141</v>
      </c>
      <c r="B283" s="17"/>
      <c r="C283" s="18" t="s">
        <v>149</v>
      </c>
      <c r="D283" s="17"/>
      <c r="E283" s="18" t="s">
        <v>155</v>
      </c>
      <c r="F283" s="17"/>
      <c r="G283" s="18" t="s">
        <v>149</v>
      </c>
    </row>
    <row r="284" spans="1:19">
      <c r="A284" s="17"/>
      <c r="B284" s="17"/>
      <c r="C284" s="18" t="s">
        <v>153</v>
      </c>
      <c r="D284" s="17"/>
      <c r="E284" s="17"/>
      <c r="F284" s="17"/>
      <c r="G284" s="18" t="s">
        <v>153</v>
      </c>
    </row>
    <row r="285" spans="1:19">
      <c r="A285" s="17" t="s">
        <v>106</v>
      </c>
      <c r="B285" s="17"/>
      <c r="C285" s="19">
        <v>-2</v>
      </c>
      <c r="D285" s="19"/>
      <c r="E285" s="17"/>
      <c r="F285" s="17" t="s">
        <v>106</v>
      </c>
      <c r="G285" s="17"/>
      <c r="H285" s="19">
        <v>-4</v>
      </c>
      <c r="I285" s="19"/>
    </row>
    <row r="286" spans="1:19">
      <c r="A286" s="17" t="s">
        <v>139</v>
      </c>
      <c r="B286" s="17"/>
      <c r="C286" s="19">
        <v>3</v>
      </c>
      <c r="D286" s="17"/>
      <c r="E286" s="17"/>
      <c r="F286" s="17" t="s">
        <v>139</v>
      </c>
      <c r="G286" s="17"/>
      <c r="H286" s="19">
        <v>15</v>
      </c>
      <c r="I286" s="17"/>
    </row>
    <row r="287" spans="1:19">
      <c r="A287" s="17" t="s">
        <v>108</v>
      </c>
      <c r="B287" s="17"/>
      <c r="C287" s="19">
        <v>1</v>
      </c>
      <c r="D287" s="17"/>
      <c r="E287" s="17"/>
      <c r="F287" s="17"/>
      <c r="G287" s="17"/>
      <c r="H287" s="19"/>
      <c r="I287" s="17"/>
    </row>
    <row r="288" spans="1:19">
      <c r="A288" s="17" t="s">
        <v>262</v>
      </c>
      <c r="B288" s="17"/>
      <c r="C288" s="19">
        <v>-2</v>
      </c>
      <c r="D288" s="17"/>
      <c r="E288" s="17"/>
      <c r="F288" s="17" t="s">
        <v>157</v>
      </c>
      <c r="G288" s="17"/>
      <c r="H288" s="19">
        <v>-2</v>
      </c>
      <c r="I288" s="19"/>
    </row>
    <row r="289" spans="1:24">
      <c r="A289" s="17" t="s">
        <v>109</v>
      </c>
      <c r="B289" s="17"/>
      <c r="C289" s="19">
        <v>-3</v>
      </c>
      <c r="D289" s="19"/>
      <c r="E289" s="17"/>
      <c r="F289" s="17"/>
      <c r="G289" s="17"/>
      <c r="H289" s="19"/>
      <c r="I289" s="19"/>
    </row>
    <row r="290" spans="1:24">
      <c r="A290" s="17" t="s">
        <v>254</v>
      </c>
      <c r="B290" s="17"/>
      <c r="C290" s="19">
        <v>-3</v>
      </c>
      <c r="D290" s="19"/>
      <c r="E290" s="17"/>
      <c r="F290" s="17" t="s">
        <v>256</v>
      </c>
      <c r="G290" s="17"/>
      <c r="H290" s="19">
        <v>13</v>
      </c>
      <c r="I290" s="17"/>
    </row>
    <row r="291" spans="1:24">
      <c r="A291" s="17" t="s">
        <v>255</v>
      </c>
      <c r="B291" s="17"/>
      <c r="C291" s="17">
        <v>2</v>
      </c>
      <c r="D291" s="17"/>
      <c r="E291" s="17"/>
      <c r="F291" s="17"/>
      <c r="G291" s="17"/>
      <c r="H291" s="19"/>
      <c r="I291" s="17"/>
    </row>
    <row r="292" spans="1:24">
      <c r="E292" s="17"/>
      <c r="F292" s="17" t="s">
        <v>158</v>
      </c>
      <c r="G292" s="17"/>
      <c r="H292" s="19">
        <v>-2</v>
      </c>
      <c r="I292" s="19"/>
    </row>
    <row r="293" spans="1:24">
      <c r="E293" s="17"/>
      <c r="F293" s="17" t="s">
        <v>257</v>
      </c>
      <c r="G293" s="17"/>
      <c r="H293" s="19">
        <v>-16</v>
      </c>
      <c r="I293" s="19"/>
    </row>
    <row r="294" spans="1:24">
      <c r="E294" s="17"/>
      <c r="F294" s="17" t="s">
        <v>115</v>
      </c>
      <c r="G294" s="17"/>
      <c r="H294" s="19">
        <v>4</v>
      </c>
      <c r="I294" s="17"/>
    </row>
    <row r="295" spans="1:24">
      <c r="A295" s="17"/>
      <c r="B295" s="17"/>
      <c r="C295" s="17"/>
      <c r="D295" s="17"/>
      <c r="E295" s="17"/>
      <c r="F295" s="17"/>
      <c r="G295" s="17"/>
      <c r="H295" s="19"/>
      <c r="I295" s="17"/>
    </row>
    <row r="296" spans="1:24">
      <c r="A296" s="22"/>
      <c r="B296" s="22"/>
    </row>
    <row r="297" spans="1:24">
      <c r="A297" s="23" t="s">
        <v>261</v>
      </c>
      <c r="B297" s="23" t="s">
        <v>144</v>
      </c>
    </row>
    <row r="298" spans="1:24">
      <c r="A298" s="22"/>
      <c r="B298" s="22"/>
    </row>
    <row r="299" spans="1:24">
      <c r="A299" s="24" t="s">
        <v>142</v>
      </c>
    </row>
    <row r="300" spans="1:24">
      <c r="A300" s="16"/>
    </row>
    <row r="301" spans="1:24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r="302" spans="1:24">
      <c r="A302" s="17"/>
      <c r="B302" s="17"/>
      <c r="C302" s="18">
        <v>2018</v>
      </c>
      <c r="D302" s="18">
        <v>2017</v>
      </c>
      <c r="E302" s="18">
        <v>2016</v>
      </c>
      <c r="F302" s="17"/>
      <c r="H302" s="18">
        <v>2018</v>
      </c>
      <c r="I302" s="18">
        <v>2017</v>
      </c>
      <c r="J302" s="18">
        <v>2016</v>
      </c>
      <c r="L302" s="17"/>
      <c r="M302" s="18"/>
      <c r="N302" s="17"/>
    </row>
    <row r="303" spans="1:24">
      <c r="A303" s="17" t="s">
        <v>141</v>
      </c>
      <c r="B303" s="17"/>
      <c r="C303" s="20">
        <v>9037</v>
      </c>
      <c r="D303" s="21">
        <v>9078</v>
      </c>
      <c r="E303" s="21">
        <v>9046</v>
      </c>
      <c r="F303" s="17"/>
      <c r="G303" s="17" t="s">
        <v>155</v>
      </c>
      <c r="H303" s="20">
        <v>1833</v>
      </c>
      <c r="I303" s="21">
        <v>1933</v>
      </c>
      <c r="J303" s="21">
        <v>1884</v>
      </c>
      <c r="K303" s="17"/>
      <c r="M303" s="17"/>
      <c r="N303" s="17"/>
      <c r="P303" s="17"/>
      <c r="Q303" s="19"/>
      <c r="S303" s="17"/>
      <c r="T303" s="17"/>
      <c r="U303" s="17"/>
      <c r="W303" s="17"/>
    </row>
    <row r="304" spans="1:24">
      <c r="A304" s="17"/>
      <c r="B304" s="17"/>
      <c r="C304" s="19"/>
      <c r="D304" s="20"/>
      <c r="E304" s="17"/>
      <c r="F304" s="17"/>
      <c r="G304" s="17"/>
      <c r="H304" s="21"/>
      <c r="I304" s="17"/>
      <c r="J304" s="17"/>
      <c r="K304" s="17"/>
      <c r="L304" s="21"/>
      <c r="M304" s="17"/>
      <c r="N304" s="17"/>
      <c r="O304" s="17"/>
      <c r="P304" s="17"/>
      <c r="Q304" s="19"/>
      <c r="R304" s="20"/>
      <c r="S304" s="17"/>
      <c r="T304" s="17"/>
      <c r="U304" s="17"/>
      <c r="V304" s="21"/>
      <c r="W304" s="17"/>
      <c r="X304" s="21"/>
    </row>
    <row r="305" spans="1:15">
      <c r="A305" s="16"/>
    </row>
    <row r="306" spans="1:1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>
      <c r="A307" s="18" t="s">
        <v>141</v>
      </c>
      <c r="B307" s="18" t="s">
        <v>149</v>
      </c>
      <c r="D307" s="18" t="s">
        <v>155</v>
      </c>
      <c r="E307" s="18" t="s">
        <v>149</v>
      </c>
      <c r="F307" s="17"/>
    </row>
    <row r="308" spans="1:15">
      <c r="A308" s="17"/>
      <c r="B308" s="18" t="s">
        <v>154</v>
      </c>
      <c r="C308" s="18" t="s">
        <v>156</v>
      </c>
      <c r="D308" s="17"/>
      <c r="E308" s="18" t="s">
        <v>154</v>
      </c>
      <c r="F308" s="18" t="s">
        <v>156</v>
      </c>
      <c r="G308" s="17"/>
      <c r="H308" s="17"/>
      <c r="J308" s="17"/>
    </row>
    <row r="309" spans="1:15">
      <c r="A309" s="17" t="s">
        <v>106</v>
      </c>
      <c r="B309" s="19">
        <v>1</v>
      </c>
      <c r="C309" s="17">
        <v>1</v>
      </c>
      <c r="D309" s="17" t="s">
        <v>106</v>
      </c>
      <c r="E309" s="19">
        <v>2</v>
      </c>
      <c r="F309" s="17">
        <v>2</v>
      </c>
      <c r="G309" s="17"/>
      <c r="H309" s="17"/>
      <c r="J309" s="17"/>
      <c r="L309" s="17"/>
      <c r="M309" s="17"/>
      <c r="O309" s="17"/>
    </row>
    <row r="310" spans="1:15">
      <c r="A310" s="17" t="s">
        <v>139</v>
      </c>
      <c r="B310" s="19">
        <v>-1</v>
      </c>
      <c r="C310" s="17">
        <v>-2</v>
      </c>
      <c r="D310" s="17" t="s">
        <v>139</v>
      </c>
      <c r="E310" s="19">
        <v>-3</v>
      </c>
      <c r="F310" s="17">
        <v>-9</v>
      </c>
      <c r="G310" s="17"/>
      <c r="H310" s="17"/>
      <c r="J310" s="17"/>
      <c r="L310" s="17"/>
      <c r="M310" s="17"/>
      <c r="O310" s="17"/>
    </row>
    <row r="311" spans="1:15">
      <c r="A311" s="17" t="s">
        <v>108</v>
      </c>
      <c r="B311" s="19">
        <v>1</v>
      </c>
      <c r="C311" s="17">
        <v>1</v>
      </c>
      <c r="D311" s="17" t="s">
        <v>157</v>
      </c>
      <c r="E311" s="19">
        <v>-14</v>
      </c>
      <c r="F311" s="17">
        <v>-7</v>
      </c>
      <c r="G311" s="17"/>
      <c r="H311" s="17"/>
      <c r="J311" s="17"/>
      <c r="L311" s="19"/>
      <c r="M311" s="17"/>
      <c r="O311" s="17"/>
    </row>
    <row r="312" spans="1:15">
      <c r="A312" s="17" t="s">
        <v>109</v>
      </c>
      <c r="B312" s="19">
        <v>-2</v>
      </c>
      <c r="C312" s="17">
        <v>1</v>
      </c>
      <c r="D312" s="17" t="s">
        <v>256</v>
      </c>
      <c r="E312" s="19">
        <v>14</v>
      </c>
      <c r="F312" s="17">
        <v>13</v>
      </c>
      <c r="G312" s="17"/>
      <c r="H312" s="17"/>
      <c r="J312" s="17"/>
      <c r="L312" s="19"/>
      <c r="M312" s="17"/>
      <c r="O312" s="17"/>
    </row>
    <row r="313" spans="1:15">
      <c r="A313" s="17" t="s">
        <v>254</v>
      </c>
      <c r="B313" s="19">
        <v>0</v>
      </c>
      <c r="C313" s="17">
        <v>0</v>
      </c>
      <c r="D313" s="17" t="s">
        <v>158</v>
      </c>
      <c r="E313" s="19">
        <v>-1</v>
      </c>
      <c r="F313" s="17">
        <v>1</v>
      </c>
      <c r="G313" s="17"/>
      <c r="H313" s="17"/>
      <c r="J313" s="17"/>
      <c r="L313" s="19"/>
      <c r="M313" s="17"/>
      <c r="O313" s="17"/>
    </row>
    <row r="314" spans="1:15">
      <c r="A314" s="17" t="s">
        <v>255</v>
      </c>
      <c r="B314" s="19">
        <v>1</v>
      </c>
      <c r="C314" s="17">
        <v>-1</v>
      </c>
      <c r="D314" s="17" t="s">
        <v>257</v>
      </c>
      <c r="E314" s="19">
        <v>-3</v>
      </c>
      <c r="F314" s="17">
        <v>3</v>
      </c>
      <c r="H314" s="17"/>
      <c r="J314" s="17"/>
      <c r="L314" s="17"/>
      <c r="M314" s="17"/>
      <c r="O314" s="17"/>
    </row>
    <row r="315" spans="1:15">
      <c r="A315" s="17"/>
      <c r="B315" s="19"/>
      <c r="C315" s="17"/>
      <c r="D315" s="17" t="s">
        <v>115</v>
      </c>
      <c r="E315" s="19">
        <v>-5</v>
      </c>
      <c r="F315" s="17">
        <v>3</v>
      </c>
      <c r="G315" s="17"/>
      <c r="H315" s="17"/>
      <c r="J315" s="17"/>
      <c r="L315" s="17"/>
      <c r="M315" s="17"/>
      <c r="O315" s="17"/>
    </row>
    <row r="316" spans="1:15">
      <c r="G316" s="17"/>
      <c r="H316" s="17"/>
      <c r="J316" s="17"/>
      <c r="L316" s="19"/>
      <c r="M316" s="17"/>
      <c r="O316" s="17"/>
    </row>
    <row r="317" spans="1:15">
      <c r="A317" s="17"/>
      <c r="B317" s="19"/>
      <c r="C317" s="17"/>
      <c r="D317" s="17"/>
      <c r="E317" s="19"/>
      <c r="F317" s="17"/>
      <c r="G317" s="17"/>
      <c r="H317" s="17"/>
      <c r="I317" s="17"/>
      <c r="J317" s="17"/>
      <c r="L317" s="19"/>
      <c r="M317" s="17"/>
      <c r="O317" s="17"/>
    </row>
    <row r="318" spans="1:15">
      <c r="A318" s="17"/>
      <c r="B318" s="17"/>
      <c r="C318" s="17"/>
      <c r="H318" s="17"/>
      <c r="J318" s="19"/>
      <c r="M318" s="17"/>
    </row>
    <row r="319" spans="1:15">
      <c r="A319" s="17"/>
      <c r="B319" s="17"/>
      <c r="C319" s="17"/>
      <c r="D319" s="17"/>
      <c r="E319" s="17"/>
      <c r="G319" s="17"/>
      <c r="H319" s="17"/>
      <c r="I319" s="19"/>
      <c r="J319" s="19"/>
      <c r="L319" s="17"/>
      <c r="M319" s="17"/>
    </row>
    <row r="320" spans="1:15">
      <c r="G320" s="17"/>
      <c r="H320" s="17"/>
      <c r="J320" s="17"/>
      <c r="L320" s="19"/>
      <c r="M320" s="17"/>
      <c r="O320" s="17"/>
    </row>
    <row r="321" spans="1:24">
      <c r="A321" s="17"/>
      <c r="B321" s="17"/>
      <c r="C321" s="19"/>
      <c r="D321" s="17"/>
      <c r="E321" s="17"/>
      <c r="F321" s="17"/>
      <c r="G321" s="17"/>
      <c r="H321" s="17"/>
      <c r="I321" s="17"/>
      <c r="J321" s="17"/>
      <c r="K321" s="19"/>
      <c r="L321" s="19"/>
      <c r="M321" s="17"/>
      <c r="N321" s="17"/>
      <c r="O321" s="17"/>
    </row>
    <row r="322" spans="1:24">
      <c r="A322" s="16"/>
      <c r="B322" s="16"/>
    </row>
    <row r="323" spans="1:24">
      <c r="A323" s="25" t="s">
        <v>261</v>
      </c>
      <c r="B323" s="25" t="s">
        <v>146</v>
      </c>
    </row>
    <row r="325" spans="1:24">
      <c r="A325" s="24" t="s">
        <v>143</v>
      </c>
    </row>
    <row r="326" spans="1:24">
      <c r="A326" s="16"/>
    </row>
    <row r="327" spans="1:24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r="328" spans="1:24">
      <c r="A328" s="17"/>
      <c r="B328" s="17"/>
      <c r="C328" s="18">
        <v>2018</v>
      </c>
      <c r="D328" s="17"/>
      <c r="E328" s="18">
        <v>2017</v>
      </c>
      <c r="F328" s="17"/>
      <c r="G328" s="18">
        <v>2016</v>
      </c>
      <c r="H328" s="17"/>
      <c r="I328" s="17"/>
      <c r="J328" s="17"/>
      <c r="K328" s="18">
        <v>2018</v>
      </c>
      <c r="L328" s="17"/>
      <c r="M328" s="18">
        <v>2017</v>
      </c>
      <c r="N328" s="17"/>
      <c r="O328" s="18">
        <v>2016</v>
      </c>
    </row>
    <row r="329" spans="1:24">
      <c r="A329" s="17" t="s">
        <v>141</v>
      </c>
      <c r="B329" s="17"/>
      <c r="C329" s="19"/>
      <c r="D329" s="20">
        <v>6015</v>
      </c>
      <c r="E329" s="17"/>
      <c r="F329" s="17"/>
      <c r="G329" s="17"/>
      <c r="H329" s="21">
        <v>5932</v>
      </c>
      <c r="I329" s="17"/>
      <c r="J329" s="17"/>
      <c r="K329" s="17"/>
      <c r="L329" s="21">
        <v>5967</v>
      </c>
      <c r="M329" s="17"/>
      <c r="N329" s="17"/>
      <c r="O329" s="17" t="s">
        <v>155</v>
      </c>
      <c r="P329" s="17"/>
      <c r="Q329" s="19"/>
      <c r="R329" s="19">
        <v>875</v>
      </c>
      <c r="S329" s="17"/>
      <c r="T329" s="17"/>
      <c r="U329" s="17"/>
      <c r="V329" s="21">
        <v>1052</v>
      </c>
      <c r="W329" s="17"/>
      <c r="X329" s="21">
        <v>1136</v>
      </c>
    </row>
    <row r="330" spans="1:24">
      <c r="A330" s="17"/>
      <c r="B330" s="17"/>
      <c r="C330" s="19"/>
      <c r="D330" s="20"/>
      <c r="E330" s="17"/>
      <c r="F330" s="17"/>
      <c r="G330" s="17"/>
      <c r="H330" s="21"/>
      <c r="I330" s="17"/>
      <c r="J330" s="17"/>
      <c r="K330" s="17"/>
      <c r="L330" s="21"/>
      <c r="M330" s="17"/>
      <c r="N330" s="17"/>
      <c r="O330" s="17"/>
      <c r="P330" s="17"/>
      <c r="Q330" s="19"/>
      <c r="R330" s="19"/>
      <c r="S330" s="17"/>
      <c r="T330" s="17"/>
      <c r="U330" s="17"/>
      <c r="V330" s="21"/>
      <c r="W330" s="17"/>
      <c r="X330" s="21"/>
    </row>
    <row r="331" spans="1:24">
      <c r="A331" s="16"/>
    </row>
    <row r="332" spans="1:24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1:24">
      <c r="A333" s="18" t="s">
        <v>141</v>
      </c>
      <c r="B333" s="17"/>
      <c r="C333" s="18" t="s">
        <v>149</v>
      </c>
      <c r="D333" s="17"/>
      <c r="E333" s="18" t="s">
        <v>155</v>
      </c>
      <c r="F333" s="17"/>
      <c r="G333" s="18" t="s">
        <v>149</v>
      </c>
    </row>
    <row r="334" spans="1:24">
      <c r="A334" s="17"/>
      <c r="B334" s="17"/>
      <c r="C334" s="18" t="s">
        <v>154</v>
      </c>
      <c r="D334" s="17"/>
      <c r="E334" s="18" t="s">
        <v>156</v>
      </c>
      <c r="F334" s="17"/>
      <c r="G334" s="17"/>
      <c r="H334" s="17"/>
      <c r="I334" s="18" t="s">
        <v>154</v>
      </c>
      <c r="J334" s="17"/>
      <c r="K334" s="18" t="s">
        <v>156</v>
      </c>
    </row>
    <row r="335" spans="1:24">
      <c r="A335" s="17" t="s">
        <v>106</v>
      </c>
      <c r="B335" s="17"/>
      <c r="C335" s="19">
        <v>-1</v>
      </c>
      <c r="D335" s="19"/>
      <c r="E335" s="17"/>
      <c r="F335" s="17">
        <v>0</v>
      </c>
      <c r="G335" s="17"/>
      <c r="H335" s="17"/>
      <c r="I335" s="17" t="s">
        <v>106</v>
      </c>
      <c r="J335" s="17"/>
      <c r="K335" s="19">
        <v>-3</v>
      </c>
      <c r="L335" s="19"/>
      <c r="M335" s="17"/>
      <c r="N335" s="17">
        <v>-2</v>
      </c>
      <c r="O335" s="17"/>
    </row>
    <row r="336" spans="1:24">
      <c r="A336" s="17" t="s">
        <v>139</v>
      </c>
      <c r="B336" s="17"/>
      <c r="C336" s="19">
        <v>2</v>
      </c>
      <c r="D336" s="17"/>
      <c r="E336" s="17"/>
      <c r="F336" s="17">
        <v>-1</v>
      </c>
      <c r="G336" s="17"/>
      <c r="H336" s="17"/>
      <c r="I336" s="17"/>
      <c r="J336" s="17"/>
      <c r="K336" s="19"/>
      <c r="L336" s="19"/>
      <c r="M336" s="17"/>
      <c r="N336" s="17"/>
      <c r="O336" s="17"/>
    </row>
    <row r="337" spans="1:15">
      <c r="A337" s="17" t="s">
        <v>108</v>
      </c>
      <c r="B337" s="17"/>
      <c r="C337" s="19">
        <v>0</v>
      </c>
      <c r="D337" s="17"/>
      <c r="E337" s="17"/>
      <c r="F337" s="17">
        <v>0</v>
      </c>
      <c r="G337" s="17"/>
      <c r="H337" s="17"/>
      <c r="I337" s="17" t="s">
        <v>139</v>
      </c>
      <c r="J337" s="17"/>
      <c r="K337" s="19">
        <v>12</v>
      </c>
      <c r="L337" s="17"/>
      <c r="M337" s="17"/>
      <c r="N337" s="17">
        <v>-5</v>
      </c>
      <c r="O337" s="17"/>
    </row>
    <row r="338" spans="1:15">
      <c r="A338" s="17" t="s">
        <v>109</v>
      </c>
      <c r="B338" s="17"/>
      <c r="C338" s="19">
        <v>0</v>
      </c>
      <c r="D338" s="17"/>
      <c r="E338" s="17"/>
      <c r="F338" s="17">
        <v>1</v>
      </c>
      <c r="G338" s="17"/>
      <c r="H338" s="17"/>
      <c r="I338" s="17"/>
      <c r="J338" s="17"/>
      <c r="K338" s="19"/>
      <c r="L338" s="17"/>
      <c r="M338" s="17"/>
      <c r="N338" s="17"/>
      <c r="O338" s="17"/>
    </row>
    <row r="339" spans="1:15">
      <c r="A339" s="17" t="s">
        <v>254</v>
      </c>
      <c r="B339" s="17"/>
      <c r="C339" s="19">
        <v>1</v>
      </c>
      <c r="D339" s="17"/>
      <c r="E339" s="17"/>
      <c r="F339" s="17">
        <v>-1</v>
      </c>
      <c r="G339" s="17"/>
      <c r="H339" s="17"/>
      <c r="I339" s="17" t="s">
        <v>157</v>
      </c>
      <c r="J339" s="17"/>
      <c r="K339" s="19">
        <v>-37</v>
      </c>
      <c r="L339" s="19"/>
      <c r="M339" s="17"/>
      <c r="N339" s="17">
        <v>-13</v>
      </c>
      <c r="O339" s="17"/>
    </row>
    <row r="340" spans="1:15">
      <c r="A340" s="17" t="s">
        <v>255</v>
      </c>
      <c r="B340" s="17"/>
      <c r="C340" s="19">
        <v>1</v>
      </c>
      <c r="D340" s="17"/>
      <c r="E340" s="17"/>
      <c r="F340" s="17">
        <v>-1</v>
      </c>
      <c r="G340" s="17"/>
      <c r="H340" s="17"/>
      <c r="I340" s="17"/>
      <c r="J340" s="17"/>
      <c r="K340" s="19"/>
      <c r="L340" s="19"/>
      <c r="M340" s="17"/>
      <c r="N340" s="17"/>
      <c r="O340" s="17"/>
    </row>
    <row r="341" spans="1:15">
      <c r="G341" s="17"/>
      <c r="H341" s="17"/>
      <c r="I341" s="17" t="s">
        <v>256</v>
      </c>
      <c r="J341" s="17"/>
      <c r="K341" s="19">
        <v>15</v>
      </c>
      <c r="L341" s="17"/>
      <c r="M341" s="17"/>
      <c r="N341" s="17">
        <v>11</v>
      </c>
      <c r="O341" s="17"/>
    </row>
    <row r="342" spans="1:15">
      <c r="A342" s="17"/>
      <c r="B342" s="17"/>
      <c r="C342" s="19"/>
      <c r="D342" s="17"/>
      <c r="E342" s="17"/>
      <c r="F342" s="17"/>
      <c r="G342" s="17"/>
      <c r="H342" s="17"/>
      <c r="I342" s="17"/>
      <c r="J342" s="17"/>
      <c r="K342" s="19"/>
      <c r="L342" s="17"/>
      <c r="M342" s="17"/>
      <c r="N342" s="17"/>
      <c r="O342" s="17"/>
    </row>
    <row r="343" spans="1:15">
      <c r="G343" s="17"/>
      <c r="H343" s="17"/>
      <c r="I343" s="17" t="s">
        <v>158</v>
      </c>
      <c r="J343" s="17"/>
      <c r="K343" s="19">
        <v>1</v>
      </c>
      <c r="L343" s="17"/>
      <c r="M343" s="17"/>
      <c r="N343" s="17">
        <v>0</v>
      </c>
      <c r="O343" s="17"/>
    </row>
    <row r="344" spans="1:15">
      <c r="A344" s="17"/>
      <c r="B344" s="17"/>
      <c r="C344" s="19"/>
      <c r="D344" s="17"/>
      <c r="E344" s="17"/>
      <c r="F344" s="17"/>
      <c r="G344" s="17"/>
      <c r="H344" s="17"/>
      <c r="I344" s="17"/>
      <c r="J344" s="17"/>
      <c r="K344" s="19"/>
      <c r="L344" s="17"/>
      <c r="M344" s="17"/>
      <c r="N344" s="17"/>
      <c r="O344" s="17"/>
    </row>
    <row r="345" spans="1:15">
      <c r="A345" s="17"/>
      <c r="B345" s="17"/>
      <c r="C345" s="17"/>
      <c r="D345" s="17"/>
      <c r="E345" s="17"/>
      <c r="F345" s="17"/>
      <c r="G345" s="17" t="s">
        <v>257</v>
      </c>
      <c r="H345" s="17"/>
      <c r="I345" s="19">
        <v>-5</v>
      </c>
      <c r="J345" s="19"/>
      <c r="K345" s="17"/>
      <c r="L345" s="17">
        <v>2</v>
      </c>
      <c r="M345" s="17"/>
    </row>
    <row r="346" spans="1:15">
      <c r="A346" s="17"/>
      <c r="B346" s="17"/>
      <c r="C346" s="17"/>
      <c r="D346" s="17"/>
      <c r="E346" s="17"/>
      <c r="F346" s="17"/>
      <c r="G346" s="17"/>
      <c r="H346" s="17"/>
      <c r="I346" s="19"/>
      <c r="J346" s="19"/>
      <c r="K346" s="17"/>
      <c r="L346" s="17"/>
      <c r="M346" s="17"/>
    </row>
    <row r="347" spans="1:15">
      <c r="G347" s="17"/>
      <c r="H347" s="17"/>
      <c r="I347" s="17" t="s">
        <v>115</v>
      </c>
      <c r="J347" s="17"/>
      <c r="K347" s="19">
        <v>-17</v>
      </c>
      <c r="L347" s="19"/>
      <c r="M347" s="17"/>
      <c r="N347" s="17">
        <v>-7</v>
      </c>
      <c r="O347" s="17"/>
    </row>
    <row r="348" spans="1:15">
      <c r="A348" s="17"/>
      <c r="B348" s="17"/>
      <c r="C348" s="19"/>
      <c r="D348" s="17"/>
      <c r="E348" s="17"/>
      <c r="F348" s="17"/>
      <c r="G348" s="17"/>
      <c r="H348" s="17"/>
      <c r="I348" s="17"/>
      <c r="J348" s="17"/>
      <c r="K348" s="19"/>
      <c r="L348" s="19"/>
      <c r="M348" s="17"/>
      <c r="N348" s="17"/>
      <c r="O348" s="17"/>
    </row>
    <row r="349" spans="1:15">
      <c r="A349" s="16"/>
      <c r="B349" s="16"/>
    </row>
    <row r="350" spans="1:15">
      <c r="A350" s="25" t="s">
        <v>261</v>
      </c>
      <c r="B350" s="25" t="s">
        <v>147</v>
      </c>
    </row>
    <row r="352" spans="1:15">
      <c r="A352" s="24" t="s">
        <v>140</v>
      </c>
    </row>
    <row r="353" spans="1:24">
      <c r="A353" s="16"/>
    </row>
    <row r="354" spans="1:2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r="355" spans="1:24">
      <c r="A355" s="17"/>
      <c r="B355" s="17"/>
      <c r="C355" s="18">
        <v>2018</v>
      </c>
      <c r="D355" s="17"/>
      <c r="E355" s="18">
        <v>2017</v>
      </c>
      <c r="F355" s="17"/>
      <c r="G355" s="18">
        <v>2016</v>
      </c>
      <c r="H355" s="17"/>
      <c r="I355" s="17"/>
      <c r="J355" s="17"/>
      <c r="K355" s="18">
        <v>2018</v>
      </c>
      <c r="L355" s="17"/>
      <c r="M355" s="18">
        <v>2017</v>
      </c>
      <c r="N355" s="17"/>
      <c r="O355" s="18">
        <v>2016</v>
      </c>
    </row>
    <row r="356" spans="1:24">
      <c r="A356" s="17" t="s">
        <v>141</v>
      </c>
      <c r="B356" s="17"/>
      <c r="C356" s="19"/>
      <c r="D356" s="20">
        <v>3382</v>
      </c>
      <c r="E356" s="17"/>
      <c r="F356" s="17"/>
      <c r="G356" s="17"/>
      <c r="H356" s="21">
        <v>3297</v>
      </c>
      <c r="I356" s="17"/>
      <c r="J356" s="17"/>
      <c r="K356" s="17"/>
      <c r="L356" s="21">
        <v>3235</v>
      </c>
      <c r="M356" s="17"/>
      <c r="N356" s="17"/>
      <c r="O356" s="17" t="s">
        <v>155</v>
      </c>
      <c r="P356" s="17"/>
      <c r="Q356" s="19"/>
      <c r="R356" s="19">
        <v>634</v>
      </c>
      <c r="S356" s="17"/>
      <c r="T356" s="17"/>
      <c r="U356" s="17"/>
      <c r="V356" s="17">
        <v>645</v>
      </c>
      <c r="W356" s="17"/>
      <c r="X356" s="17">
        <v>616</v>
      </c>
    </row>
    <row r="357" spans="1:24">
      <c r="A357" s="17"/>
      <c r="B357" s="17"/>
      <c r="C357" s="19"/>
      <c r="D357" s="20"/>
      <c r="E357" s="17"/>
      <c r="F357" s="17"/>
      <c r="G357" s="17"/>
      <c r="H357" s="21"/>
      <c r="I357" s="17"/>
      <c r="J357" s="17"/>
      <c r="K357" s="17"/>
      <c r="L357" s="21"/>
      <c r="M357" s="17"/>
      <c r="N357" s="17"/>
      <c r="O357" s="17"/>
      <c r="P357" s="17"/>
      <c r="Q357" s="19"/>
      <c r="R357" s="19"/>
      <c r="S357" s="17"/>
      <c r="T357" s="17"/>
      <c r="U357" s="17"/>
      <c r="V357" s="17"/>
      <c r="W357" s="17"/>
      <c r="X357" s="17"/>
    </row>
    <row r="358" spans="1:24">
      <c r="A358" s="16"/>
    </row>
    <row r="359" spans="1:24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</row>
    <row r="360" spans="1:24">
      <c r="A360" s="18" t="s">
        <v>141</v>
      </c>
      <c r="B360" s="17"/>
      <c r="C360" s="18" t="s">
        <v>149</v>
      </c>
      <c r="D360" s="17"/>
      <c r="E360" s="18" t="s">
        <v>155</v>
      </c>
      <c r="F360" s="17"/>
      <c r="G360" s="18" t="s">
        <v>149</v>
      </c>
    </row>
    <row r="361" spans="1:24">
      <c r="A361" s="17"/>
      <c r="B361" s="17"/>
      <c r="C361" s="18" t="s">
        <v>154</v>
      </c>
      <c r="D361" s="17"/>
      <c r="E361" s="18" t="s">
        <v>156</v>
      </c>
      <c r="F361" s="17"/>
      <c r="G361" s="17"/>
      <c r="H361" s="17"/>
      <c r="I361" s="18" t="s">
        <v>154</v>
      </c>
      <c r="J361" s="17"/>
      <c r="K361" s="18" t="s">
        <v>156</v>
      </c>
    </row>
    <row r="362" spans="1:24">
      <c r="A362" s="17" t="s">
        <v>106</v>
      </c>
      <c r="B362" s="17"/>
      <c r="C362" s="19">
        <v>1</v>
      </c>
      <c r="D362" s="17"/>
      <c r="E362" s="17">
        <v>1</v>
      </c>
      <c r="F362" s="17"/>
      <c r="G362" s="17"/>
      <c r="H362" s="17" t="s">
        <v>106</v>
      </c>
      <c r="I362" s="17"/>
      <c r="J362" s="19">
        <v>3</v>
      </c>
      <c r="K362" s="17"/>
      <c r="L362" s="17"/>
      <c r="M362" s="17">
        <v>3</v>
      </c>
      <c r="N362" s="17"/>
    </row>
    <row r="363" spans="1:24">
      <c r="A363" s="17" t="s">
        <v>139</v>
      </c>
      <c r="B363" s="17"/>
      <c r="C363" s="19">
        <v>1</v>
      </c>
      <c r="D363" s="17"/>
      <c r="E363" s="17">
        <v>-1</v>
      </c>
      <c r="F363" s="17"/>
      <c r="G363" s="17"/>
      <c r="H363" s="17"/>
      <c r="I363" s="17"/>
      <c r="J363" s="19"/>
      <c r="K363" s="17"/>
      <c r="L363" s="17"/>
      <c r="M363" s="17"/>
      <c r="N363" s="17"/>
    </row>
    <row r="364" spans="1:24">
      <c r="A364" s="17" t="s">
        <v>108</v>
      </c>
      <c r="B364" s="17"/>
      <c r="C364" s="19">
        <v>1</v>
      </c>
      <c r="D364" s="17"/>
      <c r="E364" s="17">
        <v>1</v>
      </c>
      <c r="F364" s="17"/>
      <c r="G364" s="17"/>
      <c r="H364" s="17" t="s">
        <v>139</v>
      </c>
      <c r="I364" s="17"/>
      <c r="J364" s="19">
        <v>3</v>
      </c>
      <c r="K364" s="17"/>
      <c r="L364" s="17"/>
      <c r="M364" s="17">
        <v>-3</v>
      </c>
      <c r="N364" s="17"/>
    </row>
    <row r="365" spans="1:24">
      <c r="A365" s="17" t="s">
        <v>109</v>
      </c>
      <c r="B365" s="17"/>
      <c r="C365" s="19">
        <v>0</v>
      </c>
      <c r="D365" s="17"/>
      <c r="E365" s="17">
        <v>1</v>
      </c>
      <c r="F365" s="17"/>
      <c r="G365" s="17"/>
      <c r="H365" s="17"/>
      <c r="I365" s="17"/>
      <c r="J365" s="19"/>
      <c r="K365" s="17"/>
      <c r="L365" s="17"/>
      <c r="M365" s="17"/>
      <c r="N365" s="17"/>
    </row>
    <row r="366" spans="1:24">
      <c r="A366" s="17" t="s">
        <v>254</v>
      </c>
      <c r="B366" s="17"/>
      <c r="C366" s="19">
        <v>3</v>
      </c>
      <c r="D366" s="17"/>
      <c r="E366" s="17">
        <v>2</v>
      </c>
      <c r="F366" s="17"/>
      <c r="G366" s="17"/>
      <c r="H366" s="17" t="s">
        <v>157</v>
      </c>
      <c r="I366" s="17"/>
      <c r="J366" s="19">
        <v>-21</v>
      </c>
      <c r="K366" s="19"/>
      <c r="L366" s="17"/>
      <c r="M366" s="17">
        <v>-12</v>
      </c>
      <c r="N366" s="17"/>
    </row>
    <row r="367" spans="1:24">
      <c r="A367" s="17" t="s">
        <v>255</v>
      </c>
      <c r="B367" s="17"/>
      <c r="C367" s="19">
        <v>3</v>
      </c>
      <c r="D367" s="17"/>
      <c r="E367" s="17">
        <v>1</v>
      </c>
      <c r="F367" s="17"/>
      <c r="G367" s="17"/>
      <c r="H367" s="17"/>
      <c r="I367" s="17"/>
      <c r="J367" s="19"/>
      <c r="K367" s="19"/>
      <c r="L367" s="17"/>
      <c r="M367" s="17"/>
      <c r="N367" s="17"/>
    </row>
    <row r="368" spans="1:24">
      <c r="F368" s="17"/>
      <c r="G368" s="17"/>
      <c r="H368" s="17" t="s">
        <v>256</v>
      </c>
      <c r="I368" s="17"/>
      <c r="J368" s="19">
        <v>11</v>
      </c>
      <c r="K368" s="17"/>
      <c r="L368" s="17"/>
      <c r="M368" s="17">
        <v>12</v>
      </c>
      <c r="N368" s="17"/>
    </row>
    <row r="369" spans="1:14">
      <c r="A369" s="17"/>
      <c r="B369" s="17"/>
      <c r="C369" s="19"/>
      <c r="D369" s="17"/>
      <c r="E369" s="17"/>
      <c r="F369" s="17"/>
      <c r="G369" s="17"/>
      <c r="H369" s="17"/>
      <c r="I369" s="17"/>
      <c r="J369" s="19"/>
      <c r="K369" s="17"/>
      <c r="L369" s="17"/>
      <c r="M369" s="17"/>
      <c r="N369" s="17"/>
    </row>
    <row r="370" spans="1:14">
      <c r="F370" s="17"/>
      <c r="G370" s="17"/>
      <c r="H370" s="17" t="s">
        <v>158</v>
      </c>
      <c r="I370" s="17"/>
      <c r="J370" s="19">
        <v>0</v>
      </c>
      <c r="K370" s="17"/>
      <c r="L370" s="17"/>
      <c r="M370" s="17">
        <v>1</v>
      </c>
      <c r="N370" s="17"/>
    </row>
    <row r="371" spans="1:14">
      <c r="A371" s="17"/>
      <c r="B371" s="17"/>
      <c r="C371" s="19"/>
      <c r="D371" s="17"/>
      <c r="E371" s="17"/>
      <c r="F371" s="17"/>
      <c r="G371" s="17"/>
      <c r="H371" s="17"/>
      <c r="I371" s="17"/>
      <c r="J371" s="19"/>
      <c r="K371" s="17"/>
      <c r="L371" s="17"/>
      <c r="M371" s="17"/>
      <c r="N371" s="17"/>
    </row>
    <row r="372" spans="1:14">
      <c r="A372" s="17"/>
      <c r="B372" s="17"/>
      <c r="C372" s="17"/>
      <c r="D372" s="17"/>
      <c r="E372" s="17"/>
      <c r="F372" s="17"/>
      <c r="G372" s="17" t="s">
        <v>257</v>
      </c>
      <c r="H372" s="17"/>
      <c r="I372" s="19">
        <v>2</v>
      </c>
      <c r="J372" s="17"/>
      <c r="K372" s="17"/>
      <c r="L372" s="17">
        <v>4</v>
      </c>
      <c r="M372" s="17"/>
    </row>
    <row r="373" spans="1:14">
      <c r="A373" s="17"/>
      <c r="B373" s="17"/>
      <c r="C373" s="17"/>
      <c r="D373" s="17"/>
      <c r="E373" s="17"/>
      <c r="F373" s="17"/>
      <c r="G373" s="17"/>
      <c r="H373" s="17"/>
      <c r="I373" s="19"/>
      <c r="J373" s="17"/>
      <c r="K373" s="17"/>
      <c r="L373" s="17"/>
      <c r="M373" s="17"/>
    </row>
    <row r="374" spans="1:14">
      <c r="F374" s="17"/>
      <c r="G374" s="17"/>
      <c r="H374" s="17" t="s">
        <v>115</v>
      </c>
      <c r="I374" s="17"/>
      <c r="J374" s="19">
        <v>-2</v>
      </c>
      <c r="K374" s="19"/>
      <c r="L374" s="17"/>
      <c r="M374" s="17">
        <v>5</v>
      </c>
      <c r="N374" s="17"/>
    </row>
    <row r="375" spans="1:14">
      <c r="A375" s="17"/>
      <c r="B375" s="17"/>
      <c r="C375" s="19"/>
      <c r="D375" s="17"/>
      <c r="E375" s="17"/>
      <c r="F375" s="17"/>
      <c r="G375" s="17"/>
      <c r="H375" s="17"/>
      <c r="I375" s="17"/>
      <c r="J375" s="19"/>
      <c r="K375" s="19"/>
      <c r="L375" s="17"/>
      <c r="M375" s="17"/>
      <c r="N375" s="17"/>
    </row>
    <row r="376" spans="1:14">
      <c r="A376" s="16"/>
      <c r="B376" s="16"/>
    </row>
    <row r="377" spans="1:14">
      <c r="A377" s="25" t="s">
        <v>261</v>
      </c>
      <c r="B377" s="25" t="s">
        <v>148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043D-6065-2D43-AB5E-247B20091A23}">
  <dimension ref="B1:U91"/>
  <sheetViews>
    <sheetView showGridLines="0" zoomScale="108" workbookViewId="0">
      <selection activeCell="I61" sqref="I61"/>
    </sheetView>
  </sheetViews>
  <sheetFormatPr baseColWidth="10" defaultRowHeight="16"/>
  <cols>
    <col min="1" max="1" width="2.5" style="184" customWidth="1"/>
    <col min="2" max="2" width="18.25" style="184" bestFit="1" customWidth="1"/>
    <col min="3" max="21" width="7.625" style="184" customWidth="1"/>
    <col min="22" max="16384" width="10.625" style="184"/>
  </cols>
  <sheetData>
    <row r="1" spans="2:18" ht="17" thickBot="1"/>
    <row r="2" spans="2:18" ht="17" thickBot="1">
      <c r="B2" s="186" t="s">
        <v>1551</v>
      </c>
      <c r="C2" s="208">
        <v>2016</v>
      </c>
      <c r="D2" s="208">
        <v>2017</v>
      </c>
      <c r="E2" s="208">
        <v>2018</v>
      </c>
      <c r="F2" s="208">
        <v>2019</v>
      </c>
      <c r="G2" s="208">
        <v>2020</v>
      </c>
      <c r="H2" s="208">
        <v>2021</v>
      </c>
      <c r="I2" s="208">
        <v>2022</v>
      </c>
      <c r="J2" s="208">
        <v>2023</v>
      </c>
      <c r="K2" s="186" t="s">
        <v>187</v>
      </c>
      <c r="L2" s="187" t="s">
        <v>188</v>
      </c>
      <c r="M2" s="208" t="s">
        <v>178</v>
      </c>
      <c r="N2" s="208" t="s">
        <v>179</v>
      </c>
      <c r="O2" s="208" t="s">
        <v>180</v>
      </c>
      <c r="P2" s="208" t="s">
        <v>181</v>
      </c>
      <c r="Q2" s="208" t="s">
        <v>182</v>
      </c>
      <c r="R2" s="187" t="s">
        <v>183</v>
      </c>
    </row>
    <row r="3" spans="2:18">
      <c r="B3" s="209"/>
      <c r="K3" s="188"/>
      <c r="L3" s="189"/>
      <c r="R3" s="210"/>
    </row>
    <row r="4" spans="2:18">
      <c r="B4" s="277" t="s">
        <v>105</v>
      </c>
      <c r="C4" s="190">
        <v>9046</v>
      </c>
      <c r="D4" s="190">
        <v>9078</v>
      </c>
      <c r="E4" s="190">
        <v>9037</v>
      </c>
      <c r="F4" s="190">
        <v>9108</v>
      </c>
      <c r="G4" s="190">
        <v>9339</v>
      </c>
      <c r="H4" s="190">
        <v>10267</v>
      </c>
      <c r="I4" s="190">
        <v>10622</v>
      </c>
      <c r="J4" s="191">
        <v>10691</v>
      </c>
      <c r="K4" s="192">
        <v>8089</v>
      </c>
      <c r="L4" s="193">
        <v>8040</v>
      </c>
      <c r="M4" s="194">
        <f>J4*(1+M26/100)</f>
        <v>10637.545</v>
      </c>
      <c r="N4" s="194">
        <f>M4*(1+N26/100)</f>
        <v>11222.609974999999</v>
      </c>
      <c r="O4" s="194">
        <f>N4*(1+O26/100)</f>
        <v>11671.514374</v>
      </c>
      <c r="P4" s="194">
        <f>O4*(1+P26/100)</f>
        <v>12138.374948960001</v>
      </c>
      <c r="Q4" s="194">
        <f>P4*(1+Q26/100)</f>
        <v>12623.909946918402</v>
      </c>
      <c r="R4" s="266">
        <f>Q4*(1+R26/100)</f>
        <v>13128.866344795139</v>
      </c>
    </row>
    <row r="5" spans="2:18">
      <c r="B5" s="278" t="s">
        <v>117</v>
      </c>
      <c r="C5" s="195">
        <v>5967</v>
      </c>
      <c r="D5" s="195">
        <v>5932</v>
      </c>
      <c r="E5" s="195">
        <v>6015</v>
      </c>
      <c r="F5" s="195">
        <v>5993</v>
      </c>
      <c r="G5" s="195">
        <v>6718</v>
      </c>
      <c r="H5" s="195">
        <v>6034</v>
      </c>
      <c r="I5" s="195">
        <v>6243</v>
      </c>
      <c r="J5" s="184">
        <v>6290</v>
      </c>
      <c r="K5" s="188">
        <v>4750</v>
      </c>
      <c r="L5" s="189">
        <v>4624</v>
      </c>
      <c r="M5" s="196">
        <f>J5*(1+M38/100)</f>
        <v>6069.8499999999995</v>
      </c>
      <c r="N5" s="196">
        <f>M5*(1+N38/100)</f>
        <v>6191.2469999999994</v>
      </c>
      <c r="O5" s="196">
        <f>N5*(1+O38/100)</f>
        <v>6315.0719399999998</v>
      </c>
      <c r="P5" s="196">
        <f>O5*(1+P38/100)</f>
        <v>6441.3733788</v>
      </c>
      <c r="Q5" s="196">
        <f>P5*(1+Q38/100)</f>
        <v>6570.2008463760003</v>
      </c>
      <c r="R5" s="267">
        <f>Q5*(1+R38/100)</f>
        <v>6833.0088802310402</v>
      </c>
    </row>
    <row r="6" spans="2:18">
      <c r="B6" s="278" t="s">
        <v>119</v>
      </c>
      <c r="C6" s="195">
        <v>3235</v>
      </c>
      <c r="D6" s="195">
        <v>3297</v>
      </c>
      <c r="E6" s="195">
        <v>3382</v>
      </c>
      <c r="F6" s="195">
        <v>3292</v>
      </c>
      <c r="G6" s="195">
        <v>3019</v>
      </c>
      <c r="H6" s="195">
        <v>3072</v>
      </c>
      <c r="I6" s="195">
        <v>3256</v>
      </c>
      <c r="J6" s="184">
        <v>3404</v>
      </c>
      <c r="K6" s="188">
        <v>2588</v>
      </c>
      <c r="L6" s="189">
        <v>2431</v>
      </c>
      <c r="M6" s="196">
        <f>J6*(1+M50/100)</f>
        <v>3199.7599999999998</v>
      </c>
      <c r="N6" s="196">
        <f>M6*(1+N50/100)</f>
        <v>3263.7551999999996</v>
      </c>
      <c r="O6" s="196">
        <f>N6*(1+O50/100)</f>
        <v>3426.9429599999999</v>
      </c>
      <c r="P6" s="196">
        <f>O6*(1+P50/100)</f>
        <v>3598.2901080000001</v>
      </c>
      <c r="Q6" s="196">
        <f>P6*(1+Q50/100)</f>
        <v>3778.2046134000002</v>
      </c>
      <c r="R6" s="267">
        <f>Q6*(1+R50/100)</f>
        <v>3967.1148440700003</v>
      </c>
    </row>
    <row r="7" spans="2:18" ht="17" thickBot="1">
      <c r="B7" s="278" t="s">
        <v>137</v>
      </c>
      <c r="C7" s="197">
        <v>39</v>
      </c>
      <c r="D7" s="197">
        <v>41</v>
      </c>
      <c r="E7" s="197">
        <v>52</v>
      </c>
      <c r="F7" s="198">
        <v>57</v>
      </c>
      <c r="G7" s="198">
        <v>64</v>
      </c>
      <c r="H7" s="198">
        <v>67</v>
      </c>
      <c r="I7" s="198">
        <v>54</v>
      </c>
      <c r="J7" s="199">
        <v>46</v>
      </c>
      <c r="K7" s="200">
        <v>34</v>
      </c>
      <c r="L7" s="201">
        <v>35</v>
      </c>
      <c r="M7" s="198">
        <f>J7</f>
        <v>46</v>
      </c>
      <c r="N7" s="198">
        <f>M7</f>
        <v>46</v>
      </c>
      <c r="O7" s="198">
        <f t="shared" ref="O7:R7" si="0">N7</f>
        <v>46</v>
      </c>
      <c r="P7" s="198">
        <f t="shared" si="0"/>
        <v>46</v>
      </c>
      <c r="Q7" s="198">
        <f t="shared" si="0"/>
        <v>46</v>
      </c>
      <c r="R7" s="199">
        <f t="shared" si="0"/>
        <v>46</v>
      </c>
    </row>
    <row r="8" spans="2:18">
      <c r="B8" s="278" t="s">
        <v>136</v>
      </c>
      <c r="C8" s="184">
        <v>18287</v>
      </c>
      <c r="D8" s="184">
        <v>18348</v>
      </c>
      <c r="E8" s="184">
        <v>18486</v>
      </c>
      <c r="F8" s="184">
        <v>18450</v>
      </c>
      <c r="G8" s="184">
        <v>19140</v>
      </c>
      <c r="H8" s="184">
        <v>19440</v>
      </c>
      <c r="I8" s="184">
        <v>20175</v>
      </c>
      <c r="J8" s="184">
        <v>20431</v>
      </c>
      <c r="K8" s="188">
        <v>15461</v>
      </c>
      <c r="L8" s="189">
        <v>15130</v>
      </c>
      <c r="M8" s="202">
        <f>SUM(M4:M7)</f>
        <v>19953.154999999999</v>
      </c>
      <c r="N8" s="202">
        <f t="shared" ref="N8:R8" si="1">SUM(N4:N7)</f>
        <v>20723.612174999998</v>
      </c>
      <c r="O8" s="202">
        <f t="shared" si="1"/>
        <v>21459.529274</v>
      </c>
      <c r="P8" s="202">
        <f t="shared" si="1"/>
        <v>22224.038435760001</v>
      </c>
      <c r="Q8" s="202">
        <f t="shared" si="1"/>
        <v>23018.315406694404</v>
      </c>
      <c r="R8" s="268">
        <f t="shared" si="1"/>
        <v>23974.99006909618</v>
      </c>
    </row>
    <row r="9" spans="2:18">
      <c r="B9" s="278" t="s">
        <v>168</v>
      </c>
      <c r="D9" s="203">
        <v>3.3357029583858111E-3</v>
      </c>
      <c r="E9" s="203">
        <v>7.5212557226944643E-3</v>
      </c>
      <c r="F9" s="203">
        <v>-1.9474196689386325E-3</v>
      </c>
      <c r="G9" s="203">
        <v>3.7398373983739797E-2</v>
      </c>
      <c r="H9" s="203">
        <v>1.5673981191222541E-2</v>
      </c>
      <c r="I9" s="203">
        <v>3.7808641975308532E-2</v>
      </c>
      <c r="J9" s="203">
        <v>1.268897149938053E-2</v>
      </c>
      <c r="K9" s="188"/>
      <c r="L9" s="204">
        <v>-2.1408705775822989E-2</v>
      </c>
      <c r="M9" s="203">
        <f>M8/J8-1</f>
        <v>-2.3388233566638994E-2</v>
      </c>
      <c r="N9" s="203">
        <f>N8/M8-1</f>
        <v>3.8613300753690405E-2</v>
      </c>
      <c r="O9" s="203">
        <f t="shared" ref="O9:R9" si="2">O8/N8-1</f>
        <v>3.5511043769086648E-2</v>
      </c>
      <c r="P9" s="203">
        <f t="shared" si="2"/>
        <v>3.5625625893214163E-2</v>
      </c>
      <c r="Q9" s="203">
        <f t="shared" si="2"/>
        <v>3.5739542713189243E-2</v>
      </c>
      <c r="R9" s="269">
        <f t="shared" si="2"/>
        <v>4.15614542375915E-2</v>
      </c>
    </row>
    <row r="10" spans="2:18" ht="17" thickBot="1">
      <c r="B10" s="278"/>
      <c r="D10" s="203"/>
      <c r="E10" s="203"/>
      <c r="F10" s="203"/>
      <c r="G10" s="203"/>
      <c r="H10" s="203"/>
      <c r="I10" s="203"/>
      <c r="J10" s="203"/>
      <c r="K10" s="188"/>
      <c r="L10" s="204"/>
      <c r="M10" s="203"/>
      <c r="N10" s="203"/>
      <c r="O10" s="203"/>
      <c r="P10" s="203"/>
      <c r="Q10" s="203"/>
      <c r="R10" s="269"/>
    </row>
    <row r="11" spans="2:18" ht="17" thickBot="1">
      <c r="B11" s="279" t="s">
        <v>174</v>
      </c>
      <c r="C11" s="185">
        <v>2016</v>
      </c>
      <c r="D11" s="185">
        <v>2017</v>
      </c>
      <c r="E11" s="185">
        <v>2018</v>
      </c>
      <c r="F11" s="185">
        <v>2019</v>
      </c>
      <c r="G11" s="185">
        <v>2020</v>
      </c>
      <c r="H11" s="185">
        <v>2021</v>
      </c>
      <c r="I11" s="185">
        <v>2022</v>
      </c>
      <c r="J11" s="185">
        <v>2023</v>
      </c>
      <c r="K11" s="186" t="s">
        <v>187</v>
      </c>
      <c r="L11" s="187" t="s">
        <v>188</v>
      </c>
      <c r="M11" s="185" t="s">
        <v>178</v>
      </c>
      <c r="N11" s="185" t="s">
        <v>179</v>
      </c>
      <c r="O11" s="185" t="s">
        <v>180</v>
      </c>
      <c r="P11" s="185" t="s">
        <v>181</v>
      </c>
      <c r="Q11" s="185" t="s">
        <v>182</v>
      </c>
      <c r="R11" s="270" t="s">
        <v>183</v>
      </c>
    </row>
    <row r="12" spans="2:18">
      <c r="B12" s="278" t="s">
        <v>105</v>
      </c>
      <c r="C12" s="205">
        <f t="shared" ref="C12:R12" si="3">C4/C$8</f>
        <v>0.49466834363208839</v>
      </c>
      <c r="D12" s="205">
        <f t="shared" si="3"/>
        <v>0.4947678221059516</v>
      </c>
      <c r="E12" s="205">
        <f t="shared" si="3"/>
        <v>0.48885643189440658</v>
      </c>
      <c r="F12" s="205">
        <f t="shared" si="3"/>
        <v>0.49365853658536585</v>
      </c>
      <c r="G12" s="205">
        <f t="shared" si="3"/>
        <v>0.4879310344827586</v>
      </c>
      <c r="H12" s="205">
        <f t="shared" si="3"/>
        <v>0.52813786008230457</v>
      </c>
      <c r="I12" s="205">
        <f t="shared" si="3"/>
        <v>0.52649318463444861</v>
      </c>
      <c r="J12" s="205">
        <f t="shared" si="3"/>
        <v>0.52327345700161521</v>
      </c>
      <c r="K12" s="206">
        <f t="shared" si="3"/>
        <v>0.52318737468469056</v>
      </c>
      <c r="L12" s="207">
        <f t="shared" si="3"/>
        <v>0.53139458030403175</v>
      </c>
      <c r="M12" s="205">
        <f t="shared" si="3"/>
        <v>0.53312596428985792</v>
      </c>
      <c r="N12" s="205">
        <f t="shared" si="3"/>
        <v>0.54153734784413854</v>
      </c>
      <c r="O12" s="205">
        <f t="shared" si="3"/>
        <v>0.54388492053928728</v>
      </c>
      <c r="P12" s="205">
        <f t="shared" si="3"/>
        <v>0.54618223344270878</v>
      </c>
      <c r="Q12" s="205">
        <f t="shared" si="3"/>
        <v>0.54842892383197583</v>
      </c>
      <c r="R12" s="271">
        <f t="shared" si="3"/>
        <v>0.54760674798853326</v>
      </c>
    </row>
    <row r="13" spans="2:18">
      <c r="B13" s="278" t="s">
        <v>117</v>
      </c>
      <c r="C13" s="205">
        <f t="shared" ref="C13:R13" si="4">C5/C$8</f>
        <v>0.32629736971619183</v>
      </c>
      <c r="D13" s="205">
        <f t="shared" si="4"/>
        <v>0.32330499236974058</v>
      </c>
      <c r="E13" s="205">
        <f t="shared" si="4"/>
        <v>0.32538136968516718</v>
      </c>
      <c r="F13" s="205">
        <f t="shared" si="4"/>
        <v>0.32482384823848237</v>
      </c>
      <c r="G13" s="205">
        <f t="shared" si="4"/>
        <v>0.3509926854754441</v>
      </c>
      <c r="H13" s="205">
        <f t="shared" si="4"/>
        <v>0.31039094650205762</v>
      </c>
      <c r="I13" s="205">
        <f t="shared" si="4"/>
        <v>0.30944237918215611</v>
      </c>
      <c r="J13" s="205">
        <f t="shared" si="4"/>
        <v>0.30786549850717049</v>
      </c>
      <c r="K13" s="206">
        <f t="shared" si="4"/>
        <v>0.30722462971347259</v>
      </c>
      <c r="L13" s="207">
        <f t="shared" si="4"/>
        <v>0.30561797752808989</v>
      </c>
      <c r="M13" s="205">
        <f t="shared" si="4"/>
        <v>0.30420502421797452</v>
      </c>
      <c r="N13" s="205">
        <f t="shared" si="4"/>
        <v>0.29875327465685891</v>
      </c>
      <c r="O13" s="205">
        <f t="shared" si="4"/>
        <v>0.2942782136256471</v>
      </c>
      <c r="P13" s="205">
        <f t="shared" si="4"/>
        <v>0.28983811369023682</v>
      </c>
      <c r="Q13" s="205">
        <f t="shared" si="4"/>
        <v>0.28543360929293687</v>
      </c>
      <c r="R13" s="271">
        <f t="shared" si="4"/>
        <v>0.28500570221460925</v>
      </c>
    </row>
    <row r="14" spans="2:18">
      <c r="B14" s="278" t="s">
        <v>119</v>
      </c>
      <c r="C14" s="205">
        <f t="shared" ref="C14:R14" si="5">C6/C$8</f>
        <v>0.17690162410455515</v>
      </c>
      <c r="D14" s="205">
        <f t="shared" si="5"/>
        <v>0.17969260954872465</v>
      </c>
      <c r="E14" s="205">
        <f t="shared" si="5"/>
        <v>0.18294925889862598</v>
      </c>
      <c r="F14" s="205">
        <f t="shared" si="5"/>
        <v>0.17842818428184282</v>
      </c>
      <c r="G14" s="205">
        <f t="shared" si="5"/>
        <v>0.15773249738766981</v>
      </c>
      <c r="H14" s="205">
        <f t="shared" si="5"/>
        <v>0.15802469135802469</v>
      </c>
      <c r="I14" s="205">
        <f t="shared" si="5"/>
        <v>0.16138785625774474</v>
      </c>
      <c r="J14" s="205">
        <f t="shared" si="5"/>
        <v>0.16660956389799814</v>
      </c>
      <c r="K14" s="206">
        <f t="shared" si="5"/>
        <v>0.16738891404178255</v>
      </c>
      <c r="L14" s="207">
        <f t="shared" si="5"/>
        <v>0.16067415730337078</v>
      </c>
      <c r="M14" s="205">
        <f t="shared" si="5"/>
        <v>0.16036361166943272</v>
      </c>
      <c r="N14" s="205">
        <f t="shared" si="5"/>
        <v>0.15748968724367665</v>
      </c>
      <c r="O14" s="205">
        <f t="shared" si="5"/>
        <v>0.15969329598259294</v>
      </c>
      <c r="P14" s="205">
        <f t="shared" si="5"/>
        <v>0.16190982203351956</v>
      </c>
      <c r="Q14" s="205">
        <f t="shared" si="5"/>
        <v>0.16413905825189914</v>
      </c>
      <c r="R14" s="271">
        <f t="shared" si="5"/>
        <v>0.16546888372577975</v>
      </c>
    </row>
    <row r="15" spans="2:18" ht="17" thickBot="1">
      <c r="B15" s="280" t="s">
        <v>137</v>
      </c>
      <c r="C15" s="273">
        <f t="shared" ref="C15:R15" si="6">C7/C$8</f>
        <v>2.1326625471646526E-3</v>
      </c>
      <c r="D15" s="273">
        <f t="shared" si="6"/>
        <v>2.2345759755831697E-3</v>
      </c>
      <c r="E15" s="273">
        <f t="shared" si="6"/>
        <v>2.8129395218002813E-3</v>
      </c>
      <c r="F15" s="273">
        <f t="shared" si="6"/>
        <v>3.0894308943089431E-3</v>
      </c>
      <c r="G15" s="273">
        <f t="shared" si="6"/>
        <v>3.3437826541274818E-3</v>
      </c>
      <c r="H15" s="273">
        <f t="shared" si="6"/>
        <v>3.4465020576131687E-3</v>
      </c>
      <c r="I15" s="273">
        <f t="shared" si="6"/>
        <v>2.6765799256505576E-3</v>
      </c>
      <c r="J15" s="273">
        <f t="shared" si="6"/>
        <v>2.2514805932161912E-3</v>
      </c>
      <c r="K15" s="274">
        <f t="shared" si="6"/>
        <v>2.19908156005433E-3</v>
      </c>
      <c r="L15" s="275">
        <f t="shared" si="6"/>
        <v>2.313284864507601E-3</v>
      </c>
      <c r="M15" s="273">
        <f t="shared" si="6"/>
        <v>2.3053998227348009E-3</v>
      </c>
      <c r="N15" s="273">
        <f t="shared" si="6"/>
        <v>2.2196902553258675E-3</v>
      </c>
      <c r="O15" s="273">
        <f t="shared" si="6"/>
        <v>2.1435698524726178E-3</v>
      </c>
      <c r="P15" s="273">
        <f t="shared" si="6"/>
        <v>2.0698308335348648E-3</v>
      </c>
      <c r="Q15" s="273">
        <f t="shared" si="6"/>
        <v>1.9984086231880308E-3</v>
      </c>
      <c r="R15" s="276">
        <f t="shared" si="6"/>
        <v>1.9186660710777148E-3</v>
      </c>
    </row>
    <row r="16" spans="2:18">
      <c r="K16" s="188"/>
      <c r="L16" s="189"/>
    </row>
    <row r="17" spans="2:21" ht="17" thickBot="1">
      <c r="K17" s="200"/>
      <c r="L17" s="201"/>
    </row>
    <row r="18" spans="2:21" ht="17" thickBot="1">
      <c r="B18" s="186" t="s">
        <v>1552</v>
      </c>
      <c r="C18" s="208">
        <v>2016</v>
      </c>
      <c r="D18" s="208">
        <v>2017</v>
      </c>
      <c r="E18" s="208">
        <v>2018</v>
      </c>
      <c r="F18" s="208">
        <v>2019</v>
      </c>
      <c r="G18" s="208">
        <v>2020</v>
      </c>
      <c r="H18" s="208">
        <v>2021</v>
      </c>
      <c r="I18" s="208">
        <v>2022</v>
      </c>
      <c r="J18" s="208">
        <v>2023</v>
      </c>
      <c r="K18" s="186" t="s">
        <v>187</v>
      </c>
      <c r="L18" s="187" t="s">
        <v>188</v>
      </c>
      <c r="M18" s="208" t="s">
        <v>178</v>
      </c>
      <c r="N18" s="208" t="s">
        <v>179</v>
      </c>
      <c r="O18" s="208" t="s">
        <v>180</v>
      </c>
      <c r="P18" s="208" t="s">
        <v>181</v>
      </c>
      <c r="Q18" s="208" t="s">
        <v>182</v>
      </c>
      <c r="R18" s="187" t="s">
        <v>183</v>
      </c>
    </row>
    <row r="19" spans="2:21">
      <c r="B19" s="209"/>
      <c r="K19" s="188"/>
      <c r="L19" s="189"/>
      <c r="R19" s="210"/>
    </row>
    <row r="20" spans="2:21">
      <c r="B20" s="211" t="s">
        <v>110</v>
      </c>
      <c r="C20" s="191" t="s">
        <v>1553</v>
      </c>
      <c r="D20" s="212">
        <f t="shared" ref="D20:J20" si="7">D4/C4-1</f>
        <v>3.537475127127987E-3</v>
      </c>
      <c r="E20" s="212">
        <f t="shared" si="7"/>
        <v>-4.5164133068957835E-3</v>
      </c>
      <c r="F20" s="212">
        <f t="shared" si="7"/>
        <v>7.8565895761868454E-3</v>
      </c>
      <c r="G20" s="212">
        <f t="shared" si="7"/>
        <v>2.5362318840579601E-2</v>
      </c>
      <c r="H20" s="212">
        <f t="shared" si="7"/>
        <v>9.9368240710996814E-2</v>
      </c>
      <c r="I20" s="212">
        <f t="shared" si="7"/>
        <v>3.4576799454563156E-2</v>
      </c>
      <c r="J20" s="212">
        <f t="shared" si="7"/>
        <v>6.4959517981548753E-3</v>
      </c>
      <c r="K20" s="192"/>
      <c r="L20" s="213">
        <v>-6.0576090987760622E-3</v>
      </c>
      <c r="M20" s="212">
        <f>M4/J4-1</f>
        <v>-5.0000000000000044E-3</v>
      </c>
      <c r="N20" s="212">
        <f>N4/M4-1</f>
        <v>5.4999999999999938E-2</v>
      </c>
      <c r="O20" s="212">
        <f>O4/N4-1</f>
        <v>4.0000000000000036E-2</v>
      </c>
      <c r="P20" s="212">
        <f>P4/O4-1</f>
        <v>4.0000000000000036E-2</v>
      </c>
      <c r="Q20" s="212">
        <f>Q4/P4-1</f>
        <v>4.0000000000000036E-2</v>
      </c>
      <c r="R20" s="214">
        <f>R4/Q4-1</f>
        <v>4.0000000000000036E-2</v>
      </c>
      <c r="T20" s="184" t="s">
        <v>1523</v>
      </c>
    </row>
    <row r="21" spans="2:21">
      <c r="B21" s="215" t="s">
        <v>106</v>
      </c>
      <c r="C21" s="184" t="s">
        <v>1554</v>
      </c>
      <c r="D21" s="184">
        <v>1</v>
      </c>
      <c r="E21" s="184">
        <v>1</v>
      </c>
      <c r="F21" s="184">
        <v>1</v>
      </c>
      <c r="G21" s="184">
        <v>4</v>
      </c>
      <c r="H21" s="184">
        <v>2</v>
      </c>
      <c r="I21" s="184">
        <v>-3</v>
      </c>
      <c r="J21" s="184">
        <v>-1</v>
      </c>
      <c r="K21" s="188"/>
      <c r="L21" s="189">
        <v>1</v>
      </c>
      <c r="M21" s="247">
        <v>1</v>
      </c>
      <c r="N21" s="247">
        <v>1</v>
      </c>
      <c r="O21" s="247">
        <v>1</v>
      </c>
      <c r="P21" s="247">
        <v>1</v>
      </c>
      <c r="Q21" s="247">
        <v>1</v>
      </c>
      <c r="R21" s="248">
        <v>1</v>
      </c>
      <c r="T21" s="216">
        <f>AVERAGE(D21,E21,F21,I21,J21,L21)</f>
        <v>0</v>
      </c>
    </row>
    <row r="22" spans="2:21">
      <c r="B22" s="215" t="s">
        <v>138</v>
      </c>
      <c r="D22" s="184">
        <v>-2</v>
      </c>
      <c r="E22" s="184">
        <v>-1</v>
      </c>
      <c r="F22" s="184">
        <v>3</v>
      </c>
      <c r="G22" s="184">
        <v>0</v>
      </c>
      <c r="H22" s="184">
        <v>2</v>
      </c>
      <c r="I22" s="184">
        <v>8</v>
      </c>
      <c r="J22" s="184">
        <v>5</v>
      </c>
      <c r="K22" s="188"/>
      <c r="L22" s="189">
        <v>5</v>
      </c>
      <c r="M22" s="247">
        <v>5</v>
      </c>
      <c r="N22" s="247">
        <v>3.5</v>
      </c>
      <c r="O22" s="247">
        <v>2</v>
      </c>
      <c r="P22" s="247">
        <v>2</v>
      </c>
      <c r="Q22" s="247">
        <v>2</v>
      </c>
      <c r="R22" s="248">
        <v>2</v>
      </c>
      <c r="T22" s="216">
        <f t="shared" ref="T22:T27" si="8">AVERAGE(D22,E22,F22,I22,J22,L22)</f>
        <v>3</v>
      </c>
    </row>
    <row r="23" spans="2:21">
      <c r="B23" s="215" t="s">
        <v>78</v>
      </c>
      <c r="D23" s="184">
        <v>1</v>
      </c>
      <c r="E23" s="184">
        <v>1</v>
      </c>
      <c r="F23" s="184">
        <v>1</v>
      </c>
      <c r="G23" s="184">
        <v>1</v>
      </c>
      <c r="H23" s="184">
        <v>2</v>
      </c>
      <c r="I23" s="184">
        <v>2</v>
      </c>
      <c r="J23" s="184">
        <v>1</v>
      </c>
      <c r="K23" s="188"/>
      <c r="L23" s="217">
        <v>1</v>
      </c>
      <c r="M23" s="247">
        <v>1</v>
      </c>
      <c r="N23" s="247">
        <v>1</v>
      </c>
      <c r="O23" s="247">
        <v>1</v>
      </c>
      <c r="P23" s="247">
        <v>1</v>
      </c>
      <c r="Q23" s="247">
        <v>1</v>
      </c>
      <c r="R23" s="248">
        <v>1</v>
      </c>
      <c r="T23" s="216">
        <f t="shared" si="8"/>
        <v>1.1666666666666667</v>
      </c>
    </row>
    <row r="24" spans="2:21">
      <c r="B24" s="215" t="s">
        <v>265</v>
      </c>
      <c r="D24" s="184">
        <v>0</v>
      </c>
      <c r="E24" s="184">
        <v>0</v>
      </c>
      <c r="F24" s="184">
        <v>0</v>
      </c>
      <c r="G24" s="184">
        <v>1</v>
      </c>
      <c r="H24" s="184">
        <v>3</v>
      </c>
      <c r="I24" s="184">
        <v>0</v>
      </c>
      <c r="J24" s="184">
        <v>0</v>
      </c>
      <c r="K24" s="188"/>
      <c r="L24" s="189">
        <v>0</v>
      </c>
      <c r="M24" s="247">
        <v>0</v>
      </c>
      <c r="N24" s="247">
        <v>0</v>
      </c>
      <c r="O24" s="247">
        <v>0</v>
      </c>
      <c r="P24" s="247">
        <v>0</v>
      </c>
      <c r="Q24" s="247">
        <v>0</v>
      </c>
      <c r="R24" s="248">
        <v>0</v>
      </c>
      <c r="T24" s="216">
        <f t="shared" si="8"/>
        <v>0</v>
      </c>
    </row>
    <row r="25" spans="2:21" ht="17" thickBot="1">
      <c r="B25" s="215" t="s">
        <v>109</v>
      </c>
      <c r="D25" s="198">
        <v>1</v>
      </c>
      <c r="E25" s="198">
        <v>-2</v>
      </c>
      <c r="F25" s="198">
        <v>-4</v>
      </c>
      <c r="G25" s="198">
        <v>-4</v>
      </c>
      <c r="H25" s="198">
        <v>1</v>
      </c>
      <c r="I25" s="198">
        <v>-3</v>
      </c>
      <c r="J25" s="198">
        <v>-5</v>
      </c>
      <c r="K25" s="200"/>
      <c r="L25" s="201">
        <v>-8</v>
      </c>
      <c r="M25" s="249">
        <v>-7.5</v>
      </c>
      <c r="N25" s="249">
        <v>0</v>
      </c>
      <c r="O25" s="249">
        <v>0</v>
      </c>
      <c r="P25" s="249">
        <v>0</v>
      </c>
      <c r="Q25" s="249">
        <v>0</v>
      </c>
      <c r="R25" s="250">
        <v>0</v>
      </c>
      <c r="T25" s="216">
        <f t="shared" si="8"/>
        <v>-3.5</v>
      </c>
    </row>
    <row r="26" spans="2:21" ht="17" thickBot="1">
      <c r="B26" s="218" t="s">
        <v>115</v>
      </c>
      <c r="D26" s="219">
        <v>0</v>
      </c>
      <c r="E26" s="219">
        <v>0</v>
      </c>
      <c r="F26" s="219">
        <v>1</v>
      </c>
      <c r="G26" s="219">
        <v>3</v>
      </c>
      <c r="H26" s="219">
        <v>10</v>
      </c>
      <c r="I26" s="219">
        <v>3</v>
      </c>
      <c r="J26" s="219">
        <v>1</v>
      </c>
      <c r="K26" s="220"/>
      <c r="L26" s="221">
        <v>-1</v>
      </c>
      <c r="M26" s="222">
        <f>CHOOSE(Cover!$G$10,M28,M29,M30)</f>
        <v>-0.5</v>
      </c>
      <c r="N26" s="222">
        <f>CHOOSE(Cover!$G$10,N28,N29,N30)</f>
        <v>5.5</v>
      </c>
      <c r="O26" s="222">
        <f>CHOOSE(Cover!$G$10,O28,O29,O30)</f>
        <v>4</v>
      </c>
      <c r="P26" s="222">
        <f>CHOOSE(Cover!$G$10,P28,P29,P30)</f>
        <v>4</v>
      </c>
      <c r="Q26" s="222">
        <f>CHOOSE(Cover!$G$10,Q28,Q29,Q30)</f>
        <v>4</v>
      </c>
      <c r="R26" s="223">
        <f>CHOOSE(Cover!$G$10,R28,R29,R30)</f>
        <v>4</v>
      </c>
      <c r="T26" s="216">
        <f t="shared" si="8"/>
        <v>0.66666666666666663</v>
      </c>
    </row>
    <row r="27" spans="2:21">
      <c r="B27" s="224" t="s">
        <v>266</v>
      </c>
      <c r="C27" s="225"/>
      <c r="D27" s="226">
        <v>-1</v>
      </c>
      <c r="E27" s="226">
        <v>1</v>
      </c>
      <c r="F27" s="226">
        <v>5</v>
      </c>
      <c r="G27" s="226">
        <v>5</v>
      </c>
      <c r="H27" s="226">
        <v>6</v>
      </c>
      <c r="I27" s="226">
        <v>7</v>
      </c>
      <c r="J27" s="226">
        <v>5</v>
      </c>
      <c r="K27" s="227"/>
      <c r="L27" s="228">
        <v>7</v>
      </c>
      <c r="M27" s="251">
        <f>SUM(M21:M23)</f>
        <v>7</v>
      </c>
      <c r="N27" s="251">
        <f t="shared" ref="N27:R27" si="9">SUM(N21:N23)</f>
        <v>5.5</v>
      </c>
      <c r="O27" s="251">
        <f t="shared" si="9"/>
        <v>4</v>
      </c>
      <c r="P27" s="251">
        <f t="shared" si="9"/>
        <v>4</v>
      </c>
      <c r="Q27" s="251">
        <f t="shared" si="9"/>
        <v>4</v>
      </c>
      <c r="R27" s="252">
        <f t="shared" si="9"/>
        <v>4</v>
      </c>
      <c r="T27" s="216">
        <f t="shared" si="8"/>
        <v>4</v>
      </c>
    </row>
    <row r="28" spans="2:21">
      <c r="B28" s="229"/>
      <c r="K28" s="188"/>
      <c r="L28" s="189"/>
      <c r="M28" s="666">
        <f t="shared" ref="M28:R28" si="10">M29-$T$28</f>
        <v>-2.5</v>
      </c>
      <c r="N28" s="666">
        <f t="shared" si="10"/>
        <v>3.5</v>
      </c>
      <c r="O28" s="666">
        <f t="shared" si="10"/>
        <v>2</v>
      </c>
      <c r="P28" s="666">
        <f t="shared" si="10"/>
        <v>2</v>
      </c>
      <c r="Q28" s="666">
        <f t="shared" si="10"/>
        <v>2</v>
      </c>
      <c r="R28" s="667">
        <f t="shared" si="10"/>
        <v>2</v>
      </c>
      <c r="S28" s="184" t="s">
        <v>1525</v>
      </c>
      <c r="T28" s="216">
        <v>2</v>
      </c>
      <c r="U28" s="184" t="s">
        <v>1527</v>
      </c>
    </row>
    <row r="29" spans="2:21">
      <c r="B29" s="229"/>
      <c r="K29" s="188"/>
      <c r="L29" s="189"/>
      <c r="M29" s="666">
        <f t="shared" ref="M29:R29" si="11">SUM(M21:M25)</f>
        <v>-0.5</v>
      </c>
      <c r="N29" s="666">
        <f t="shared" si="11"/>
        <v>5.5</v>
      </c>
      <c r="O29" s="666">
        <f t="shared" si="11"/>
        <v>4</v>
      </c>
      <c r="P29" s="666">
        <f t="shared" si="11"/>
        <v>4</v>
      </c>
      <c r="Q29" s="666">
        <f t="shared" si="11"/>
        <v>4</v>
      </c>
      <c r="R29" s="667">
        <f t="shared" si="11"/>
        <v>4</v>
      </c>
      <c r="S29" s="184" t="s">
        <v>1524</v>
      </c>
      <c r="T29" s="216"/>
    </row>
    <row r="30" spans="2:21">
      <c r="B30" s="229"/>
      <c r="K30" s="188"/>
      <c r="L30" s="189"/>
      <c r="M30" s="666">
        <f t="shared" ref="M30:R30" si="12">M29+$T$30</f>
        <v>0.5</v>
      </c>
      <c r="N30" s="666">
        <f t="shared" si="12"/>
        <v>6.5</v>
      </c>
      <c r="O30" s="666">
        <f t="shared" si="12"/>
        <v>5</v>
      </c>
      <c r="P30" s="666">
        <f t="shared" si="12"/>
        <v>5</v>
      </c>
      <c r="Q30" s="666">
        <f t="shared" si="12"/>
        <v>5</v>
      </c>
      <c r="R30" s="667">
        <f t="shared" si="12"/>
        <v>5</v>
      </c>
      <c r="S30" s="184" t="s">
        <v>1526</v>
      </c>
      <c r="T30" s="216">
        <v>1</v>
      </c>
      <c r="U30" s="184" t="s">
        <v>1527</v>
      </c>
    </row>
    <row r="31" spans="2:21">
      <c r="B31" s="229"/>
      <c r="K31" s="188"/>
      <c r="L31" s="189"/>
      <c r="M31" s="230"/>
      <c r="N31" s="230"/>
      <c r="O31" s="230"/>
      <c r="P31" s="230"/>
      <c r="Q31" s="230"/>
      <c r="R31" s="231"/>
    </row>
    <row r="32" spans="2:21">
      <c r="B32" s="232" t="s">
        <v>117</v>
      </c>
      <c r="C32" s="191" t="s">
        <v>1553</v>
      </c>
      <c r="D32" s="212">
        <f t="shared" ref="D32:J32" si="13">D5/C5-1</f>
        <v>-5.8655941008882717E-3</v>
      </c>
      <c r="E32" s="212">
        <f t="shared" si="13"/>
        <v>1.3991908293998545E-2</v>
      </c>
      <c r="F32" s="212">
        <f t="shared" si="13"/>
        <v>-3.6575228595179254E-3</v>
      </c>
      <c r="G32" s="212">
        <f t="shared" si="13"/>
        <v>0.1209744702152511</v>
      </c>
      <c r="H32" s="212">
        <f t="shared" si="13"/>
        <v>-0.10181601667162843</v>
      </c>
      <c r="I32" s="212">
        <f t="shared" si="13"/>
        <v>3.4637056678820111E-2</v>
      </c>
      <c r="J32" s="212">
        <f t="shared" si="13"/>
        <v>7.5284318436648068E-3</v>
      </c>
      <c r="K32" s="192"/>
      <c r="L32" s="213">
        <v>-2.6526315789473731E-2</v>
      </c>
      <c r="M32" s="212">
        <f>M5/J5-1</f>
        <v>-3.5000000000000142E-2</v>
      </c>
      <c r="N32" s="212">
        <f>N5/M5-1</f>
        <v>2.0000000000000018E-2</v>
      </c>
      <c r="O32" s="212">
        <f>O5/N5-1</f>
        <v>2.0000000000000018E-2</v>
      </c>
      <c r="P32" s="212">
        <f>P5/O5-1</f>
        <v>2.0000000000000018E-2</v>
      </c>
      <c r="Q32" s="212">
        <f>Q5/P5-1</f>
        <v>2.0000000000000018E-2</v>
      </c>
      <c r="R32" s="214">
        <f>R5/Q5-1</f>
        <v>4.0000000000000036E-2</v>
      </c>
    </row>
    <row r="33" spans="2:21">
      <c r="B33" s="233" t="s">
        <v>106</v>
      </c>
      <c r="C33" s="184" t="s">
        <v>1554</v>
      </c>
      <c r="D33" s="184">
        <v>0</v>
      </c>
      <c r="E33" s="184">
        <v>-1</v>
      </c>
      <c r="F33" s="184">
        <v>-3</v>
      </c>
      <c r="G33" s="184">
        <v>12</v>
      </c>
      <c r="H33" s="184">
        <v>-11</v>
      </c>
      <c r="I33" s="184">
        <v>-1</v>
      </c>
      <c r="J33" s="184">
        <v>-3</v>
      </c>
      <c r="K33" s="188"/>
      <c r="L33" s="189">
        <v>0</v>
      </c>
      <c r="M33" s="247">
        <v>-1</v>
      </c>
      <c r="N33" s="247">
        <v>0</v>
      </c>
      <c r="O33" s="247">
        <v>0</v>
      </c>
      <c r="P33" s="247">
        <v>0</v>
      </c>
      <c r="Q33" s="247">
        <v>0</v>
      </c>
      <c r="R33" s="248">
        <v>0</v>
      </c>
      <c r="T33" s="216">
        <f>AVERAGE(D33,E33,F33,I33,J33,L33)</f>
        <v>-1.3333333333333333</v>
      </c>
    </row>
    <row r="34" spans="2:21">
      <c r="B34" s="233" t="s">
        <v>138</v>
      </c>
      <c r="D34" s="184">
        <v>-1</v>
      </c>
      <c r="E34" s="184">
        <v>2</v>
      </c>
      <c r="F34" s="184">
        <v>5</v>
      </c>
      <c r="G34" s="184">
        <v>2</v>
      </c>
      <c r="H34" s="184">
        <v>0</v>
      </c>
      <c r="I34" s="184">
        <v>8</v>
      </c>
      <c r="J34" s="184">
        <v>6</v>
      </c>
      <c r="K34" s="188"/>
      <c r="L34" s="189">
        <v>-1</v>
      </c>
      <c r="M34" s="247">
        <v>-0.5</v>
      </c>
      <c r="N34" s="247">
        <v>2</v>
      </c>
      <c r="O34" s="247">
        <v>2</v>
      </c>
      <c r="P34" s="247">
        <v>2</v>
      </c>
      <c r="Q34" s="247">
        <v>2</v>
      </c>
      <c r="R34" s="248">
        <v>2</v>
      </c>
      <c r="T34" s="216">
        <f t="shared" ref="T34:T39" si="14">AVERAGE(D34,E34,F34,I34,J34,L34)</f>
        <v>3.1666666666666665</v>
      </c>
    </row>
    <row r="35" spans="2:21">
      <c r="B35" s="233" t="s">
        <v>78</v>
      </c>
      <c r="D35" s="184">
        <v>0</v>
      </c>
      <c r="E35" s="184">
        <v>0</v>
      </c>
      <c r="F35" s="184">
        <v>0</v>
      </c>
      <c r="G35" s="184">
        <v>-1</v>
      </c>
      <c r="H35" s="184">
        <v>-1</v>
      </c>
      <c r="I35" s="184">
        <v>0</v>
      </c>
      <c r="J35" s="184">
        <v>0</v>
      </c>
      <c r="K35" s="188"/>
      <c r="L35" s="217">
        <v>0</v>
      </c>
      <c r="M35" s="247">
        <v>0</v>
      </c>
      <c r="N35" s="247">
        <v>0</v>
      </c>
      <c r="O35" s="247">
        <v>0</v>
      </c>
      <c r="P35" s="247">
        <v>0</v>
      </c>
      <c r="Q35" s="247">
        <v>0</v>
      </c>
      <c r="R35" s="248">
        <v>0</v>
      </c>
      <c r="T35" s="216">
        <f t="shared" si="14"/>
        <v>0</v>
      </c>
    </row>
    <row r="36" spans="2:21">
      <c r="B36" s="233" t="s">
        <v>169</v>
      </c>
      <c r="D36" s="184">
        <v>0</v>
      </c>
      <c r="E36" s="184">
        <v>0</v>
      </c>
      <c r="F36" s="184">
        <v>0</v>
      </c>
      <c r="G36" s="184">
        <v>0</v>
      </c>
      <c r="H36" s="184">
        <v>0</v>
      </c>
      <c r="I36" s="184">
        <v>0</v>
      </c>
      <c r="J36" s="184">
        <v>-2</v>
      </c>
      <c r="K36" s="188"/>
      <c r="L36" s="189">
        <v>-2</v>
      </c>
      <c r="M36" s="247">
        <v>-2</v>
      </c>
      <c r="N36" s="247">
        <v>0</v>
      </c>
      <c r="O36" s="247">
        <v>0</v>
      </c>
      <c r="P36" s="247">
        <v>0</v>
      </c>
      <c r="Q36" s="247">
        <v>0</v>
      </c>
      <c r="R36" s="248">
        <v>0</v>
      </c>
      <c r="T36" s="216">
        <f t="shared" si="14"/>
        <v>-0.66666666666666663</v>
      </c>
    </row>
    <row r="37" spans="2:21" ht="17" thickBot="1">
      <c r="B37" s="233" t="s">
        <v>109</v>
      </c>
      <c r="D37" s="198">
        <v>1</v>
      </c>
      <c r="E37" s="198">
        <v>0</v>
      </c>
      <c r="F37" s="198">
        <v>-3</v>
      </c>
      <c r="G37" s="198">
        <v>-1</v>
      </c>
      <c r="H37" s="198">
        <v>1</v>
      </c>
      <c r="I37" s="198">
        <v>-4</v>
      </c>
      <c r="J37" s="198">
        <v>-1</v>
      </c>
      <c r="K37" s="200"/>
      <c r="L37" s="201">
        <v>0</v>
      </c>
      <c r="M37" s="249">
        <v>0</v>
      </c>
      <c r="N37" s="249">
        <v>0</v>
      </c>
      <c r="O37" s="249">
        <v>0</v>
      </c>
      <c r="P37" s="249">
        <v>0</v>
      </c>
      <c r="Q37" s="249">
        <v>0</v>
      </c>
      <c r="R37" s="250">
        <v>0</v>
      </c>
      <c r="T37" s="216">
        <f t="shared" si="14"/>
        <v>-1.1666666666666667</v>
      </c>
    </row>
    <row r="38" spans="2:21" ht="17" thickBot="1">
      <c r="B38" s="218" t="s">
        <v>115</v>
      </c>
      <c r="D38" s="198">
        <v>-1</v>
      </c>
      <c r="E38" s="198">
        <v>1</v>
      </c>
      <c r="F38" s="198">
        <v>0</v>
      </c>
      <c r="G38" s="198">
        <v>12</v>
      </c>
      <c r="H38" s="198">
        <v>-10</v>
      </c>
      <c r="I38" s="198">
        <v>3</v>
      </c>
      <c r="J38" s="198">
        <v>1</v>
      </c>
      <c r="K38" s="200"/>
      <c r="L38" s="201">
        <v>-3</v>
      </c>
      <c r="M38" s="234">
        <f>CHOOSE(Cover!$G$16,M40,M41,M42)</f>
        <v>-3.5</v>
      </c>
      <c r="N38" s="234">
        <f>CHOOSE(Cover!$G$16,N40,N41,N42)</f>
        <v>2</v>
      </c>
      <c r="O38" s="234">
        <f>CHOOSE(Cover!$G$16,O40,O41,O42)</f>
        <v>2</v>
      </c>
      <c r="P38" s="234">
        <f>CHOOSE(Cover!$G$16,P40,P41,P42)</f>
        <v>2</v>
      </c>
      <c r="Q38" s="234">
        <f>CHOOSE(Cover!$G$16,Q40,Q41,Q42)</f>
        <v>2</v>
      </c>
      <c r="R38" s="235">
        <f>CHOOSE(Cover!$G$16,R40,R41,R42)</f>
        <v>4</v>
      </c>
      <c r="T38" s="216">
        <f t="shared" si="14"/>
        <v>0.16666666666666666</v>
      </c>
    </row>
    <row r="39" spans="2:21">
      <c r="B39" s="236" t="s">
        <v>266</v>
      </c>
      <c r="C39" s="225"/>
      <c r="D39" s="226">
        <v>-1</v>
      </c>
      <c r="E39" s="226">
        <v>1</v>
      </c>
      <c r="F39" s="226">
        <v>2</v>
      </c>
      <c r="G39" s="226">
        <v>13</v>
      </c>
      <c r="H39" s="226">
        <v>-11</v>
      </c>
      <c r="I39" s="226">
        <v>7</v>
      </c>
      <c r="J39" s="226">
        <v>3</v>
      </c>
      <c r="K39" s="227"/>
      <c r="L39" s="228">
        <v>-1</v>
      </c>
      <c r="M39" s="251">
        <f>SUM(M33:M35)</f>
        <v>-1.5</v>
      </c>
      <c r="N39" s="251">
        <f t="shared" ref="N39:R39" si="15">SUM(N33:N35)</f>
        <v>2</v>
      </c>
      <c r="O39" s="251">
        <f t="shared" si="15"/>
        <v>2</v>
      </c>
      <c r="P39" s="251">
        <f t="shared" si="15"/>
        <v>2</v>
      </c>
      <c r="Q39" s="251">
        <f t="shared" si="15"/>
        <v>2</v>
      </c>
      <c r="R39" s="252">
        <f t="shared" si="15"/>
        <v>2</v>
      </c>
      <c r="T39" s="216">
        <f t="shared" si="14"/>
        <v>1.8333333333333333</v>
      </c>
    </row>
    <row r="40" spans="2:21">
      <c r="B40" s="237"/>
      <c r="K40" s="188"/>
      <c r="L40" s="189"/>
      <c r="M40" s="666">
        <f>M41-$T$40</f>
        <v>-4.5</v>
      </c>
      <c r="N40" s="666">
        <f>N41-$T$28</f>
        <v>0</v>
      </c>
      <c r="O40" s="666">
        <f>O41-$T$28</f>
        <v>0</v>
      </c>
      <c r="P40" s="666">
        <f>P41-$T$28</f>
        <v>0</v>
      </c>
      <c r="Q40" s="666">
        <f>Q41-$T$28</f>
        <v>0</v>
      </c>
      <c r="R40" s="667">
        <f t="shared" ref="R40:R41" si="16">R39+$T$42</f>
        <v>3</v>
      </c>
      <c r="S40" s="184" t="s">
        <v>1525</v>
      </c>
      <c r="T40" s="216">
        <v>1</v>
      </c>
      <c r="U40" s="184" t="s">
        <v>1527</v>
      </c>
    </row>
    <row r="41" spans="2:21">
      <c r="B41" s="237"/>
      <c r="K41" s="188"/>
      <c r="L41" s="189"/>
      <c r="M41" s="666">
        <f>SUM(M33:M37)</f>
        <v>-3.5</v>
      </c>
      <c r="N41" s="666">
        <f t="shared" ref="N41:P41" si="17">SUM(N33:N37)</f>
        <v>2</v>
      </c>
      <c r="O41" s="666">
        <f t="shared" si="17"/>
        <v>2</v>
      </c>
      <c r="P41" s="666">
        <f t="shared" si="17"/>
        <v>2</v>
      </c>
      <c r="Q41" s="666">
        <f>SUM(Q33:Q37)</f>
        <v>2</v>
      </c>
      <c r="R41" s="667">
        <f t="shared" si="16"/>
        <v>4</v>
      </c>
      <c r="S41" s="184" t="s">
        <v>1524</v>
      </c>
      <c r="T41" s="216"/>
    </row>
    <row r="42" spans="2:21">
      <c r="B42" s="237"/>
      <c r="K42" s="188"/>
      <c r="L42" s="189"/>
      <c r="M42" s="666">
        <f t="shared" ref="M42:R42" si="18">M41+$T$42</f>
        <v>-2.5</v>
      </c>
      <c r="N42" s="666">
        <f t="shared" si="18"/>
        <v>3</v>
      </c>
      <c r="O42" s="666">
        <f t="shared" si="18"/>
        <v>3</v>
      </c>
      <c r="P42" s="666">
        <f t="shared" si="18"/>
        <v>3</v>
      </c>
      <c r="Q42" s="666">
        <f t="shared" si="18"/>
        <v>3</v>
      </c>
      <c r="R42" s="667">
        <f t="shared" si="18"/>
        <v>5</v>
      </c>
      <c r="S42" s="184" t="s">
        <v>1526</v>
      </c>
      <c r="T42" s="216">
        <v>1</v>
      </c>
      <c r="U42" s="184" t="s">
        <v>1527</v>
      </c>
    </row>
    <row r="43" spans="2:21">
      <c r="B43" s="237"/>
      <c r="K43" s="188"/>
      <c r="L43" s="189"/>
      <c r="M43" s="230"/>
      <c r="N43" s="230"/>
      <c r="O43" s="230"/>
      <c r="P43" s="230"/>
      <c r="Q43" s="230"/>
      <c r="R43" s="231"/>
      <c r="T43" s="216"/>
    </row>
    <row r="44" spans="2:21">
      <c r="B44" s="238" t="s">
        <v>119</v>
      </c>
      <c r="C44" s="191" t="s">
        <v>1553</v>
      </c>
      <c r="D44" s="212">
        <f t="shared" ref="D44:J44" si="19">D6/C6-1</f>
        <v>1.9165378670788158E-2</v>
      </c>
      <c r="E44" s="212">
        <f t="shared" si="19"/>
        <v>2.5781013042159628E-2</v>
      </c>
      <c r="F44" s="212">
        <f t="shared" si="19"/>
        <v>-2.6611472501478439E-2</v>
      </c>
      <c r="G44" s="212">
        <f t="shared" si="19"/>
        <v>-8.2928311057108184E-2</v>
      </c>
      <c r="H44" s="212">
        <f t="shared" si="19"/>
        <v>1.7555481947664875E-2</v>
      </c>
      <c r="I44" s="212">
        <f t="shared" si="19"/>
        <v>5.9895833333333259E-2</v>
      </c>
      <c r="J44" s="212">
        <f t="shared" si="19"/>
        <v>4.5454545454545414E-2</v>
      </c>
      <c r="K44" s="192"/>
      <c r="L44" s="213">
        <v>-6.0664605873261168E-2</v>
      </c>
      <c r="M44" s="212">
        <f>M6/J6-1</f>
        <v>-6.0000000000000053E-2</v>
      </c>
      <c r="N44" s="212">
        <f>N6/M6-1</f>
        <v>2.0000000000000018E-2</v>
      </c>
      <c r="O44" s="212">
        <f>O6/N6-1</f>
        <v>5.0000000000000044E-2</v>
      </c>
      <c r="P44" s="212">
        <f>P6/O6-1</f>
        <v>5.0000000000000044E-2</v>
      </c>
      <c r="Q44" s="212">
        <f>Q6/P6-1</f>
        <v>5.0000000000000044E-2</v>
      </c>
      <c r="R44" s="214">
        <f>R6/Q6-1</f>
        <v>5.0000000000000044E-2</v>
      </c>
    </row>
    <row r="45" spans="2:21">
      <c r="B45" s="233" t="s">
        <v>106</v>
      </c>
      <c r="C45" s="184" t="s">
        <v>1554</v>
      </c>
      <c r="D45" s="184">
        <v>1</v>
      </c>
      <c r="E45" s="184">
        <v>1</v>
      </c>
      <c r="F45" s="184">
        <v>-2</v>
      </c>
      <c r="G45" s="184">
        <v>-11</v>
      </c>
      <c r="H45" s="184">
        <v>-6</v>
      </c>
      <c r="I45" s="184">
        <v>-4</v>
      </c>
      <c r="J45" s="184">
        <v>-5</v>
      </c>
      <c r="K45" s="188"/>
      <c r="L45" s="189">
        <v>-1</v>
      </c>
      <c r="M45" s="247">
        <v>-1</v>
      </c>
      <c r="N45" s="247">
        <v>-1</v>
      </c>
      <c r="O45" s="247">
        <v>0</v>
      </c>
      <c r="P45" s="247">
        <v>0</v>
      </c>
      <c r="Q45" s="247">
        <v>0</v>
      </c>
      <c r="R45" s="248">
        <v>0</v>
      </c>
      <c r="T45" s="216">
        <f>AVERAGE(D45,E45,F45,I45,J45,L45)</f>
        <v>-1.6666666666666667</v>
      </c>
    </row>
    <row r="46" spans="2:21">
      <c r="B46" s="233" t="s">
        <v>138</v>
      </c>
      <c r="D46" s="184">
        <v>-1</v>
      </c>
      <c r="E46" s="184">
        <v>1</v>
      </c>
      <c r="F46" s="184">
        <v>3</v>
      </c>
      <c r="G46" s="184">
        <v>3</v>
      </c>
      <c r="H46" s="184">
        <v>5</v>
      </c>
      <c r="I46" s="184">
        <v>12</v>
      </c>
      <c r="J46" s="184">
        <v>10</v>
      </c>
      <c r="K46" s="188"/>
      <c r="L46" s="189">
        <v>0</v>
      </c>
      <c r="M46" s="247">
        <v>0</v>
      </c>
      <c r="N46" s="247">
        <v>2</v>
      </c>
      <c r="O46" s="247">
        <v>4</v>
      </c>
      <c r="P46" s="247">
        <v>4</v>
      </c>
      <c r="Q46" s="247">
        <v>4</v>
      </c>
      <c r="R46" s="248">
        <v>4</v>
      </c>
      <c r="T46" s="216">
        <f t="shared" ref="T46:T51" si="20">AVERAGE(D46,E46,F46,I46,J46,L46)</f>
        <v>4.166666666666667</v>
      </c>
    </row>
    <row r="47" spans="2:21">
      <c r="B47" s="233" t="s">
        <v>78</v>
      </c>
      <c r="D47" s="184">
        <v>1</v>
      </c>
      <c r="E47" s="184">
        <v>1</v>
      </c>
      <c r="F47" s="184">
        <v>1</v>
      </c>
      <c r="G47" s="184">
        <v>2</v>
      </c>
      <c r="H47" s="184">
        <v>1</v>
      </c>
      <c r="I47" s="184">
        <v>1</v>
      </c>
      <c r="J47" s="184">
        <v>1</v>
      </c>
      <c r="K47" s="188"/>
      <c r="L47" s="217">
        <v>1</v>
      </c>
      <c r="M47" s="247">
        <v>1</v>
      </c>
      <c r="N47" s="247">
        <v>1</v>
      </c>
      <c r="O47" s="247">
        <v>1</v>
      </c>
      <c r="P47" s="247">
        <v>1</v>
      </c>
      <c r="Q47" s="247">
        <v>1</v>
      </c>
      <c r="R47" s="248">
        <v>1</v>
      </c>
      <c r="T47" s="216">
        <f t="shared" si="20"/>
        <v>1</v>
      </c>
    </row>
    <row r="48" spans="2:21">
      <c r="B48" s="233" t="s">
        <v>267</v>
      </c>
      <c r="D48" s="184">
        <v>0</v>
      </c>
      <c r="E48" s="184">
        <v>0</v>
      </c>
      <c r="F48" s="184">
        <v>-2</v>
      </c>
      <c r="G48" s="184">
        <v>0</v>
      </c>
      <c r="H48" s="184">
        <v>0</v>
      </c>
      <c r="I48" s="184">
        <v>0</v>
      </c>
      <c r="J48" s="184">
        <v>-1</v>
      </c>
      <c r="K48" s="188"/>
      <c r="L48" s="189">
        <v>-4</v>
      </c>
      <c r="M48" s="247">
        <v>-4</v>
      </c>
      <c r="N48" s="247">
        <v>0</v>
      </c>
      <c r="O48" s="247">
        <v>0</v>
      </c>
      <c r="P48" s="247">
        <v>0</v>
      </c>
      <c r="Q48" s="247">
        <v>0</v>
      </c>
      <c r="R48" s="248">
        <v>0</v>
      </c>
      <c r="T48" s="216">
        <f t="shared" si="20"/>
        <v>-1.1666666666666667</v>
      </c>
    </row>
    <row r="49" spans="2:21" ht="17" thickBot="1">
      <c r="B49" s="233" t="s">
        <v>109</v>
      </c>
      <c r="D49" s="198">
        <v>1</v>
      </c>
      <c r="E49" s="198">
        <v>0</v>
      </c>
      <c r="F49" s="198">
        <v>-3</v>
      </c>
      <c r="G49" s="198">
        <v>-1</v>
      </c>
      <c r="H49" s="198">
        <v>1</v>
      </c>
      <c r="I49" s="198">
        <v>-4</v>
      </c>
      <c r="J49" s="198">
        <v>-1</v>
      </c>
      <c r="K49" s="200"/>
      <c r="L49" s="201">
        <v>-2</v>
      </c>
      <c r="M49" s="249">
        <v>-2</v>
      </c>
      <c r="N49" s="249">
        <v>0</v>
      </c>
      <c r="O49" s="249">
        <v>0</v>
      </c>
      <c r="P49" s="249">
        <v>0</v>
      </c>
      <c r="Q49" s="249">
        <v>0</v>
      </c>
      <c r="R49" s="250">
        <v>0</v>
      </c>
      <c r="T49" s="216">
        <f t="shared" si="20"/>
        <v>-1.5</v>
      </c>
    </row>
    <row r="50" spans="2:21" ht="17" thickBot="1">
      <c r="B50" s="218" t="s">
        <v>115</v>
      </c>
      <c r="D50" s="198">
        <v>2</v>
      </c>
      <c r="E50" s="198">
        <v>3</v>
      </c>
      <c r="F50" s="198">
        <v>-3</v>
      </c>
      <c r="G50" s="198">
        <v>-8</v>
      </c>
      <c r="H50" s="198">
        <v>2</v>
      </c>
      <c r="I50" s="198">
        <v>6</v>
      </c>
      <c r="J50" s="198">
        <v>5</v>
      </c>
      <c r="K50" s="200"/>
      <c r="L50" s="201">
        <v>-6</v>
      </c>
      <c r="M50" s="234">
        <f>CHOOSE(Cover!$G$22,M52,M53,M54)</f>
        <v>-6</v>
      </c>
      <c r="N50" s="234">
        <f>CHOOSE(Cover!$G$22,N52,N53,N54)</f>
        <v>2</v>
      </c>
      <c r="O50" s="234">
        <f>CHOOSE(Cover!$G$22,O52,O53,O54)</f>
        <v>5</v>
      </c>
      <c r="P50" s="234">
        <f>CHOOSE(Cover!$G$22,P52,P53,P54)</f>
        <v>5</v>
      </c>
      <c r="Q50" s="234">
        <f>CHOOSE(Cover!$G$22,Q52,Q53,Q54)</f>
        <v>5</v>
      </c>
      <c r="R50" s="235">
        <f>CHOOSE(Cover!$G$22,R52,R53,R54)</f>
        <v>5</v>
      </c>
      <c r="T50" s="216">
        <f t="shared" si="20"/>
        <v>1.1666666666666667</v>
      </c>
    </row>
    <row r="51" spans="2:21">
      <c r="B51" s="236" t="s">
        <v>266</v>
      </c>
      <c r="C51" s="225"/>
      <c r="D51" s="225">
        <v>1</v>
      </c>
      <c r="E51" s="225">
        <v>3</v>
      </c>
      <c r="F51" s="225">
        <v>2</v>
      </c>
      <c r="G51" s="225">
        <v>-7</v>
      </c>
      <c r="H51" s="225">
        <v>0</v>
      </c>
      <c r="I51" s="225">
        <v>9</v>
      </c>
      <c r="J51" s="225">
        <v>7</v>
      </c>
      <c r="K51" s="239"/>
      <c r="L51" s="240">
        <v>0</v>
      </c>
      <c r="M51" s="245">
        <f>SUM(M45:M47)</f>
        <v>0</v>
      </c>
      <c r="N51" s="245">
        <f t="shared" ref="N51:R51" si="21">SUM(N45:N47)</f>
        <v>2</v>
      </c>
      <c r="O51" s="245">
        <f t="shared" si="21"/>
        <v>5</v>
      </c>
      <c r="P51" s="245">
        <f t="shared" si="21"/>
        <v>5</v>
      </c>
      <c r="Q51" s="245">
        <f t="shared" si="21"/>
        <v>5</v>
      </c>
      <c r="R51" s="246">
        <f t="shared" si="21"/>
        <v>5</v>
      </c>
      <c r="T51" s="216">
        <f t="shared" si="20"/>
        <v>3.6666666666666665</v>
      </c>
    </row>
    <row r="52" spans="2:21">
      <c r="B52" s="237"/>
      <c r="K52" s="188"/>
      <c r="L52" s="189"/>
      <c r="M52" s="666">
        <f t="shared" ref="M52:R52" si="22">M53-$T$52</f>
        <v>-8</v>
      </c>
      <c r="N52" s="666">
        <f t="shared" si="22"/>
        <v>0</v>
      </c>
      <c r="O52" s="666">
        <f t="shared" si="22"/>
        <v>3</v>
      </c>
      <c r="P52" s="666">
        <f t="shared" si="22"/>
        <v>3</v>
      </c>
      <c r="Q52" s="666">
        <f t="shared" si="22"/>
        <v>3</v>
      </c>
      <c r="R52" s="667">
        <f t="shared" si="22"/>
        <v>3</v>
      </c>
      <c r="S52" s="184" t="s">
        <v>1525</v>
      </c>
      <c r="T52" s="216">
        <v>2</v>
      </c>
      <c r="U52" s="184" t="s">
        <v>1527</v>
      </c>
    </row>
    <row r="53" spans="2:21">
      <c r="B53" s="237"/>
      <c r="K53" s="188"/>
      <c r="L53" s="189"/>
      <c r="M53" s="666">
        <f t="shared" ref="M53:R53" si="23">SUM(M45:M49)</f>
        <v>-6</v>
      </c>
      <c r="N53" s="666">
        <f t="shared" si="23"/>
        <v>2</v>
      </c>
      <c r="O53" s="666">
        <f t="shared" si="23"/>
        <v>5</v>
      </c>
      <c r="P53" s="666">
        <f t="shared" si="23"/>
        <v>5</v>
      </c>
      <c r="Q53" s="666">
        <f t="shared" si="23"/>
        <v>5</v>
      </c>
      <c r="R53" s="667">
        <f t="shared" si="23"/>
        <v>5</v>
      </c>
      <c r="S53" s="184" t="s">
        <v>1524</v>
      </c>
      <c r="T53" s="216"/>
    </row>
    <row r="54" spans="2:21" ht="17" thickBot="1">
      <c r="B54" s="241"/>
      <c r="C54" s="198"/>
      <c r="D54" s="198"/>
      <c r="E54" s="198"/>
      <c r="F54" s="198"/>
      <c r="G54" s="198"/>
      <c r="H54" s="198"/>
      <c r="I54" s="198"/>
      <c r="J54" s="198"/>
      <c r="K54" s="200"/>
      <c r="L54" s="201"/>
      <c r="M54" s="668">
        <f t="shared" ref="M54:R54" si="24">M53+$T$54</f>
        <v>-5</v>
      </c>
      <c r="N54" s="668">
        <f t="shared" si="24"/>
        <v>3</v>
      </c>
      <c r="O54" s="668">
        <f t="shared" si="24"/>
        <v>6</v>
      </c>
      <c r="P54" s="668">
        <f t="shared" si="24"/>
        <v>6</v>
      </c>
      <c r="Q54" s="668">
        <f t="shared" si="24"/>
        <v>6</v>
      </c>
      <c r="R54" s="669">
        <f t="shared" si="24"/>
        <v>6</v>
      </c>
      <c r="S54" s="184" t="s">
        <v>1526</v>
      </c>
      <c r="T54" s="216">
        <v>1</v>
      </c>
      <c r="U54" s="184" t="s">
        <v>1527</v>
      </c>
    </row>
    <row r="55" spans="2:21">
      <c r="B55" s="242"/>
      <c r="M55" s="243"/>
      <c r="N55" s="243"/>
      <c r="O55" s="243"/>
      <c r="P55" s="243"/>
      <c r="Q55" s="243"/>
      <c r="R55" s="243"/>
      <c r="T55" s="216"/>
    </row>
    <row r="56" spans="2:21">
      <c r="T56" s="216"/>
    </row>
    <row r="57" spans="2:21" ht="17" thickBot="1">
      <c r="B57" s="620" t="s">
        <v>1580</v>
      </c>
      <c r="N57" s="620" t="s">
        <v>1583</v>
      </c>
      <c r="T57" s="216"/>
    </row>
    <row r="58" spans="2:21" ht="17" thickBot="1">
      <c r="N58" s="380">
        <v>2017</v>
      </c>
      <c r="O58" s="472">
        <v>2018</v>
      </c>
      <c r="P58" s="472">
        <v>2019</v>
      </c>
      <c r="Q58" s="472">
        <v>2020</v>
      </c>
      <c r="R58" s="472">
        <v>2021</v>
      </c>
      <c r="S58" s="472">
        <v>2022</v>
      </c>
      <c r="T58" s="473">
        <v>2023</v>
      </c>
    </row>
    <row r="59" spans="2:21" ht="17" thickBot="1">
      <c r="B59" s="380"/>
      <c r="C59" s="645" t="s">
        <v>106</v>
      </c>
      <c r="D59" s="645" t="s">
        <v>139</v>
      </c>
      <c r="E59" s="645" t="s">
        <v>108</v>
      </c>
      <c r="F59" s="645" t="s">
        <v>1581</v>
      </c>
      <c r="G59" s="645" t="s">
        <v>109</v>
      </c>
      <c r="H59" s="645" t="s">
        <v>254</v>
      </c>
      <c r="I59" s="646" t="s">
        <v>255</v>
      </c>
      <c r="N59" s="647">
        <v>0.14000000000000001</v>
      </c>
      <c r="O59" s="648">
        <v>0.14000000000000001</v>
      </c>
      <c r="P59" s="648">
        <v>0.14000000000000001</v>
      </c>
      <c r="Q59" s="648">
        <v>0.15</v>
      </c>
      <c r="R59" s="648">
        <v>0.14000000000000001</v>
      </c>
      <c r="S59" s="648">
        <v>0.13</v>
      </c>
      <c r="T59" s="649">
        <v>0.13</v>
      </c>
    </row>
    <row r="60" spans="2:21">
      <c r="B60" s="209" t="s">
        <v>161</v>
      </c>
      <c r="C60" s="640">
        <v>-1</v>
      </c>
      <c r="D60" s="640">
        <v>5</v>
      </c>
      <c r="E60" s="640">
        <v>1</v>
      </c>
      <c r="F60" s="640">
        <v>0</v>
      </c>
      <c r="G60" s="640">
        <v>-5</v>
      </c>
      <c r="H60" s="640">
        <v>1</v>
      </c>
      <c r="I60" s="641">
        <v>5</v>
      </c>
    </row>
    <row r="61" spans="2:21">
      <c r="B61" s="229" t="s">
        <v>162</v>
      </c>
      <c r="C61" s="640">
        <v>1</v>
      </c>
      <c r="D61" s="640">
        <v>2</v>
      </c>
      <c r="E61" s="640">
        <v>0</v>
      </c>
      <c r="F61" s="640">
        <v>0</v>
      </c>
      <c r="G61" s="640">
        <v>0</v>
      </c>
      <c r="H61" s="640">
        <v>4</v>
      </c>
      <c r="I61" s="641">
        <v>4</v>
      </c>
    </row>
    <row r="62" spans="2:21" ht="17" thickBot="1">
      <c r="B62" s="237" t="s">
        <v>163</v>
      </c>
      <c r="C62" s="640">
        <v>-4</v>
      </c>
      <c r="D62" s="640">
        <v>9</v>
      </c>
      <c r="E62" s="640">
        <v>2</v>
      </c>
      <c r="F62" s="640">
        <v>0</v>
      </c>
      <c r="G62" s="640">
        <v>-11</v>
      </c>
      <c r="H62" s="640">
        <v>-4</v>
      </c>
      <c r="I62" s="641">
        <v>7</v>
      </c>
      <c r="N62" s="620" t="s">
        <v>1584</v>
      </c>
    </row>
    <row r="63" spans="2:21" ht="17" thickBot="1">
      <c r="B63" s="237" t="s">
        <v>164</v>
      </c>
      <c r="C63" s="640">
        <v>-5</v>
      </c>
      <c r="D63" s="640">
        <v>6</v>
      </c>
      <c r="E63" s="640">
        <v>1</v>
      </c>
      <c r="F63" s="640">
        <v>0</v>
      </c>
      <c r="G63" s="640">
        <v>-2</v>
      </c>
      <c r="H63" s="640">
        <v>0</v>
      </c>
      <c r="I63" s="641">
        <v>3</v>
      </c>
      <c r="N63" s="184" t="s">
        <v>1590</v>
      </c>
      <c r="R63" s="472">
        <v>2021</v>
      </c>
      <c r="S63" s="472">
        <v>2022</v>
      </c>
      <c r="T63" s="473">
        <v>2023</v>
      </c>
    </row>
    <row r="64" spans="2:21">
      <c r="B64" s="237"/>
      <c r="C64" s="640"/>
      <c r="D64" s="640"/>
      <c r="E64" s="640"/>
      <c r="F64" s="640"/>
      <c r="G64" s="640"/>
      <c r="H64" s="640"/>
      <c r="I64" s="641"/>
      <c r="N64" s="463" t="s">
        <v>1585</v>
      </c>
      <c r="O64" s="639"/>
      <c r="P64" s="639"/>
      <c r="Q64" s="639"/>
      <c r="R64" s="639">
        <v>7.2</v>
      </c>
      <c r="S64" s="639">
        <v>7.2</v>
      </c>
      <c r="T64" s="422">
        <v>7.1</v>
      </c>
    </row>
    <row r="65" spans="2:20">
      <c r="B65" s="209" t="s">
        <v>167</v>
      </c>
      <c r="C65" s="640">
        <v>-3</v>
      </c>
      <c r="D65" s="640">
        <v>6</v>
      </c>
      <c r="E65" s="640">
        <v>0</v>
      </c>
      <c r="F65" s="640">
        <v>-2</v>
      </c>
      <c r="G65" s="640">
        <v>-1</v>
      </c>
      <c r="H65" s="640">
        <v>1</v>
      </c>
      <c r="I65" s="641">
        <v>3</v>
      </c>
      <c r="N65" s="209" t="s">
        <v>1586</v>
      </c>
      <c r="R65" s="184">
        <v>6</v>
      </c>
      <c r="S65" s="184">
        <v>6.2</v>
      </c>
      <c r="T65" s="210">
        <v>6.3</v>
      </c>
    </row>
    <row r="66" spans="2:20">
      <c r="B66" s="229" t="s">
        <v>162</v>
      </c>
      <c r="C66" s="640">
        <v>0</v>
      </c>
      <c r="D66" s="640">
        <v>5</v>
      </c>
      <c r="E66" s="640">
        <v>0</v>
      </c>
      <c r="F66" s="640">
        <v>0</v>
      </c>
      <c r="G66" s="640">
        <v>0</v>
      </c>
      <c r="H66" s="640">
        <v>5</v>
      </c>
      <c r="I66" s="641">
        <v>5</v>
      </c>
      <c r="N66" s="209" t="s">
        <v>1587</v>
      </c>
      <c r="R66" s="184">
        <v>3.1</v>
      </c>
      <c r="S66" s="184">
        <v>3.3</v>
      </c>
      <c r="T66" s="210">
        <v>3.4</v>
      </c>
    </row>
    <row r="67" spans="2:20">
      <c r="B67" s="229" t="s">
        <v>163</v>
      </c>
      <c r="C67" s="640">
        <v>-9</v>
      </c>
      <c r="D67" s="640">
        <v>7</v>
      </c>
      <c r="E67" s="640">
        <v>0</v>
      </c>
      <c r="F67" s="640">
        <v>-8</v>
      </c>
      <c r="G67" s="640">
        <v>-3</v>
      </c>
      <c r="H67" s="640">
        <v>-13</v>
      </c>
      <c r="I67" s="641">
        <v>-2</v>
      </c>
      <c r="N67" s="209" t="s">
        <v>1588</v>
      </c>
      <c r="R67" s="225">
        <v>3.1</v>
      </c>
      <c r="S67" s="225">
        <v>3.5</v>
      </c>
      <c r="T67" s="650">
        <v>3.6</v>
      </c>
    </row>
    <row r="68" spans="2:20" ht="17" thickBot="1">
      <c r="B68" s="229" t="s">
        <v>164</v>
      </c>
      <c r="C68" s="640">
        <v>-5</v>
      </c>
      <c r="D68" s="640">
        <v>9</v>
      </c>
      <c r="E68" s="640">
        <v>0</v>
      </c>
      <c r="F68" s="640">
        <v>0</v>
      </c>
      <c r="G68" s="640">
        <v>-1</v>
      </c>
      <c r="H68" s="640">
        <v>4</v>
      </c>
      <c r="I68" s="641">
        <v>4</v>
      </c>
      <c r="N68" s="566" t="s">
        <v>1589</v>
      </c>
      <c r="O68" s="198"/>
      <c r="P68" s="198"/>
      <c r="Q68" s="198"/>
      <c r="R68" s="198">
        <v>19.399999999999999</v>
      </c>
      <c r="S68" s="198">
        <v>20.2</v>
      </c>
      <c r="T68" s="199">
        <v>20.399999999999999</v>
      </c>
    </row>
    <row r="69" spans="2:20">
      <c r="B69" s="209"/>
      <c r="C69" s="640"/>
      <c r="D69" s="640"/>
      <c r="E69" s="640"/>
      <c r="F69" s="640"/>
      <c r="G69" s="640"/>
      <c r="H69" s="640"/>
      <c r="I69" s="641"/>
    </row>
    <row r="70" spans="2:20">
      <c r="B70" s="209" t="s">
        <v>1579</v>
      </c>
      <c r="C70" s="640">
        <v>-5</v>
      </c>
      <c r="D70" s="640">
        <v>10</v>
      </c>
      <c r="E70" s="640">
        <v>1</v>
      </c>
      <c r="F70" s="640">
        <v>-1</v>
      </c>
      <c r="G70" s="640">
        <v>-1</v>
      </c>
      <c r="H70" s="640">
        <v>5</v>
      </c>
      <c r="I70" s="641">
        <v>7</v>
      </c>
    </row>
    <row r="71" spans="2:20">
      <c r="B71" s="229" t="s">
        <v>162</v>
      </c>
      <c r="C71" s="640">
        <v>-2</v>
      </c>
      <c r="D71" s="640">
        <v>9</v>
      </c>
      <c r="E71" s="640">
        <v>0</v>
      </c>
      <c r="F71" s="640">
        <v>0</v>
      </c>
      <c r="G71" s="640">
        <v>0</v>
      </c>
      <c r="H71" s="640">
        <v>8</v>
      </c>
      <c r="I71" s="641">
        <v>8</v>
      </c>
    </row>
    <row r="72" spans="2:20">
      <c r="B72" s="229" t="s">
        <v>163</v>
      </c>
      <c r="C72" s="640">
        <v>-5</v>
      </c>
      <c r="D72" s="640">
        <v>10</v>
      </c>
      <c r="E72" s="640">
        <v>1</v>
      </c>
      <c r="F72" s="640">
        <v>-6</v>
      </c>
      <c r="G72" s="640">
        <v>-6</v>
      </c>
      <c r="H72" s="640">
        <v>-5</v>
      </c>
      <c r="I72" s="641">
        <v>6</v>
      </c>
    </row>
    <row r="73" spans="2:20" ht="17" thickBot="1">
      <c r="B73" s="644" t="s">
        <v>164</v>
      </c>
      <c r="C73" s="642">
        <v>-13</v>
      </c>
      <c r="D73" s="642">
        <v>13</v>
      </c>
      <c r="E73" s="642">
        <v>4</v>
      </c>
      <c r="F73" s="642">
        <v>0</v>
      </c>
      <c r="G73" s="642">
        <v>0</v>
      </c>
      <c r="H73" s="642">
        <v>4</v>
      </c>
      <c r="I73" s="643">
        <v>4</v>
      </c>
    </row>
    <row r="74" spans="2:20">
      <c r="B74" s="242"/>
    </row>
    <row r="75" spans="2:20">
      <c r="B75" s="620" t="s">
        <v>1582</v>
      </c>
    </row>
    <row r="76" spans="2:20" ht="17" thickBot="1"/>
    <row r="77" spans="2:20">
      <c r="B77" s="380"/>
      <c r="C77" s="645" t="s">
        <v>106</v>
      </c>
      <c r="D77" s="645" t="s">
        <v>139</v>
      </c>
      <c r="E77" s="645" t="s">
        <v>108</v>
      </c>
      <c r="F77" s="645" t="s">
        <v>1581</v>
      </c>
      <c r="G77" s="645" t="s">
        <v>109</v>
      </c>
      <c r="H77" s="645" t="s">
        <v>254</v>
      </c>
      <c r="I77" s="646" t="s">
        <v>255</v>
      </c>
    </row>
    <row r="78" spans="2:20">
      <c r="B78" s="209" t="s">
        <v>161</v>
      </c>
      <c r="C78" s="640">
        <v>1</v>
      </c>
      <c r="D78" s="640">
        <v>5</v>
      </c>
      <c r="E78" s="640">
        <v>1</v>
      </c>
      <c r="F78" s="640">
        <v>0</v>
      </c>
      <c r="G78" s="640">
        <v>-8</v>
      </c>
      <c r="H78" s="640">
        <v>-1</v>
      </c>
      <c r="I78" s="641">
        <v>7</v>
      </c>
    </row>
    <row r="79" spans="2:20">
      <c r="B79" s="229" t="s">
        <v>111</v>
      </c>
      <c r="C79" s="640">
        <v>2</v>
      </c>
      <c r="D79" s="640">
        <v>0</v>
      </c>
      <c r="E79" s="640">
        <v>1</v>
      </c>
      <c r="F79" s="640">
        <v>0</v>
      </c>
      <c r="G79" s="640">
        <v>0</v>
      </c>
      <c r="H79" s="640">
        <v>2</v>
      </c>
      <c r="I79" s="641">
        <v>2</v>
      </c>
    </row>
    <row r="80" spans="2:20">
      <c r="B80" s="237" t="s">
        <v>112</v>
      </c>
      <c r="C80" s="640">
        <v>2</v>
      </c>
      <c r="D80" s="640">
        <v>14</v>
      </c>
      <c r="E80" s="640">
        <v>1</v>
      </c>
      <c r="F80" s="640">
        <v>0</v>
      </c>
      <c r="G80" s="640">
        <v>-20</v>
      </c>
      <c r="H80" s="640">
        <v>-3</v>
      </c>
      <c r="I80" s="641">
        <v>17</v>
      </c>
    </row>
    <row r="81" spans="2:9">
      <c r="B81" s="237" t="s">
        <v>113</v>
      </c>
      <c r="C81" s="640">
        <v>-1</v>
      </c>
      <c r="D81" s="640">
        <v>-2</v>
      </c>
      <c r="E81" s="640">
        <v>0</v>
      </c>
      <c r="F81" s="640">
        <v>0</v>
      </c>
      <c r="G81" s="640">
        <v>-2</v>
      </c>
      <c r="H81" s="640">
        <v>-5</v>
      </c>
      <c r="I81" s="641">
        <v>-3</v>
      </c>
    </row>
    <row r="82" spans="2:9">
      <c r="B82" s="237"/>
      <c r="C82" s="640"/>
      <c r="D82" s="640"/>
      <c r="E82" s="640"/>
      <c r="F82" s="640"/>
      <c r="G82" s="640"/>
      <c r="H82" s="640"/>
      <c r="I82" s="641"/>
    </row>
    <row r="83" spans="2:9">
      <c r="B83" s="209" t="s">
        <v>118</v>
      </c>
      <c r="C83" s="640">
        <v>0</v>
      </c>
      <c r="D83" s="640">
        <v>-1</v>
      </c>
      <c r="E83" s="640">
        <v>0</v>
      </c>
      <c r="F83" s="640">
        <v>-2</v>
      </c>
      <c r="G83" s="640">
        <v>0</v>
      </c>
      <c r="H83" s="640">
        <v>-3</v>
      </c>
      <c r="I83" s="641">
        <v>-1</v>
      </c>
    </row>
    <row r="84" spans="2:9">
      <c r="B84" s="229" t="s">
        <v>111</v>
      </c>
      <c r="C84" s="640">
        <v>-1</v>
      </c>
      <c r="D84" s="640">
        <v>2</v>
      </c>
      <c r="E84" s="640">
        <v>0</v>
      </c>
      <c r="F84" s="640">
        <v>0</v>
      </c>
      <c r="G84" s="640">
        <v>0</v>
      </c>
      <c r="H84" s="640">
        <v>1</v>
      </c>
      <c r="I84" s="641">
        <v>1</v>
      </c>
    </row>
    <row r="85" spans="2:9">
      <c r="B85" s="229" t="s">
        <v>112</v>
      </c>
      <c r="C85" s="640">
        <v>-2</v>
      </c>
      <c r="D85" s="640">
        <v>-3</v>
      </c>
      <c r="E85" s="640">
        <v>0</v>
      </c>
      <c r="F85" s="640">
        <v>-9</v>
      </c>
      <c r="G85" s="640">
        <v>-1</v>
      </c>
      <c r="H85" s="640">
        <v>-15</v>
      </c>
      <c r="I85" s="641">
        <v>-6</v>
      </c>
    </row>
    <row r="86" spans="2:9">
      <c r="B86" s="229" t="s">
        <v>113</v>
      </c>
      <c r="C86" s="640">
        <v>3</v>
      </c>
      <c r="D86" s="640">
        <v>-5</v>
      </c>
      <c r="E86" s="640">
        <v>0</v>
      </c>
      <c r="F86" s="640">
        <v>0</v>
      </c>
      <c r="G86" s="640">
        <v>0</v>
      </c>
      <c r="H86" s="640">
        <v>-2</v>
      </c>
      <c r="I86" s="641">
        <v>-2</v>
      </c>
    </row>
    <row r="87" spans="2:9">
      <c r="B87" s="209"/>
      <c r="C87" s="640"/>
      <c r="D87" s="640"/>
      <c r="E87" s="640"/>
      <c r="F87" s="640"/>
      <c r="G87" s="640"/>
      <c r="H87" s="640"/>
      <c r="I87" s="641"/>
    </row>
    <row r="88" spans="2:9">
      <c r="B88" s="209" t="s">
        <v>120</v>
      </c>
      <c r="C88" s="640">
        <v>-1</v>
      </c>
      <c r="D88" s="640">
        <v>0</v>
      </c>
      <c r="E88" s="640">
        <v>1</v>
      </c>
      <c r="F88" s="640">
        <v>-4</v>
      </c>
      <c r="G88" s="640">
        <v>-2</v>
      </c>
      <c r="H88" s="640">
        <v>-6</v>
      </c>
      <c r="I88" s="641">
        <v>0</v>
      </c>
    </row>
    <row r="89" spans="2:9">
      <c r="B89" s="229" t="s">
        <v>111</v>
      </c>
      <c r="C89" s="640">
        <v>-3</v>
      </c>
      <c r="D89" s="640">
        <v>0</v>
      </c>
      <c r="E89" s="640">
        <v>0</v>
      </c>
      <c r="F89" s="640">
        <v>-3</v>
      </c>
      <c r="G89" s="640">
        <v>0</v>
      </c>
      <c r="H89" s="640">
        <v>-5</v>
      </c>
      <c r="I89" s="641">
        <v>-3</v>
      </c>
    </row>
    <row r="90" spans="2:9">
      <c r="B90" s="229" t="s">
        <v>112</v>
      </c>
      <c r="C90" s="640">
        <v>0</v>
      </c>
      <c r="D90" s="640">
        <v>11</v>
      </c>
      <c r="E90" s="640">
        <v>1</v>
      </c>
      <c r="F90" s="640">
        <v>-11</v>
      </c>
      <c r="G90" s="640">
        <v>-11</v>
      </c>
      <c r="H90" s="640">
        <v>-10</v>
      </c>
      <c r="I90" s="641">
        <v>13</v>
      </c>
    </row>
    <row r="91" spans="2:9" ht="17" thickBot="1">
      <c r="B91" s="644" t="s">
        <v>113</v>
      </c>
      <c r="C91" s="642">
        <v>4</v>
      </c>
      <c r="D91" s="642">
        <v>-7</v>
      </c>
      <c r="E91" s="642">
        <v>1</v>
      </c>
      <c r="F91" s="642">
        <v>-2</v>
      </c>
      <c r="G91" s="642">
        <v>-1</v>
      </c>
      <c r="H91" s="642">
        <v>-5</v>
      </c>
      <c r="I91" s="643">
        <v>-2</v>
      </c>
    </row>
  </sheetData>
  <pageMargins left="0.7" right="0.7" top="0.75" bottom="0.75" header="0.3" footer="0.3"/>
  <pageSetup orientation="portrait" horizontalDpi="0" verticalDpi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F3B8-BEFA-F34B-B598-49EDD8A91FC0}">
  <dimension ref="B1:V79"/>
  <sheetViews>
    <sheetView showGridLines="0" workbookViewId="0">
      <pane xSplit="2" topLeftCell="I1" activePane="topRight" state="frozen"/>
      <selection pane="topRight" activeCell="M23" sqref="M23"/>
    </sheetView>
  </sheetViews>
  <sheetFormatPr baseColWidth="10" defaultRowHeight="16"/>
  <cols>
    <col min="1" max="1" width="2.75" style="184" customWidth="1"/>
    <col min="2" max="2" width="42.125" style="184" bestFit="1" customWidth="1"/>
    <col min="3" max="13" width="10.625" style="184"/>
    <col min="14" max="14" width="11.375" style="184" customWidth="1"/>
    <col min="15" max="16384" width="10.625" style="184"/>
  </cols>
  <sheetData>
    <row r="1" spans="2:22" ht="17" thickBot="1"/>
    <row r="2" spans="2:22" ht="18" thickBot="1">
      <c r="B2" s="186" t="s">
        <v>1561</v>
      </c>
      <c r="C2" s="434" t="s">
        <v>104</v>
      </c>
      <c r="D2" s="434" t="s">
        <v>103</v>
      </c>
      <c r="E2" s="434" t="s">
        <v>102</v>
      </c>
      <c r="F2" s="434" t="s">
        <v>66</v>
      </c>
      <c r="G2" s="434" t="s">
        <v>65</v>
      </c>
      <c r="H2" s="435" t="s">
        <v>3</v>
      </c>
      <c r="I2" s="435" t="s">
        <v>2</v>
      </c>
      <c r="J2" s="435" t="s">
        <v>1</v>
      </c>
      <c r="K2" s="436" t="s">
        <v>185</v>
      </c>
      <c r="L2" s="437" t="s">
        <v>184</v>
      </c>
      <c r="M2" s="435" t="s">
        <v>178</v>
      </c>
      <c r="N2" s="435" t="s">
        <v>179</v>
      </c>
      <c r="O2" s="435" t="s">
        <v>180</v>
      </c>
      <c r="P2" s="435" t="s">
        <v>181</v>
      </c>
      <c r="Q2" s="435" t="s">
        <v>182</v>
      </c>
      <c r="R2" s="438" t="s">
        <v>183</v>
      </c>
    </row>
    <row r="3" spans="2:22" ht="17">
      <c r="B3" s="439"/>
      <c r="C3" s="226"/>
      <c r="D3" s="226"/>
      <c r="E3" s="226"/>
      <c r="F3" s="226"/>
      <c r="G3" s="226"/>
      <c r="H3" s="226" t="s">
        <v>4</v>
      </c>
      <c r="I3" s="226" t="s">
        <v>4</v>
      </c>
      <c r="J3" s="226" t="s">
        <v>4</v>
      </c>
      <c r="K3" s="440" t="s">
        <v>4</v>
      </c>
      <c r="L3" s="441" t="s">
        <v>4</v>
      </c>
      <c r="M3" s="226"/>
      <c r="N3" s="226"/>
      <c r="O3" s="226"/>
      <c r="P3" s="226"/>
      <c r="Q3" s="226"/>
      <c r="R3" s="442"/>
    </row>
    <row r="4" spans="2:22">
      <c r="B4" s="209" t="s">
        <v>5</v>
      </c>
      <c r="C4" s="443">
        <v>18287</v>
      </c>
      <c r="D4" s="443">
        <v>18348</v>
      </c>
      <c r="E4" s="443">
        <v>18486</v>
      </c>
      <c r="F4" s="443">
        <v>18450</v>
      </c>
      <c r="G4" s="443">
        <v>19140</v>
      </c>
      <c r="H4" s="196">
        <v>19440</v>
      </c>
      <c r="I4" s="196">
        <v>20175</v>
      </c>
      <c r="J4" s="196">
        <v>20431</v>
      </c>
      <c r="K4" s="444">
        <v>15461</v>
      </c>
      <c r="L4" s="445">
        <v>15130</v>
      </c>
      <c r="M4" s="196">
        <f>'Revenue Cleaned'!M8</f>
        <v>19953.154999999999</v>
      </c>
      <c r="N4" s="196">
        <f>'Revenue Cleaned'!N8</f>
        <v>20723.612174999998</v>
      </c>
      <c r="O4" s="196">
        <f>'Revenue Cleaned'!O8</f>
        <v>21459.529274</v>
      </c>
      <c r="P4" s="196">
        <f>'Revenue Cleaned'!P8</f>
        <v>22224.038435760001</v>
      </c>
      <c r="Q4" s="196">
        <f>'Revenue Cleaned'!Q8</f>
        <v>23018.315406694404</v>
      </c>
      <c r="R4" s="267">
        <f>'Revenue Cleaned'!R8</f>
        <v>23974.99006909618</v>
      </c>
      <c r="S4" s="184" t="s">
        <v>1515</v>
      </c>
    </row>
    <row r="5" spans="2:22">
      <c r="B5" s="446" t="s">
        <v>6</v>
      </c>
      <c r="C5" s="447">
        <v>11596</v>
      </c>
      <c r="D5" s="447">
        <v>11761</v>
      </c>
      <c r="E5" s="447">
        <v>12889</v>
      </c>
      <c r="F5" s="447">
        <v>12415</v>
      </c>
      <c r="G5" s="447">
        <v>12318</v>
      </c>
      <c r="H5" s="448">
        <v>13452</v>
      </c>
      <c r="I5" s="448">
        <v>13956</v>
      </c>
      <c r="J5" s="448">
        <v>13399</v>
      </c>
      <c r="K5" s="449">
        <v>10166</v>
      </c>
      <c r="L5" s="450">
        <v>9625</v>
      </c>
      <c r="M5" s="448">
        <f t="shared" ref="M5:R5" si="0">M$4*M31</f>
        <v>12670.253424999999</v>
      </c>
      <c r="N5" s="448">
        <f t="shared" si="0"/>
        <v>13055.87567025</v>
      </c>
      <c r="O5" s="448">
        <f t="shared" si="0"/>
        <v>13519.50344262</v>
      </c>
      <c r="P5" s="448">
        <f t="shared" si="0"/>
        <v>14001.1442145288</v>
      </c>
      <c r="Q5" s="448">
        <f t="shared" si="0"/>
        <v>14501.538706217474</v>
      </c>
      <c r="R5" s="451">
        <f t="shared" si="0"/>
        <v>15104.243743530593</v>
      </c>
      <c r="S5" s="184" t="s">
        <v>174</v>
      </c>
    </row>
    <row r="6" spans="2:22">
      <c r="B6" s="452" t="s">
        <v>7</v>
      </c>
      <c r="C6" s="443">
        <v>6691</v>
      </c>
      <c r="D6" s="443">
        <v>6587</v>
      </c>
      <c r="E6" s="443">
        <v>5597</v>
      </c>
      <c r="F6" s="443">
        <v>6035</v>
      </c>
      <c r="G6" s="443">
        <v>6822</v>
      </c>
      <c r="H6" s="196">
        <v>5988</v>
      </c>
      <c r="I6" s="196">
        <v>6219</v>
      </c>
      <c r="J6" s="196">
        <v>7032</v>
      </c>
      <c r="K6" s="444">
        <v>5295</v>
      </c>
      <c r="L6" s="445">
        <v>5505</v>
      </c>
      <c r="M6" s="196">
        <f>M4-M5</f>
        <v>7282.9015749999999</v>
      </c>
      <c r="N6" s="196">
        <f>N4-N5</f>
        <v>7667.7365047499989</v>
      </c>
      <c r="O6" s="196">
        <f t="shared" ref="O6:R6" si="1">O4-O5</f>
        <v>7940.0258313800005</v>
      </c>
      <c r="P6" s="196">
        <f t="shared" si="1"/>
        <v>8222.8942212312013</v>
      </c>
      <c r="Q6" s="196">
        <f t="shared" si="1"/>
        <v>8516.7767004769303</v>
      </c>
      <c r="R6" s="267">
        <f t="shared" si="1"/>
        <v>8870.7463255655875</v>
      </c>
      <c r="S6" s="184" t="s">
        <v>1520</v>
      </c>
    </row>
    <row r="7" spans="2:22">
      <c r="B7" s="651" t="s">
        <v>1591</v>
      </c>
      <c r="C7" s="443">
        <v>665</v>
      </c>
      <c r="D7" s="443">
        <v>648</v>
      </c>
      <c r="E7" s="443">
        <v>655</v>
      </c>
      <c r="F7" s="443">
        <v>757</v>
      </c>
      <c r="G7" s="443">
        <v>956</v>
      </c>
      <c r="H7" s="196">
        <v>893</v>
      </c>
      <c r="I7" s="196">
        <v>901</v>
      </c>
      <c r="J7" s="196">
        <v>1075</v>
      </c>
      <c r="K7" s="444"/>
      <c r="L7" s="445"/>
      <c r="M7" s="196">
        <f>M$4*(M35)</f>
        <v>1049.5359530000001</v>
      </c>
      <c r="N7" s="196">
        <f t="shared" ref="N7:R7" si="2">N$4*(N35)</f>
        <v>1090.0620004049999</v>
      </c>
      <c r="O7" s="196">
        <f t="shared" si="2"/>
        <v>1128.7712398124002</v>
      </c>
      <c r="P7" s="196">
        <f t="shared" si="2"/>
        <v>1168.9844217209761</v>
      </c>
      <c r="Q7" s="196">
        <f t="shared" si="2"/>
        <v>1210.7633903921258</v>
      </c>
      <c r="R7" s="267">
        <f t="shared" si="2"/>
        <v>1261.0844776344591</v>
      </c>
      <c r="S7" s="184" t="s">
        <v>174</v>
      </c>
    </row>
    <row r="8" spans="2:22">
      <c r="B8" s="651" t="s">
        <v>1592</v>
      </c>
      <c r="C8" s="443">
        <v>326</v>
      </c>
      <c r="D8" s="443">
        <v>309</v>
      </c>
      <c r="E8" s="443">
        <v>317</v>
      </c>
      <c r="F8" s="443">
        <v>284</v>
      </c>
      <c r="G8" s="443">
        <v>276</v>
      </c>
      <c r="H8" s="196">
        <v>269</v>
      </c>
      <c r="I8" s="196">
        <v>292</v>
      </c>
      <c r="J8" s="196">
        <v>312</v>
      </c>
      <c r="K8" s="444"/>
      <c r="L8" s="445"/>
      <c r="M8" s="196">
        <f t="shared" ref="M8:R9" si="3">M$4*(M36)</f>
        <v>305.28327149999996</v>
      </c>
      <c r="N8" s="196">
        <f t="shared" si="3"/>
        <v>317.07126627749994</v>
      </c>
      <c r="O8" s="196">
        <f t="shared" si="3"/>
        <v>328.3307978922</v>
      </c>
      <c r="P8" s="196">
        <f t="shared" si="3"/>
        <v>340.02778806712803</v>
      </c>
      <c r="Q8" s="196">
        <f t="shared" si="3"/>
        <v>352.18022572242438</v>
      </c>
      <c r="R8" s="267">
        <f t="shared" si="3"/>
        <v>366.81734805717156</v>
      </c>
      <c r="S8" s="184" t="s">
        <v>174</v>
      </c>
    </row>
    <row r="9" spans="2:22" ht="17">
      <c r="B9" s="651" t="s">
        <v>1593</v>
      </c>
      <c r="C9" s="196">
        <f t="shared" ref="C9:H9" si="4">C10-C7-C8</f>
        <v>2309</v>
      </c>
      <c r="D9" s="196">
        <f t="shared" si="4"/>
        <v>2245</v>
      </c>
      <c r="E9" s="196">
        <f t="shared" si="4"/>
        <v>2395</v>
      </c>
      <c r="F9" s="196">
        <f t="shared" si="4"/>
        <v>2213</v>
      </c>
      <c r="G9" s="196">
        <f t="shared" si="4"/>
        <v>2400</v>
      </c>
      <c r="H9" s="196">
        <f t="shared" si="4"/>
        <v>2237</v>
      </c>
      <c r="I9" s="196">
        <f>I10-I7-I8</f>
        <v>2388</v>
      </c>
      <c r="J9" s="196">
        <f>J10-J8-J7</f>
        <v>2574</v>
      </c>
      <c r="K9" s="444"/>
      <c r="L9" s="445"/>
      <c r="M9" s="196">
        <f t="shared" si="3"/>
        <v>2434.2849099999999</v>
      </c>
      <c r="N9" s="196">
        <f t="shared" si="3"/>
        <v>2528.2806853499997</v>
      </c>
      <c r="O9" s="196">
        <f t="shared" si="3"/>
        <v>2618.062571428</v>
      </c>
      <c r="P9" s="196">
        <f t="shared" si="3"/>
        <v>2711.3326891627203</v>
      </c>
      <c r="Q9" s="196">
        <f t="shared" si="3"/>
        <v>2808.2344796167172</v>
      </c>
      <c r="R9" s="267">
        <f t="shared" si="3"/>
        <v>2924.9487884297341</v>
      </c>
      <c r="S9" s="184" t="s">
        <v>174</v>
      </c>
      <c r="V9" s="8"/>
    </row>
    <row r="10" spans="2:22" ht="17">
      <c r="B10" s="452" t="s">
        <v>8</v>
      </c>
      <c r="C10" s="443">
        <v>3300</v>
      </c>
      <c r="D10" s="443">
        <v>3202</v>
      </c>
      <c r="E10" s="443">
        <v>3367</v>
      </c>
      <c r="F10" s="443">
        <v>3254</v>
      </c>
      <c r="G10" s="443">
        <v>3632</v>
      </c>
      <c r="H10" s="196">
        <v>3399</v>
      </c>
      <c r="I10" s="196">
        <v>3581</v>
      </c>
      <c r="J10" s="196">
        <v>3961</v>
      </c>
      <c r="K10" s="444">
        <v>2968</v>
      </c>
      <c r="L10" s="445">
        <v>3202</v>
      </c>
      <c r="M10" s="196">
        <f>SUM(M7:M9)</f>
        <v>3789.1041344999999</v>
      </c>
      <c r="N10" s="196">
        <f>SUM(N7:N9)</f>
        <v>3935.4139520324998</v>
      </c>
      <c r="O10" s="196">
        <f t="shared" ref="O10:R10" si="5">SUM(O7:O9)</f>
        <v>4075.1646091326002</v>
      </c>
      <c r="P10" s="196">
        <f t="shared" si="5"/>
        <v>4220.3448989508242</v>
      </c>
      <c r="Q10" s="196">
        <f t="shared" si="5"/>
        <v>4371.1780957312676</v>
      </c>
      <c r="R10" s="267">
        <f t="shared" si="5"/>
        <v>4552.8506141213647</v>
      </c>
      <c r="S10" s="184" t="s">
        <v>1520</v>
      </c>
      <c r="V10" s="10"/>
    </row>
    <row r="11" spans="2:22" ht="17">
      <c r="B11" s="209" t="s">
        <v>24</v>
      </c>
      <c r="C11" s="443">
        <v>0</v>
      </c>
      <c r="D11" s="443">
        <v>0</v>
      </c>
      <c r="E11" s="443">
        <v>0</v>
      </c>
      <c r="F11" s="443">
        <v>0</v>
      </c>
      <c r="G11" s="443">
        <v>0</v>
      </c>
      <c r="H11" s="196">
        <v>0</v>
      </c>
      <c r="I11" s="196">
        <v>0</v>
      </c>
      <c r="J11" s="196">
        <v>658</v>
      </c>
      <c r="K11" s="444">
        <v>658</v>
      </c>
      <c r="L11" s="445">
        <v>97</v>
      </c>
      <c r="M11" s="196">
        <v>97</v>
      </c>
      <c r="N11" s="196">
        <v>0</v>
      </c>
      <c r="O11" s="196">
        <v>0</v>
      </c>
      <c r="P11" s="196">
        <v>0</v>
      </c>
      <c r="Q11" s="196">
        <v>0</v>
      </c>
      <c r="R11" s="267">
        <v>0</v>
      </c>
      <c r="S11" s="184" t="s">
        <v>363</v>
      </c>
      <c r="V11" s="8"/>
    </row>
    <row r="12" spans="2:22" ht="17">
      <c r="B12" s="446" t="s">
        <v>9</v>
      </c>
      <c r="C12" s="447">
        <v>8</v>
      </c>
      <c r="D12" s="447">
        <v>27</v>
      </c>
      <c r="E12" s="447">
        <v>1</v>
      </c>
      <c r="F12" s="447">
        <v>-210</v>
      </c>
      <c r="G12" s="447">
        <v>-54</v>
      </c>
      <c r="H12" s="448">
        <v>28</v>
      </c>
      <c r="I12" s="448">
        <v>-43</v>
      </c>
      <c r="J12" s="448">
        <v>69</v>
      </c>
      <c r="K12" s="449">
        <f>658-5</f>
        <v>653</v>
      </c>
      <c r="L12" s="450">
        <f>97-456</f>
        <v>-359</v>
      </c>
      <c r="M12" s="448">
        <v>0</v>
      </c>
      <c r="N12" s="448">
        <v>0</v>
      </c>
      <c r="O12" s="448">
        <v>0</v>
      </c>
      <c r="P12" s="448">
        <v>0</v>
      </c>
      <c r="Q12" s="448">
        <v>0</v>
      </c>
      <c r="R12" s="451">
        <v>0</v>
      </c>
      <c r="S12" s="184" t="s">
        <v>363</v>
      </c>
      <c r="V12" s="8"/>
    </row>
    <row r="13" spans="2:22" ht="17">
      <c r="B13" s="452" t="s">
        <v>10</v>
      </c>
      <c r="C13" s="443">
        <v>3383</v>
      </c>
      <c r="D13" s="443">
        <v>3358</v>
      </c>
      <c r="E13" s="443">
        <v>2229</v>
      </c>
      <c r="F13" s="443">
        <v>2991</v>
      </c>
      <c r="G13" s="443">
        <v>3244</v>
      </c>
      <c r="H13" s="196">
        <v>2561</v>
      </c>
      <c r="I13" s="196">
        <v>2681</v>
      </c>
      <c r="J13" s="196">
        <v>2344</v>
      </c>
      <c r="K13" s="444">
        <v>1674</v>
      </c>
      <c r="L13" s="445">
        <v>2662</v>
      </c>
      <c r="M13" s="196">
        <f>M6-M10-M12-M11</f>
        <v>3396.7974405</v>
      </c>
      <c r="N13" s="196">
        <f t="shared" ref="N13:Q13" si="6">N6-N10-N12-N11</f>
        <v>3732.3225527174991</v>
      </c>
      <c r="O13" s="196">
        <f t="shared" si="6"/>
        <v>3864.8612222474003</v>
      </c>
      <c r="P13" s="196">
        <f t="shared" si="6"/>
        <v>4002.5493222803771</v>
      </c>
      <c r="Q13" s="196">
        <f t="shared" si="6"/>
        <v>4145.5986047456627</v>
      </c>
      <c r="R13" s="267">
        <f>R6-R10-R12-R11</f>
        <v>4317.8957114442228</v>
      </c>
      <c r="S13" s="184" t="s">
        <v>1520</v>
      </c>
      <c r="V13" s="8"/>
    </row>
    <row r="14" spans="2:22" ht="17">
      <c r="B14" s="209" t="s">
        <v>11</v>
      </c>
      <c r="C14" s="443">
        <v>-66</v>
      </c>
      <c r="D14" s="443">
        <v>-59</v>
      </c>
      <c r="E14" s="443">
        <v>-163</v>
      </c>
      <c r="F14" s="443">
        <v>-91</v>
      </c>
      <c r="G14" s="443">
        <v>-70</v>
      </c>
      <c r="H14" s="196">
        <v>-86</v>
      </c>
      <c r="I14" s="196">
        <v>-73</v>
      </c>
      <c r="J14" s="196">
        <v>-96</v>
      </c>
      <c r="K14" s="444">
        <v>-78</v>
      </c>
      <c r="L14" s="445">
        <v>-45</v>
      </c>
      <c r="M14" s="196">
        <f>L14*4/3</f>
        <v>-60</v>
      </c>
      <c r="N14" s="196">
        <f>M14</f>
        <v>-60</v>
      </c>
      <c r="O14" s="196">
        <f>N14</f>
        <v>-60</v>
      </c>
      <c r="P14" s="196">
        <f>O14</f>
        <v>-60</v>
      </c>
      <c r="Q14" s="196">
        <f>P14</f>
        <v>-60</v>
      </c>
      <c r="R14" s="267">
        <f>Q14</f>
        <v>-60</v>
      </c>
      <c r="S14" s="184" t="s">
        <v>245</v>
      </c>
      <c r="V14" s="8"/>
    </row>
    <row r="15" spans="2:22" ht="17">
      <c r="B15" s="209" t="s">
        <v>12</v>
      </c>
      <c r="C15" s="443">
        <v>11</v>
      </c>
      <c r="D15" s="443">
        <v>10</v>
      </c>
      <c r="E15" s="443">
        <v>10</v>
      </c>
      <c r="F15" s="443">
        <v>11</v>
      </c>
      <c r="G15" s="443">
        <v>8</v>
      </c>
      <c r="H15" s="196">
        <v>6</v>
      </c>
      <c r="I15" s="196">
        <v>14</v>
      </c>
      <c r="J15" s="196">
        <v>66</v>
      </c>
      <c r="K15" s="444">
        <v>34</v>
      </c>
      <c r="L15" s="445">
        <v>37</v>
      </c>
      <c r="M15" s="196">
        <v>37</v>
      </c>
      <c r="N15" s="196">
        <f>N38*BS!M13</f>
        <v>16.29</v>
      </c>
      <c r="O15" s="196">
        <f>O38*BS!N13</f>
        <v>16.29</v>
      </c>
      <c r="P15" s="196">
        <f>P38*BS!O13</f>
        <v>16.29</v>
      </c>
      <c r="Q15" s="196">
        <f>Q38*BS!P13</f>
        <v>16.29</v>
      </c>
      <c r="R15" s="267">
        <f>R38*BS!Q13</f>
        <v>16.29</v>
      </c>
      <c r="S15" s="184" t="s">
        <v>363</v>
      </c>
      <c r="V15" s="8"/>
    </row>
    <row r="16" spans="2:22" ht="17">
      <c r="B16" s="446" t="s">
        <v>13</v>
      </c>
      <c r="C16" s="447">
        <v>-319</v>
      </c>
      <c r="D16" s="447">
        <v>-318</v>
      </c>
      <c r="E16" s="447">
        <v>-263</v>
      </c>
      <c r="F16" s="447">
        <v>-261</v>
      </c>
      <c r="G16" s="447">
        <v>-252</v>
      </c>
      <c r="H16" s="448">
        <v>-256</v>
      </c>
      <c r="I16" s="448">
        <v>-282</v>
      </c>
      <c r="J16" s="448">
        <v>-293</v>
      </c>
      <c r="K16" s="449">
        <v>-223</v>
      </c>
      <c r="L16" s="450">
        <v>-206</v>
      </c>
      <c r="M16" s="448">
        <f>M39*(BS!L25+BS!L20)</f>
        <v>-295.40799999999996</v>
      </c>
      <c r="N16" s="448">
        <f>N39*(BS!M25+BS!M20)</f>
        <v>-295.40799999999996</v>
      </c>
      <c r="O16" s="448">
        <f>O39*(BS!N25+BS!N20)</f>
        <v>-295.40799999999996</v>
      </c>
      <c r="P16" s="448">
        <f>P39*(BS!O25+BS!O20)</f>
        <v>-295.40799999999996</v>
      </c>
      <c r="Q16" s="448">
        <f>Q39*(BS!P25+BS!P20)</f>
        <v>-295.40799999999996</v>
      </c>
      <c r="R16" s="451">
        <f>R39*(BS!Q25+BS!Q20)</f>
        <v>-295.40799999999996</v>
      </c>
      <c r="S16" s="184" t="s">
        <v>1578</v>
      </c>
      <c r="V16" s="8"/>
    </row>
    <row r="17" spans="2:22" ht="17">
      <c r="B17" s="452" t="s">
        <v>14</v>
      </c>
      <c r="C17" s="443">
        <v>3009</v>
      </c>
      <c r="D17" s="443">
        <v>2991</v>
      </c>
      <c r="E17" s="443">
        <v>1813</v>
      </c>
      <c r="F17" s="443">
        <v>2650</v>
      </c>
      <c r="G17" s="443">
        <v>2930</v>
      </c>
      <c r="H17" s="196">
        <v>2225</v>
      </c>
      <c r="I17" s="196">
        <v>2340</v>
      </c>
      <c r="J17" s="196">
        <v>2021</v>
      </c>
      <c r="K17" s="444">
        <v>1407</v>
      </c>
      <c r="L17" s="445">
        <v>2448</v>
      </c>
      <c r="M17" s="196">
        <f>M13+M14+M15+M16</f>
        <v>3078.3894405000001</v>
      </c>
      <c r="N17" s="196">
        <f>N13+N14+N15+N16</f>
        <v>3393.2045527174992</v>
      </c>
      <c r="O17" s="196">
        <f t="shared" ref="O17:R17" si="7">O13+O14+O15+O16</f>
        <v>3525.7432222474004</v>
      </c>
      <c r="P17" s="196">
        <f t="shared" si="7"/>
        <v>3663.4313222803771</v>
      </c>
      <c r="Q17" s="196">
        <f t="shared" si="7"/>
        <v>3806.4806047456627</v>
      </c>
      <c r="R17" s="267">
        <f t="shared" si="7"/>
        <v>3978.7777114442229</v>
      </c>
      <c r="S17" s="184" t="s">
        <v>1520</v>
      </c>
      <c r="V17" s="8"/>
    </row>
    <row r="18" spans="2:22" ht="17">
      <c r="B18" s="446" t="s">
        <v>15</v>
      </c>
      <c r="C18" s="447">
        <v>-922</v>
      </c>
      <c r="D18" s="447">
        <v>-776</v>
      </c>
      <c r="E18" s="447">
        <v>-471</v>
      </c>
      <c r="F18" s="447">
        <v>-576</v>
      </c>
      <c r="G18" s="447">
        <v>-676</v>
      </c>
      <c r="H18" s="448">
        <v>-479</v>
      </c>
      <c r="I18" s="448">
        <v>-495</v>
      </c>
      <c r="J18" s="448">
        <v>-453</v>
      </c>
      <c r="K18" s="449">
        <v>-298</v>
      </c>
      <c r="L18" s="450">
        <v>-494</v>
      </c>
      <c r="M18" s="448">
        <f t="shared" ref="M18:R18" si="8">M17*M40</f>
        <v>-723.42151851749998</v>
      </c>
      <c r="N18" s="448">
        <f t="shared" si="8"/>
        <v>-797.40306988861221</v>
      </c>
      <c r="O18" s="448">
        <f t="shared" si="8"/>
        <v>-828.54965722813904</v>
      </c>
      <c r="P18" s="448">
        <f t="shared" si="8"/>
        <v>-860.9063607358886</v>
      </c>
      <c r="Q18" s="448">
        <f t="shared" si="8"/>
        <v>-894.52294211523065</v>
      </c>
      <c r="R18" s="451">
        <f t="shared" si="8"/>
        <v>-935.01276218939233</v>
      </c>
      <c r="S18" s="184" t="s">
        <v>364</v>
      </c>
      <c r="V18" s="8"/>
    </row>
    <row r="19" spans="2:22" ht="17">
      <c r="B19" s="452" t="s">
        <v>16</v>
      </c>
      <c r="C19" s="443">
        <v>2087</v>
      </c>
      <c r="D19" s="443">
        <v>2215</v>
      </c>
      <c r="E19" s="443">
        <v>1342</v>
      </c>
      <c r="F19" s="443">
        <v>2074</v>
      </c>
      <c r="G19" s="443">
        <v>2254</v>
      </c>
      <c r="H19" s="196">
        <v>1746</v>
      </c>
      <c r="I19" s="196">
        <v>1845</v>
      </c>
      <c r="J19" s="196">
        <v>1568</v>
      </c>
      <c r="K19" s="444">
        <v>1109</v>
      </c>
      <c r="L19" s="445">
        <v>1954</v>
      </c>
      <c r="M19" s="196">
        <f>M17+M18</f>
        <v>2354.9679219825002</v>
      </c>
      <c r="N19" s="196">
        <f>N17+N18</f>
        <v>2595.8014828288869</v>
      </c>
      <c r="O19" s="196">
        <f t="shared" ref="O19:R19" si="9">O17+O18</f>
        <v>2697.1935650192613</v>
      </c>
      <c r="P19" s="196">
        <f t="shared" si="9"/>
        <v>2802.5249615444886</v>
      </c>
      <c r="Q19" s="196">
        <f t="shared" si="9"/>
        <v>2911.957662630432</v>
      </c>
      <c r="R19" s="267">
        <f t="shared" si="9"/>
        <v>3043.7649492548308</v>
      </c>
      <c r="S19" s="184" t="s">
        <v>1520</v>
      </c>
      <c r="V19" s="8"/>
    </row>
    <row r="20" spans="2:22" ht="17">
      <c r="B20" s="446" t="s">
        <v>17</v>
      </c>
      <c r="C20" s="447">
        <v>132</v>
      </c>
      <c r="D20" s="447">
        <v>104</v>
      </c>
      <c r="E20" s="447">
        <v>103</v>
      </c>
      <c r="F20" s="447">
        <v>123</v>
      </c>
      <c r="G20" s="447">
        <v>142</v>
      </c>
      <c r="H20" s="448">
        <v>98</v>
      </c>
      <c r="I20" s="448">
        <v>116</v>
      </c>
      <c r="J20" s="448">
        <v>196</v>
      </c>
      <c r="K20" s="449">
        <v>143</v>
      </c>
      <c r="L20" s="450">
        <v>172</v>
      </c>
      <c r="M20" s="448">
        <v>196</v>
      </c>
      <c r="N20" s="448">
        <f>M20</f>
        <v>196</v>
      </c>
      <c r="O20" s="448">
        <f t="shared" ref="O20:R20" si="10">N20</f>
        <v>196</v>
      </c>
      <c r="P20" s="448">
        <f t="shared" si="10"/>
        <v>196</v>
      </c>
      <c r="Q20" s="448">
        <f t="shared" si="10"/>
        <v>196</v>
      </c>
      <c r="R20" s="451">
        <f t="shared" si="10"/>
        <v>196</v>
      </c>
      <c r="S20" s="184" t="s">
        <v>245</v>
      </c>
      <c r="V20" s="8"/>
    </row>
    <row r="21" spans="2:22">
      <c r="B21" s="452" t="s">
        <v>18</v>
      </c>
      <c r="C21" s="443">
        <v>2219</v>
      </c>
      <c r="D21" s="443">
        <v>2319</v>
      </c>
      <c r="E21" s="443">
        <v>1445</v>
      </c>
      <c r="F21" s="443">
        <v>2197</v>
      </c>
      <c r="G21" s="443">
        <v>2396</v>
      </c>
      <c r="H21" s="196">
        <v>1844</v>
      </c>
      <c r="I21" s="196">
        <v>1961</v>
      </c>
      <c r="J21" s="196">
        <v>1764</v>
      </c>
      <c r="K21" s="444">
        <v>1252</v>
      </c>
      <c r="L21" s="445">
        <v>2126</v>
      </c>
      <c r="M21" s="196">
        <f>M19+M20</f>
        <v>2550.9679219825002</v>
      </c>
      <c r="N21" s="196">
        <f>N19+N20</f>
        <v>2791.8014828288869</v>
      </c>
      <c r="O21" s="196">
        <f t="shared" ref="O21:R21" si="11">O19+O20</f>
        <v>2893.1935650192613</v>
      </c>
      <c r="P21" s="196">
        <f t="shared" si="11"/>
        <v>2998.5249615444886</v>
      </c>
      <c r="Q21" s="196">
        <f t="shared" si="11"/>
        <v>3107.957662630432</v>
      </c>
      <c r="R21" s="267">
        <f t="shared" si="11"/>
        <v>3239.7649492548308</v>
      </c>
      <c r="S21" s="184" t="s">
        <v>1520</v>
      </c>
    </row>
    <row r="22" spans="2:22" ht="17" thickBot="1">
      <c r="B22" s="209" t="s">
        <v>19</v>
      </c>
      <c r="C22" s="443">
        <v>-53</v>
      </c>
      <c r="D22" s="443">
        <v>-41</v>
      </c>
      <c r="E22" s="443">
        <v>-35</v>
      </c>
      <c r="F22" s="443">
        <v>-40</v>
      </c>
      <c r="G22" s="443">
        <v>-44</v>
      </c>
      <c r="H22" s="196">
        <v>-30</v>
      </c>
      <c r="I22" s="196">
        <v>-27</v>
      </c>
      <c r="J22" s="196">
        <v>0</v>
      </c>
      <c r="K22" s="444">
        <v>3</v>
      </c>
      <c r="L22" s="445">
        <v>-28</v>
      </c>
      <c r="M22" s="196">
        <f>L22</f>
        <v>-28</v>
      </c>
      <c r="N22" s="196">
        <f>M22</f>
        <v>-28</v>
      </c>
      <c r="O22" s="196">
        <f t="shared" ref="O22:R22" si="12">N22</f>
        <v>-28</v>
      </c>
      <c r="P22" s="196">
        <f t="shared" si="12"/>
        <v>-28</v>
      </c>
      <c r="Q22" s="196">
        <f t="shared" si="12"/>
        <v>-28</v>
      </c>
      <c r="R22" s="267">
        <f t="shared" si="12"/>
        <v>-28</v>
      </c>
      <c r="S22" s="184" t="s">
        <v>245</v>
      </c>
    </row>
    <row r="23" spans="2:22" ht="17" thickBot="1">
      <c r="B23" s="453" t="s">
        <v>20</v>
      </c>
      <c r="C23" s="454">
        <v>2166</v>
      </c>
      <c r="D23" s="454">
        <v>2278</v>
      </c>
      <c r="E23" s="454">
        <v>1410</v>
      </c>
      <c r="F23" s="454">
        <v>2157</v>
      </c>
      <c r="G23" s="454">
        <v>2352</v>
      </c>
      <c r="H23" s="455">
        <v>1814</v>
      </c>
      <c r="I23" s="455">
        <v>1934</v>
      </c>
      <c r="J23" s="455">
        <v>1764</v>
      </c>
      <c r="K23" s="456">
        <v>1255</v>
      </c>
      <c r="L23" s="457">
        <v>2098</v>
      </c>
      <c r="M23" s="455">
        <f>M22+M21</f>
        <v>2522.9679219825002</v>
      </c>
      <c r="N23" s="455">
        <f>N22+N21</f>
        <v>2763.8014828288869</v>
      </c>
      <c r="O23" s="455">
        <f t="shared" ref="O23:R23" si="13">O22+O21</f>
        <v>2865.1935650192613</v>
      </c>
      <c r="P23" s="455">
        <f t="shared" si="13"/>
        <v>2970.5249615444886</v>
      </c>
      <c r="Q23" s="455">
        <f t="shared" si="13"/>
        <v>3079.957662630432</v>
      </c>
      <c r="R23" s="458">
        <f t="shared" si="13"/>
        <v>3211.7649492548308</v>
      </c>
      <c r="S23" s="184" t="s">
        <v>1520</v>
      </c>
    </row>
    <row r="24" spans="2:22" ht="17" thickBot="1">
      <c r="B24" s="244"/>
      <c r="C24" s="459"/>
      <c r="D24" s="459"/>
      <c r="E24" s="459"/>
      <c r="F24" s="459"/>
      <c r="G24" s="459"/>
      <c r="H24" s="460"/>
      <c r="I24" s="460"/>
      <c r="J24" s="460"/>
      <c r="K24" s="461"/>
      <c r="L24" s="462"/>
      <c r="M24" s="460"/>
      <c r="N24" s="460"/>
      <c r="O24" s="460"/>
      <c r="P24" s="460"/>
      <c r="Q24" s="460"/>
      <c r="R24" s="460"/>
    </row>
    <row r="25" spans="2:22">
      <c r="B25" s="463" t="s">
        <v>21</v>
      </c>
      <c r="C25" s="464"/>
      <c r="D25" s="464"/>
      <c r="E25" s="464"/>
      <c r="F25" s="464"/>
      <c r="G25" s="464"/>
      <c r="H25" s="464" t="s">
        <v>4</v>
      </c>
      <c r="I25" s="464" t="s">
        <v>4</v>
      </c>
      <c r="J25" s="464" t="s">
        <v>4</v>
      </c>
      <c r="K25" s="465"/>
      <c r="L25" s="466"/>
      <c r="M25" s="460"/>
      <c r="N25" s="460"/>
      <c r="O25" s="460"/>
      <c r="P25" s="460"/>
      <c r="Q25" s="460"/>
      <c r="R25" s="460"/>
    </row>
    <row r="26" spans="2:22">
      <c r="B26" s="209" t="s">
        <v>22</v>
      </c>
      <c r="C26" s="443">
        <v>6.03</v>
      </c>
      <c r="D26" s="443">
        <v>6.44</v>
      </c>
      <c r="E26" s="443">
        <v>4.05</v>
      </c>
      <c r="F26" s="443">
        <v>6.28</v>
      </c>
      <c r="G26" s="443">
        <v>6.9</v>
      </c>
      <c r="H26" s="196">
        <v>5.38</v>
      </c>
      <c r="I26" s="196">
        <v>5.73</v>
      </c>
      <c r="J26" s="196">
        <v>5.22</v>
      </c>
      <c r="K26" s="467">
        <v>4</v>
      </c>
      <c r="L26" s="468">
        <v>6</v>
      </c>
      <c r="M26" s="460"/>
      <c r="N26" s="460"/>
      <c r="O26" s="460"/>
      <c r="P26" s="460"/>
      <c r="Q26" s="460"/>
      <c r="R26" s="460"/>
    </row>
    <row r="27" spans="2:22" ht="17" thickBot="1">
      <c r="B27" s="272" t="s">
        <v>23</v>
      </c>
      <c r="C27" s="636">
        <v>5.99</v>
      </c>
      <c r="D27" s="636">
        <v>6.4</v>
      </c>
      <c r="E27" s="636">
        <v>4.03</v>
      </c>
      <c r="F27" s="636">
        <v>6.24</v>
      </c>
      <c r="G27" s="636">
        <v>6.87</v>
      </c>
      <c r="H27" s="469">
        <v>5.35</v>
      </c>
      <c r="I27" s="469">
        <v>5.72</v>
      </c>
      <c r="J27" s="469">
        <v>5.21</v>
      </c>
      <c r="K27" s="461">
        <v>3.71</v>
      </c>
      <c r="L27" s="462">
        <v>6.23</v>
      </c>
      <c r="M27" s="460"/>
      <c r="N27" s="460"/>
      <c r="O27" s="460"/>
      <c r="P27" s="460"/>
      <c r="Q27" s="460"/>
      <c r="R27" s="460"/>
    </row>
    <row r="28" spans="2:22" ht="17" thickBot="1">
      <c r="K28" s="188"/>
      <c r="L28" s="189"/>
    </row>
    <row r="29" spans="2:22" ht="17">
      <c r="B29" s="470" t="s">
        <v>170</v>
      </c>
      <c r="C29" s="471" t="s">
        <v>104</v>
      </c>
      <c r="D29" s="471" t="s">
        <v>103</v>
      </c>
      <c r="E29" s="471" t="s">
        <v>102</v>
      </c>
      <c r="F29" s="471" t="s">
        <v>66</v>
      </c>
      <c r="G29" s="471" t="s">
        <v>65</v>
      </c>
      <c r="H29" s="472" t="s">
        <v>3</v>
      </c>
      <c r="I29" s="472" t="s">
        <v>2</v>
      </c>
      <c r="J29" s="472" t="s">
        <v>1</v>
      </c>
      <c r="K29" s="633" t="s">
        <v>185</v>
      </c>
      <c r="L29" s="634" t="s">
        <v>184</v>
      </c>
      <c r="M29" s="472" t="s">
        <v>178</v>
      </c>
      <c r="N29" s="472" t="s">
        <v>179</v>
      </c>
      <c r="O29" s="472" t="s">
        <v>180</v>
      </c>
      <c r="P29" s="472" t="s">
        <v>181</v>
      </c>
      <c r="Q29" s="472" t="s">
        <v>182</v>
      </c>
      <c r="R29" s="473" t="s">
        <v>183</v>
      </c>
    </row>
    <row r="30" spans="2:22">
      <c r="B30" s="209"/>
      <c r="K30" s="188"/>
      <c r="L30" s="189"/>
      <c r="R30" s="210"/>
      <c r="T30" s="379" t="s">
        <v>122</v>
      </c>
    </row>
    <row r="31" spans="2:22">
      <c r="B31" s="209" t="s">
        <v>173</v>
      </c>
      <c r="C31" s="203">
        <f>C5/C4</f>
        <v>0.63411166402362329</v>
      </c>
      <c r="D31" s="203">
        <f t="shared" ref="D31:J31" si="14">D5/D4</f>
        <v>0.64099629387399171</v>
      </c>
      <c r="E31" s="203">
        <f t="shared" si="14"/>
        <v>0.69723033647084276</v>
      </c>
      <c r="F31" s="203">
        <f t="shared" si="14"/>
        <v>0.67289972899729</v>
      </c>
      <c r="G31" s="203">
        <f t="shared" si="14"/>
        <v>0.64357366771159874</v>
      </c>
      <c r="H31" s="203">
        <f t="shared" si="14"/>
        <v>0.69197530864197532</v>
      </c>
      <c r="I31" s="203">
        <f t="shared" si="14"/>
        <v>0.69174721189591082</v>
      </c>
      <c r="J31" s="203">
        <f t="shared" si="14"/>
        <v>0.65581714061964658</v>
      </c>
      <c r="K31" s="474">
        <f>K5/K4</f>
        <v>0.6575253864562447</v>
      </c>
      <c r="L31" s="204">
        <f>L5/L4</f>
        <v>0.63615333773959026</v>
      </c>
      <c r="M31" s="261">
        <f>CHOOSE(Cover!$G$28,IS!M32,IS!M33,IS!M34)</f>
        <v>0.63500000000000001</v>
      </c>
      <c r="N31" s="261">
        <f>CHOOSE(Cover!$G$28,IS!N32,IS!N33,IS!N34)</f>
        <v>0.63</v>
      </c>
      <c r="O31" s="261">
        <f>CHOOSE(Cover!$G$28,IS!O32,IS!O33,IS!O34)</f>
        <v>0.63</v>
      </c>
      <c r="P31" s="261">
        <f>CHOOSE(Cover!$G$28,IS!P32,IS!P33,IS!P34)</f>
        <v>0.63</v>
      </c>
      <c r="Q31" s="261">
        <f>CHOOSE(Cover!$G$28,IS!Q32,IS!Q33,IS!Q34)</f>
        <v>0.63</v>
      </c>
      <c r="R31" s="262">
        <f>CHOOSE(Cover!$G$28,IS!R32,IS!R33,IS!R34)</f>
        <v>0.63</v>
      </c>
      <c r="S31" s="184" t="s">
        <v>174</v>
      </c>
      <c r="T31" s="475">
        <f>AVERAGE(C31:J31)</f>
        <v>0.66604391902935989</v>
      </c>
    </row>
    <row r="32" spans="2:22">
      <c r="B32" s="209" t="s">
        <v>1525</v>
      </c>
      <c r="C32" s="203"/>
      <c r="D32" s="203"/>
      <c r="E32" s="203"/>
      <c r="F32" s="203"/>
      <c r="G32" s="203"/>
      <c r="H32" s="203"/>
      <c r="I32" s="203"/>
      <c r="J32" s="203"/>
      <c r="K32" s="474"/>
      <c r="L32" s="204"/>
      <c r="M32" s="637">
        <f>M33+$T$32</f>
        <v>0.65500000000000003</v>
      </c>
      <c r="N32" s="637">
        <f t="shared" ref="N32:Q32" si="15">N33+$T$32</f>
        <v>0.65</v>
      </c>
      <c r="O32" s="637">
        <f t="shared" si="15"/>
        <v>0.65</v>
      </c>
      <c r="P32" s="637">
        <f t="shared" si="15"/>
        <v>0.65</v>
      </c>
      <c r="Q32" s="637">
        <f t="shared" si="15"/>
        <v>0.65</v>
      </c>
      <c r="R32" s="638">
        <f>R33+$T$32</f>
        <v>0.65</v>
      </c>
      <c r="S32" s="184" t="s">
        <v>1525</v>
      </c>
      <c r="T32" s="475">
        <v>0.02</v>
      </c>
    </row>
    <row r="33" spans="2:21">
      <c r="B33" s="209" t="s">
        <v>1524</v>
      </c>
      <c r="C33" s="203"/>
      <c r="D33" s="203"/>
      <c r="E33" s="203"/>
      <c r="F33" s="203"/>
      <c r="G33" s="203"/>
      <c r="H33" s="203"/>
      <c r="I33" s="203"/>
      <c r="J33" s="203"/>
      <c r="K33" s="474"/>
      <c r="L33" s="204"/>
      <c r="M33" s="637">
        <v>0.63500000000000001</v>
      </c>
      <c r="N33" s="637">
        <v>0.63</v>
      </c>
      <c r="O33" s="637">
        <v>0.63</v>
      </c>
      <c r="P33" s="637">
        <v>0.63</v>
      </c>
      <c r="Q33" s="637">
        <v>0.63</v>
      </c>
      <c r="R33" s="638">
        <v>0.63</v>
      </c>
      <c r="S33" s="184" t="s">
        <v>1524</v>
      </c>
      <c r="T33" s="475"/>
    </row>
    <row r="34" spans="2:21">
      <c r="B34" s="209" t="s">
        <v>1526</v>
      </c>
      <c r="C34" s="203"/>
      <c r="D34" s="203"/>
      <c r="E34" s="203"/>
      <c r="F34" s="203"/>
      <c r="G34" s="203"/>
      <c r="H34" s="203"/>
      <c r="I34" s="203"/>
      <c r="J34" s="203"/>
      <c r="K34" s="474"/>
      <c r="L34" s="204"/>
      <c r="M34" s="637">
        <f>M33-$T$34</f>
        <v>0.61499999999999999</v>
      </c>
      <c r="N34" s="637">
        <f t="shared" ref="N34:Q34" si="16">N33-$T$34</f>
        <v>0.61</v>
      </c>
      <c r="O34" s="637">
        <f t="shared" si="16"/>
        <v>0.61</v>
      </c>
      <c r="P34" s="637">
        <f t="shared" si="16"/>
        <v>0.61</v>
      </c>
      <c r="Q34" s="637">
        <f t="shared" si="16"/>
        <v>0.61</v>
      </c>
      <c r="R34" s="638">
        <f>R33-$T$34</f>
        <v>0.61</v>
      </c>
      <c r="S34" s="475" t="s">
        <v>1526</v>
      </c>
      <c r="T34" s="475">
        <v>0.02</v>
      </c>
    </row>
    <row r="35" spans="2:21">
      <c r="B35" s="209" t="s">
        <v>1594</v>
      </c>
      <c r="C35" s="203">
        <f t="shared" ref="C35:J35" si="17">C7/C$4</f>
        <v>3.6364630611910101E-2</v>
      </c>
      <c r="D35" s="203">
        <f t="shared" si="17"/>
        <v>3.5317200784826683E-2</v>
      </c>
      <c r="E35" s="203">
        <f t="shared" si="17"/>
        <v>3.5432218976522774E-2</v>
      </c>
      <c r="F35" s="203">
        <f t="shared" si="17"/>
        <v>4.102981029810298E-2</v>
      </c>
      <c r="G35" s="203">
        <f t="shared" si="17"/>
        <v>4.9947753396029256E-2</v>
      </c>
      <c r="H35" s="203">
        <f t="shared" si="17"/>
        <v>4.5936213991769545E-2</v>
      </c>
      <c r="I35" s="203">
        <f t="shared" si="17"/>
        <v>4.4659231722428749E-2</v>
      </c>
      <c r="J35" s="203">
        <f t="shared" si="17"/>
        <v>5.2616122558856643E-2</v>
      </c>
      <c r="K35" s="474"/>
      <c r="L35" s="204"/>
      <c r="M35" s="637">
        <v>5.2600000000000001E-2</v>
      </c>
      <c r="N35" s="637">
        <v>5.2600000000000001E-2</v>
      </c>
      <c r="O35" s="637">
        <v>5.2600000000000001E-2</v>
      </c>
      <c r="P35" s="637">
        <v>5.2600000000000001E-2</v>
      </c>
      <c r="Q35" s="637">
        <v>5.2600000000000001E-2</v>
      </c>
      <c r="R35" s="638">
        <v>5.2600000000000001E-2</v>
      </c>
      <c r="S35" s="475"/>
      <c r="T35" s="475"/>
    </row>
    <row r="36" spans="2:21">
      <c r="B36" s="209" t="s">
        <v>1592</v>
      </c>
      <c r="C36" s="203">
        <f t="shared" ref="C36:I36" si="18">C8/C$4</f>
        <v>1.7826871548094276E-2</v>
      </c>
      <c r="D36" s="203">
        <f t="shared" si="18"/>
        <v>1.684107259646828E-2</v>
      </c>
      <c r="E36" s="203">
        <f t="shared" si="18"/>
        <v>1.7148112084820945E-2</v>
      </c>
      <c r="F36" s="203">
        <f t="shared" si="18"/>
        <v>1.5392953929539295E-2</v>
      </c>
      <c r="G36" s="203">
        <f t="shared" si="18"/>
        <v>1.4420062695924765E-2</v>
      </c>
      <c r="H36" s="203">
        <f t="shared" si="18"/>
        <v>1.3837448559670782E-2</v>
      </c>
      <c r="I36" s="203">
        <f t="shared" si="18"/>
        <v>1.4473358116480792E-2</v>
      </c>
      <c r="J36" s="203">
        <f>J8/J$4</f>
        <v>1.5270911849640252E-2</v>
      </c>
      <c r="K36" s="474"/>
      <c r="L36" s="204"/>
      <c r="M36" s="637">
        <v>1.5299999999999999E-2</v>
      </c>
      <c r="N36" s="637">
        <f>M36</f>
        <v>1.5299999999999999E-2</v>
      </c>
      <c r="O36" s="637">
        <f>N36</f>
        <v>1.5299999999999999E-2</v>
      </c>
      <c r="P36" s="637">
        <f>O36</f>
        <v>1.5299999999999999E-2</v>
      </c>
      <c r="Q36" s="637">
        <f>P36</f>
        <v>1.5299999999999999E-2</v>
      </c>
      <c r="R36" s="638">
        <f>Q36</f>
        <v>1.5299999999999999E-2</v>
      </c>
      <c r="S36" s="475"/>
      <c r="T36" s="475"/>
    </row>
    <row r="37" spans="2:21">
      <c r="B37" s="209" t="s">
        <v>1595</v>
      </c>
      <c r="C37" s="203">
        <f>C9/C$4</f>
        <v>0.12626455952315851</v>
      </c>
      <c r="D37" s="203">
        <f t="shared" ref="D37:J37" si="19">D9/D$4</f>
        <v>0.12235666012644431</v>
      </c>
      <c r="E37" s="203">
        <f t="shared" si="19"/>
        <v>0.1295575029752245</v>
      </c>
      <c r="F37" s="203">
        <f t="shared" si="19"/>
        <v>0.11994579945799458</v>
      </c>
      <c r="G37" s="203">
        <f t="shared" si="19"/>
        <v>0.12539184952978055</v>
      </c>
      <c r="H37" s="203">
        <f t="shared" si="19"/>
        <v>0.11507201646090535</v>
      </c>
      <c r="I37" s="203">
        <f t="shared" si="19"/>
        <v>0.11836431226765799</v>
      </c>
      <c r="J37" s="203">
        <f t="shared" si="19"/>
        <v>0.12598502275953208</v>
      </c>
      <c r="K37" s="474"/>
      <c r="L37" s="204"/>
      <c r="M37" s="261">
        <v>0.122</v>
      </c>
      <c r="N37" s="261">
        <v>0.122</v>
      </c>
      <c r="O37" s="261">
        <v>0.122</v>
      </c>
      <c r="P37" s="261">
        <v>0.122</v>
      </c>
      <c r="Q37" s="261">
        <v>0.122</v>
      </c>
      <c r="R37" s="262">
        <v>0.122</v>
      </c>
      <c r="S37" s="184" t="s">
        <v>174</v>
      </c>
      <c r="T37" s="475">
        <f>AVERAGE(C37:J37)</f>
        <v>0.12286721538758723</v>
      </c>
    </row>
    <row r="38" spans="2:21">
      <c r="B38" s="209" t="s">
        <v>1576</v>
      </c>
      <c r="C38" s="203"/>
      <c r="D38" s="203">
        <f>D15/BS!D13</f>
        <v>4.2918454935622317E-2</v>
      </c>
      <c r="E38" s="203">
        <f>E15/BS!E13</f>
        <v>4.4642857142857144E-2</v>
      </c>
      <c r="F38" s="203">
        <f>F15/BS!F13</f>
        <v>4.1044776119402986E-2</v>
      </c>
      <c r="G38" s="203">
        <f>G15/BS!G13</f>
        <v>2.6666666666666668E-2</v>
      </c>
      <c r="H38" s="203">
        <f>H15/BS!H13</f>
        <v>2.0689655172413793E-2</v>
      </c>
      <c r="I38" s="203">
        <f>I15/BS!I13</f>
        <v>5.8823529411764705E-2</v>
      </c>
      <c r="J38" s="203">
        <f>J15/BS!J13</f>
        <v>0.21568627450980393</v>
      </c>
      <c r="K38" s="474">
        <f>K15/BS!K13</f>
        <v>9.3922651933701654E-2</v>
      </c>
      <c r="L38" s="204">
        <f>L15/BS!L13</f>
        <v>0.10220994475138122</v>
      </c>
      <c r="M38" s="261">
        <f>M15/BS!M13</f>
        <v>0.10220994475138122</v>
      </c>
      <c r="N38" s="261">
        <v>4.4999999999999998E-2</v>
      </c>
      <c r="O38" s="261">
        <f t="shared" ref="O38:R40" si="20">N38</f>
        <v>4.4999999999999998E-2</v>
      </c>
      <c r="P38" s="261">
        <f t="shared" si="20"/>
        <v>4.4999999999999998E-2</v>
      </c>
      <c r="Q38" s="261">
        <f t="shared" si="20"/>
        <v>4.4999999999999998E-2</v>
      </c>
      <c r="R38" s="262">
        <f t="shared" si="20"/>
        <v>4.4999999999999998E-2</v>
      </c>
      <c r="S38" s="184" t="s">
        <v>1577</v>
      </c>
      <c r="T38" s="475"/>
    </row>
    <row r="39" spans="2:21">
      <c r="B39" s="209" t="s">
        <v>175</v>
      </c>
      <c r="D39" s="203">
        <f>D16/(BS!D25+BS!D20)</f>
        <v>-4.2828282828282827E-2</v>
      </c>
      <c r="E39" s="203">
        <f>E16/(BS!E25+BS!E20)</f>
        <v>-3.5278336686787391E-2</v>
      </c>
      <c r="F39" s="203">
        <f>F16/(BS!F25+BS!F20)</f>
        <v>-3.3690460823544599E-2</v>
      </c>
      <c r="G39" s="203">
        <f>G16/(BS!G25+BS!G20)</f>
        <v>-3.0129124820659971E-2</v>
      </c>
      <c r="H39" s="203">
        <f>H16/(BS!H25+BS!H20)</f>
        <v>-2.985770935386051E-2</v>
      </c>
      <c r="I39" s="203">
        <f>I16/(BS!I25+BS!I20)</f>
        <v>-3.3483733080028499E-2</v>
      </c>
      <c r="J39" s="203">
        <f>J16/(BS!J25+BS!J20)</f>
        <v>-3.6698396793587176E-2</v>
      </c>
      <c r="K39" s="474"/>
      <c r="L39" s="204">
        <f>L16/(BS!K25)</f>
        <v>-2.9933158965417029E-2</v>
      </c>
      <c r="M39" s="637">
        <v>-3.6999999999999998E-2</v>
      </c>
      <c r="N39" s="637">
        <v>-3.6999999999999998E-2</v>
      </c>
      <c r="O39" s="637">
        <f t="shared" si="20"/>
        <v>-3.6999999999999998E-2</v>
      </c>
      <c r="P39" s="637">
        <f t="shared" si="20"/>
        <v>-3.6999999999999998E-2</v>
      </c>
      <c r="Q39" s="637">
        <f t="shared" si="20"/>
        <v>-3.6999999999999998E-2</v>
      </c>
      <c r="R39" s="638">
        <f t="shared" si="20"/>
        <v>-3.6999999999999998E-2</v>
      </c>
      <c r="S39" s="184" t="s">
        <v>1578</v>
      </c>
      <c r="T39" s="476">
        <f>AVERAGE(C39:J39)</f>
        <v>-3.4566577769535853E-2</v>
      </c>
    </row>
    <row r="40" spans="2:21" ht="17" thickBot="1">
      <c r="B40" s="272" t="s">
        <v>176</v>
      </c>
      <c r="C40" s="477">
        <f t="shared" ref="C40:L40" si="21">C18/C17</f>
        <v>-0.30641409106015288</v>
      </c>
      <c r="D40" s="477">
        <f t="shared" si="21"/>
        <v>-0.25944500167168172</v>
      </c>
      <c r="E40" s="477">
        <f t="shared" si="21"/>
        <v>-0.25979040264754549</v>
      </c>
      <c r="F40" s="477">
        <f t="shared" si="21"/>
        <v>-0.21735849056603773</v>
      </c>
      <c r="G40" s="477">
        <f t="shared" si="21"/>
        <v>-0.23071672354948805</v>
      </c>
      <c r="H40" s="477">
        <f t="shared" si="21"/>
        <v>-0.2152808988764045</v>
      </c>
      <c r="I40" s="477">
        <f t="shared" si="21"/>
        <v>-0.21153846153846154</v>
      </c>
      <c r="J40" s="477">
        <f t="shared" si="21"/>
        <v>-0.22414646214745176</v>
      </c>
      <c r="K40" s="478">
        <f t="shared" si="21"/>
        <v>-0.21179815209665956</v>
      </c>
      <c r="L40" s="479">
        <f t="shared" si="21"/>
        <v>-0.20179738562091504</v>
      </c>
      <c r="M40" s="263">
        <v>-0.23499999999999999</v>
      </c>
      <c r="N40" s="263">
        <f>M40</f>
        <v>-0.23499999999999999</v>
      </c>
      <c r="O40" s="263">
        <f t="shared" si="20"/>
        <v>-0.23499999999999999</v>
      </c>
      <c r="P40" s="263">
        <f t="shared" si="20"/>
        <v>-0.23499999999999999</v>
      </c>
      <c r="Q40" s="263">
        <f t="shared" si="20"/>
        <v>-0.23499999999999999</v>
      </c>
      <c r="R40" s="264">
        <f t="shared" si="20"/>
        <v>-0.23499999999999999</v>
      </c>
      <c r="S40" s="184" t="s">
        <v>177</v>
      </c>
      <c r="T40" s="475">
        <f>AVERAGE(C40:J40)</f>
        <v>-0.24058631650715295</v>
      </c>
    </row>
    <row r="41" spans="2:21">
      <c r="K41" s="188"/>
      <c r="L41" s="189"/>
      <c r="U41" s="475"/>
    </row>
    <row r="42" spans="2:21" ht="17" thickBot="1">
      <c r="K42" s="188"/>
      <c r="L42" s="189"/>
    </row>
    <row r="43" spans="2:21" ht="18" thickBot="1">
      <c r="B43" s="470" t="s">
        <v>171</v>
      </c>
      <c r="C43" s="434" t="s">
        <v>104</v>
      </c>
      <c r="D43" s="434" t="s">
        <v>103</v>
      </c>
      <c r="E43" s="434" t="s">
        <v>102</v>
      </c>
      <c r="F43" s="434" t="s">
        <v>66</v>
      </c>
      <c r="G43" s="434" t="s">
        <v>65</v>
      </c>
      <c r="H43" s="435" t="s">
        <v>3</v>
      </c>
      <c r="I43" s="435" t="s">
        <v>2</v>
      </c>
      <c r="J43" s="435" t="s">
        <v>1</v>
      </c>
      <c r="K43" s="436" t="s">
        <v>185</v>
      </c>
      <c r="L43" s="437" t="s">
        <v>184</v>
      </c>
      <c r="M43" s="435" t="s">
        <v>178</v>
      </c>
      <c r="N43" s="435" t="s">
        <v>179</v>
      </c>
      <c r="O43" s="435" t="s">
        <v>180</v>
      </c>
      <c r="P43" s="435" t="s">
        <v>181</v>
      </c>
      <c r="Q43" s="435" t="s">
        <v>182</v>
      </c>
      <c r="R43" s="438" t="s">
        <v>183</v>
      </c>
    </row>
    <row r="44" spans="2:21">
      <c r="B44" s="209"/>
      <c r="K44" s="188"/>
      <c r="L44" s="189"/>
      <c r="R44" s="210"/>
    </row>
    <row r="45" spans="2:21">
      <c r="B45" s="209" t="s">
        <v>6</v>
      </c>
      <c r="C45" s="480">
        <f>C5/C$4</f>
        <v>0.63411166402362329</v>
      </c>
      <c r="D45" s="480">
        <f t="shared" ref="D45:L45" si="22">D5/D$4</f>
        <v>0.64099629387399171</v>
      </c>
      <c r="E45" s="480">
        <f t="shared" si="22"/>
        <v>0.69723033647084276</v>
      </c>
      <c r="F45" s="480">
        <f t="shared" si="22"/>
        <v>0.67289972899729</v>
      </c>
      <c r="G45" s="480">
        <f t="shared" si="22"/>
        <v>0.64357366771159874</v>
      </c>
      <c r="H45" s="480">
        <f t="shared" si="22"/>
        <v>0.69197530864197532</v>
      </c>
      <c r="I45" s="480">
        <f t="shared" si="22"/>
        <v>0.69174721189591082</v>
      </c>
      <c r="J45" s="480">
        <f t="shared" si="22"/>
        <v>0.65581714061964658</v>
      </c>
      <c r="K45" s="481">
        <f t="shared" si="22"/>
        <v>0.6575253864562447</v>
      </c>
      <c r="L45" s="482">
        <f t="shared" si="22"/>
        <v>0.63615333773959026</v>
      </c>
      <c r="M45" s="480">
        <f t="shared" ref="M45:R45" si="23">M5/M$4</f>
        <v>0.63500000000000001</v>
      </c>
      <c r="N45" s="480">
        <f t="shared" si="23"/>
        <v>0.63</v>
      </c>
      <c r="O45" s="480">
        <f t="shared" si="23"/>
        <v>0.63</v>
      </c>
      <c r="P45" s="480">
        <f t="shared" si="23"/>
        <v>0.63</v>
      </c>
      <c r="Q45" s="480">
        <f t="shared" si="23"/>
        <v>0.63</v>
      </c>
      <c r="R45" s="483">
        <f t="shared" si="23"/>
        <v>0.63</v>
      </c>
    </row>
    <row r="46" spans="2:21">
      <c r="B46" s="209" t="s">
        <v>7</v>
      </c>
      <c r="C46" s="480">
        <f t="shared" ref="C46:L46" si="24">C6/C$4</f>
        <v>0.36588833597637666</v>
      </c>
      <c r="D46" s="480">
        <f t="shared" si="24"/>
        <v>0.35900370612600829</v>
      </c>
      <c r="E46" s="480">
        <f t="shared" si="24"/>
        <v>0.30276966352915718</v>
      </c>
      <c r="F46" s="480">
        <f t="shared" si="24"/>
        <v>0.32710027100271005</v>
      </c>
      <c r="G46" s="480">
        <f t="shared" si="24"/>
        <v>0.35642633228840126</v>
      </c>
      <c r="H46" s="480">
        <f t="shared" si="24"/>
        <v>0.30802469135802468</v>
      </c>
      <c r="I46" s="480">
        <f t="shared" si="24"/>
        <v>0.30825278810408924</v>
      </c>
      <c r="J46" s="480">
        <f t="shared" si="24"/>
        <v>0.34418285938035337</v>
      </c>
      <c r="K46" s="481">
        <f t="shared" si="24"/>
        <v>0.34247461354375525</v>
      </c>
      <c r="L46" s="482">
        <f t="shared" si="24"/>
        <v>0.36384666226040979</v>
      </c>
      <c r="M46" s="480">
        <f t="shared" ref="M46:R46" si="25">M6/M$4</f>
        <v>0.36499999999999999</v>
      </c>
      <c r="N46" s="480">
        <f t="shared" si="25"/>
        <v>0.37</v>
      </c>
      <c r="O46" s="480">
        <f t="shared" si="25"/>
        <v>0.37</v>
      </c>
      <c r="P46" s="480">
        <f t="shared" si="25"/>
        <v>0.37000000000000005</v>
      </c>
      <c r="Q46" s="480">
        <f t="shared" si="25"/>
        <v>0.37000000000000005</v>
      </c>
      <c r="R46" s="483">
        <f t="shared" si="25"/>
        <v>0.37000000000000005</v>
      </c>
    </row>
    <row r="47" spans="2:21">
      <c r="B47" s="209" t="s">
        <v>8</v>
      </c>
      <c r="C47" s="480">
        <f t="shared" ref="C47:L47" si="26">C10/C$4</f>
        <v>0.18045606168316292</v>
      </c>
      <c r="D47" s="480">
        <f t="shared" si="26"/>
        <v>0.17451493350773925</v>
      </c>
      <c r="E47" s="480">
        <f t="shared" si="26"/>
        <v>0.18213783403656822</v>
      </c>
      <c r="F47" s="480">
        <f t="shared" si="26"/>
        <v>0.17636856368563686</v>
      </c>
      <c r="G47" s="480">
        <f>G10/G$4</f>
        <v>0.18975966562173457</v>
      </c>
      <c r="H47" s="480">
        <f t="shared" si="26"/>
        <v>0.17484567901234568</v>
      </c>
      <c r="I47" s="480">
        <f t="shared" si="26"/>
        <v>0.17749690210656754</v>
      </c>
      <c r="J47" s="480">
        <f t="shared" si="26"/>
        <v>0.19387205716802897</v>
      </c>
      <c r="K47" s="481">
        <f t="shared" si="26"/>
        <v>0.19196688441886037</v>
      </c>
      <c r="L47" s="482">
        <f t="shared" si="26"/>
        <v>0.21163251817580964</v>
      </c>
      <c r="M47" s="480">
        <f t="shared" ref="M47:Q47" si="27">M10/M$4</f>
        <v>0.18990000000000001</v>
      </c>
      <c r="N47" s="480">
        <f t="shared" si="27"/>
        <v>0.18990000000000001</v>
      </c>
      <c r="O47" s="480">
        <f t="shared" si="27"/>
        <v>0.18990000000000001</v>
      </c>
      <c r="P47" s="480">
        <f>P10/P$4</f>
        <v>0.18989999999999999</v>
      </c>
      <c r="Q47" s="480">
        <f t="shared" si="27"/>
        <v>0.18990000000000001</v>
      </c>
      <c r="R47" s="483">
        <f>R10/R$4</f>
        <v>0.18990000000000001</v>
      </c>
    </row>
    <row r="48" spans="2:21">
      <c r="B48" s="209" t="s">
        <v>9</v>
      </c>
      <c r="C48" s="480">
        <f t="shared" ref="C48:L48" si="28">C12/C$4</f>
        <v>4.3746924044403128E-4</v>
      </c>
      <c r="D48" s="480">
        <f t="shared" si="28"/>
        <v>1.4715500327011119E-3</v>
      </c>
      <c r="E48" s="480">
        <f t="shared" si="28"/>
        <v>5.4094990803851562E-5</v>
      </c>
      <c r="F48" s="480">
        <f t="shared" si="28"/>
        <v>-1.1382113821138212E-2</v>
      </c>
      <c r="G48" s="480">
        <f t="shared" si="28"/>
        <v>-2.8213166144200625E-3</v>
      </c>
      <c r="H48" s="480">
        <f t="shared" si="28"/>
        <v>1.440329218106996E-3</v>
      </c>
      <c r="I48" s="480">
        <f t="shared" si="28"/>
        <v>-2.1313506815365552E-3</v>
      </c>
      <c r="J48" s="480">
        <f t="shared" si="28"/>
        <v>3.3772208898242865E-3</v>
      </c>
      <c r="K48" s="481">
        <f t="shared" si="28"/>
        <v>4.2235301726925814E-2</v>
      </c>
      <c r="L48" s="482">
        <f t="shared" si="28"/>
        <v>-2.3727693324520821E-2</v>
      </c>
      <c r="M48" s="480">
        <f t="shared" ref="M48:R48" si="29">M12/M$4</f>
        <v>0</v>
      </c>
      <c r="N48" s="480">
        <f t="shared" si="29"/>
        <v>0</v>
      </c>
      <c r="O48" s="480">
        <f t="shared" si="29"/>
        <v>0</v>
      </c>
      <c r="P48" s="480">
        <f t="shared" si="29"/>
        <v>0</v>
      </c>
      <c r="Q48" s="480">
        <f t="shared" si="29"/>
        <v>0</v>
      </c>
      <c r="R48" s="483">
        <f t="shared" si="29"/>
        <v>0</v>
      </c>
    </row>
    <row r="49" spans="2:18">
      <c r="B49" s="209" t="s">
        <v>10</v>
      </c>
      <c r="C49" s="480">
        <f t="shared" ref="C49:L49" si="30">C13/C$4</f>
        <v>0.18499480505276972</v>
      </c>
      <c r="D49" s="480">
        <f t="shared" si="30"/>
        <v>0.18301722258556791</v>
      </c>
      <c r="E49" s="480">
        <f t="shared" si="30"/>
        <v>0.12057773450178513</v>
      </c>
      <c r="F49" s="480">
        <f t="shared" si="30"/>
        <v>0.16211382113821138</v>
      </c>
      <c r="G49" s="480">
        <f t="shared" si="30"/>
        <v>0.16948798328108672</v>
      </c>
      <c r="H49" s="480">
        <f t="shared" si="30"/>
        <v>0.131738683127572</v>
      </c>
      <c r="I49" s="480">
        <f t="shared" si="30"/>
        <v>0.13288723667905825</v>
      </c>
      <c r="J49" s="480">
        <f t="shared" si="30"/>
        <v>0.11472761979345113</v>
      </c>
      <c r="K49" s="481">
        <f t="shared" si="30"/>
        <v>0.10827242739796908</v>
      </c>
      <c r="L49" s="482">
        <f t="shared" si="30"/>
        <v>0.17594183740912095</v>
      </c>
      <c r="M49" s="480">
        <f t="shared" ref="M49:R49" si="31">M13/M$4</f>
        <v>0.17023861341727661</v>
      </c>
      <c r="N49" s="480">
        <f t="shared" si="31"/>
        <v>0.18009999999999998</v>
      </c>
      <c r="O49" s="480">
        <f t="shared" si="31"/>
        <v>0.18010000000000001</v>
      </c>
      <c r="P49" s="480">
        <f t="shared" si="31"/>
        <v>0.18010000000000004</v>
      </c>
      <c r="Q49" s="480">
        <f t="shared" si="31"/>
        <v>0.18010000000000001</v>
      </c>
      <c r="R49" s="483">
        <f t="shared" si="31"/>
        <v>0.18010000000000004</v>
      </c>
    </row>
    <row r="50" spans="2:18">
      <c r="B50" s="209" t="s">
        <v>11</v>
      </c>
      <c r="C50" s="480">
        <f t="shared" ref="C50:L50" si="32">C14/C$4</f>
        <v>-3.6091212336632579E-3</v>
      </c>
      <c r="D50" s="480">
        <f t="shared" si="32"/>
        <v>-3.2156093307172443E-3</v>
      </c>
      <c r="E50" s="480">
        <f t="shared" si="32"/>
        <v>-8.8174835010278053E-3</v>
      </c>
      <c r="F50" s="480">
        <f t="shared" si="32"/>
        <v>-4.9322493224932254E-3</v>
      </c>
      <c r="G50" s="480">
        <f t="shared" si="32"/>
        <v>-3.6572622779519333E-3</v>
      </c>
      <c r="H50" s="480">
        <f t="shared" si="32"/>
        <v>-4.4238683127572013E-3</v>
      </c>
      <c r="I50" s="480">
        <f t="shared" si="32"/>
        <v>-3.6183395291201981E-3</v>
      </c>
      <c r="J50" s="480">
        <f t="shared" si="32"/>
        <v>-4.698742107581616E-3</v>
      </c>
      <c r="K50" s="481">
        <f t="shared" si="32"/>
        <v>-5.0449518142422871E-3</v>
      </c>
      <c r="L50" s="482">
        <f t="shared" si="32"/>
        <v>-2.9742233972240581E-3</v>
      </c>
      <c r="M50" s="480">
        <f t="shared" ref="M50:R50" si="33">M14/M$4</f>
        <v>-3.0070432470453924E-3</v>
      </c>
      <c r="N50" s="480">
        <f t="shared" si="33"/>
        <v>-2.8952481591206967E-3</v>
      </c>
      <c r="O50" s="480">
        <f t="shared" si="33"/>
        <v>-2.7959606771381968E-3</v>
      </c>
      <c r="P50" s="480">
        <f t="shared" si="33"/>
        <v>-2.6997793480889542E-3</v>
      </c>
      <c r="Q50" s="480">
        <f t="shared" si="33"/>
        <v>-2.6066199432887359E-3</v>
      </c>
      <c r="R50" s="483">
        <f t="shared" si="33"/>
        <v>-2.5026079187970194E-3</v>
      </c>
    </row>
    <row r="51" spans="2:18">
      <c r="B51" s="209" t="s">
        <v>12</v>
      </c>
      <c r="C51" s="480">
        <f t="shared" ref="C51:L51" si="34">C15/C$4</f>
        <v>6.0152020561054305E-4</v>
      </c>
      <c r="D51" s="480">
        <f t="shared" si="34"/>
        <v>5.450185306300414E-4</v>
      </c>
      <c r="E51" s="480">
        <f t="shared" si="34"/>
        <v>5.4094990803851568E-4</v>
      </c>
      <c r="F51" s="480">
        <f t="shared" si="34"/>
        <v>5.962059620596206E-4</v>
      </c>
      <c r="G51" s="480">
        <f t="shared" si="34"/>
        <v>4.1797283176593522E-4</v>
      </c>
      <c r="H51" s="480">
        <f t="shared" si="34"/>
        <v>3.0864197530864197E-4</v>
      </c>
      <c r="I51" s="480">
        <f t="shared" si="34"/>
        <v>6.9392812887236679E-4</v>
      </c>
      <c r="J51" s="480">
        <f t="shared" si="34"/>
        <v>3.230385198962361E-3</v>
      </c>
      <c r="K51" s="481">
        <f t="shared" si="34"/>
        <v>2.19908156005433E-3</v>
      </c>
      <c r="L51" s="482">
        <f t="shared" si="34"/>
        <v>2.4454725710508921E-3</v>
      </c>
      <c r="M51" s="480">
        <f t="shared" ref="M51:R51" si="35">M15/M$4</f>
        <v>1.854343335677992E-3</v>
      </c>
      <c r="N51" s="480">
        <f t="shared" si="35"/>
        <v>7.8605987520126907E-4</v>
      </c>
      <c r="O51" s="480">
        <f t="shared" si="35"/>
        <v>7.5910332384302045E-4</v>
      </c>
      <c r="P51" s="480">
        <f t="shared" si="35"/>
        <v>7.3299009300615105E-4</v>
      </c>
      <c r="Q51" s="480">
        <f t="shared" si="35"/>
        <v>7.0769731460289167E-4</v>
      </c>
      <c r="R51" s="483">
        <f t="shared" si="35"/>
        <v>6.7945804995339068E-4</v>
      </c>
    </row>
    <row r="52" spans="2:18">
      <c r="B52" s="209" t="s">
        <v>13</v>
      </c>
      <c r="C52" s="480">
        <f t="shared" ref="C52:L52" si="36">C16/C$4</f>
        <v>-1.7444085962705747E-2</v>
      </c>
      <c r="D52" s="480">
        <f t="shared" si="36"/>
        <v>-1.7331589274035317E-2</v>
      </c>
      <c r="E52" s="480">
        <f t="shared" si="36"/>
        <v>-1.422698258141296E-2</v>
      </c>
      <c r="F52" s="480">
        <f t="shared" si="36"/>
        <v>-1.4146341463414635E-2</v>
      </c>
      <c r="G52" s="480">
        <f t="shared" si="36"/>
        <v>-1.3166144200626959E-2</v>
      </c>
      <c r="H52" s="480">
        <f t="shared" si="36"/>
        <v>-1.3168724279835391E-2</v>
      </c>
      <c r="I52" s="480">
        <f t="shared" si="36"/>
        <v>-1.3977695167286246E-2</v>
      </c>
      <c r="J52" s="480">
        <f t="shared" si="36"/>
        <v>-1.4340952474181391E-2</v>
      </c>
      <c r="K52" s="481">
        <f t="shared" si="36"/>
        <v>-1.4423387879179872E-2</v>
      </c>
      <c r="L52" s="482">
        <f t="shared" si="36"/>
        <v>-1.3615333773959022E-2</v>
      </c>
      <c r="M52" s="480">
        <f t="shared" ref="M52:R52" si="37">M16/M$4</f>
        <v>-1.4805077192053085E-2</v>
      </c>
      <c r="N52" s="480">
        <f t="shared" si="37"/>
        <v>-1.4254657803158776E-2</v>
      </c>
      <c r="O52" s="480">
        <f t="shared" si="37"/>
        <v>-1.3765819195200672E-2</v>
      </c>
      <c r="P52" s="480">
        <f t="shared" si="37"/>
        <v>-1.3292273627671028E-2</v>
      </c>
      <c r="Q52" s="480">
        <f t="shared" si="37"/>
        <v>-1.2833606403450645E-2</v>
      </c>
      <c r="R52" s="483">
        <f t="shared" si="37"/>
        <v>-1.2321506667933163E-2</v>
      </c>
    </row>
    <row r="53" spans="2:18">
      <c r="B53" s="209" t="s">
        <v>14</v>
      </c>
      <c r="C53" s="480">
        <f t="shared" ref="C53:L53" si="38">C17/C$4</f>
        <v>0.16454311806201127</v>
      </c>
      <c r="D53" s="480">
        <f t="shared" si="38"/>
        <v>0.16301504251144538</v>
      </c>
      <c r="E53" s="480">
        <f t="shared" si="38"/>
        <v>9.8074218327382889E-2</v>
      </c>
      <c r="F53" s="480">
        <f t="shared" si="38"/>
        <v>0.14363143631436315</v>
      </c>
      <c r="G53" s="480">
        <f t="shared" si="38"/>
        <v>0.15308254963427378</v>
      </c>
      <c r="H53" s="480">
        <f t="shared" si="38"/>
        <v>0.11445473251028807</v>
      </c>
      <c r="I53" s="480">
        <f t="shared" si="38"/>
        <v>0.11598513011152416</v>
      </c>
      <c r="J53" s="480">
        <f t="shared" si="38"/>
        <v>9.8918310410650481E-2</v>
      </c>
      <c r="K53" s="481">
        <f t="shared" si="38"/>
        <v>9.1003169264601252E-2</v>
      </c>
      <c r="L53" s="482">
        <f t="shared" si="38"/>
        <v>0.16179775280898875</v>
      </c>
      <c r="M53" s="480">
        <f t="shared" ref="M53:R53" si="39">M17/M$4</f>
        <v>0.15428083631385614</v>
      </c>
      <c r="N53" s="480">
        <f t="shared" si="39"/>
        <v>0.16373615391292176</v>
      </c>
      <c r="O53" s="480">
        <f t="shared" si="39"/>
        <v>0.16429732345150416</v>
      </c>
      <c r="P53" s="480">
        <f t="shared" si="39"/>
        <v>0.16484093711724621</v>
      </c>
      <c r="Q53" s="480">
        <f t="shared" si="39"/>
        <v>0.16536747096786353</v>
      </c>
      <c r="R53" s="483">
        <f t="shared" si="39"/>
        <v>0.16595534346322324</v>
      </c>
    </row>
    <row r="54" spans="2:18">
      <c r="B54" s="209" t="s">
        <v>15</v>
      </c>
      <c r="C54" s="480">
        <f t="shared" ref="C54:L54" si="40">C18/C$4</f>
        <v>-5.0418329961174603E-2</v>
      </c>
      <c r="D54" s="480">
        <f t="shared" si="40"/>
        <v>-4.2293437976891217E-2</v>
      </c>
      <c r="E54" s="480">
        <f t="shared" si="40"/>
        <v>-2.5478740668614087E-2</v>
      </c>
      <c r="F54" s="480">
        <f t="shared" si="40"/>
        <v>-3.1219512195121951E-2</v>
      </c>
      <c r="G54" s="480">
        <f t="shared" si="40"/>
        <v>-3.5318704284221528E-2</v>
      </c>
      <c r="H54" s="480">
        <f t="shared" si="40"/>
        <v>-2.4639917695473253E-2</v>
      </c>
      <c r="I54" s="480">
        <f t="shared" si="40"/>
        <v>-2.4535315985130111E-2</v>
      </c>
      <c r="J54" s="480">
        <f t="shared" si="40"/>
        <v>-2.2172189320150752E-2</v>
      </c>
      <c r="K54" s="481">
        <f t="shared" si="40"/>
        <v>-1.9274303085182069E-2</v>
      </c>
      <c r="L54" s="482">
        <f t="shared" si="40"/>
        <v>-3.2650363516192993E-2</v>
      </c>
      <c r="M54" s="480">
        <f t="shared" ref="M54:R54" si="41">M18/M$4</f>
        <v>-3.6255996533756191E-2</v>
      </c>
      <c r="N54" s="480">
        <f t="shared" si="41"/>
        <v>-3.8477996169536607E-2</v>
      </c>
      <c r="O54" s="480">
        <f t="shared" si="41"/>
        <v>-3.8609871011103476E-2</v>
      </c>
      <c r="P54" s="480">
        <f t="shared" si="41"/>
        <v>-3.8737620222552858E-2</v>
      </c>
      <c r="Q54" s="480">
        <f t="shared" si="41"/>
        <v>-3.8861355677447924E-2</v>
      </c>
      <c r="R54" s="483">
        <f t="shared" si="41"/>
        <v>-3.8999505713857456E-2</v>
      </c>
    </row>
    <row r="55" spans="2:18">
      <c r="B55" s="209" t="s">
        <v>16</v>
      </c>
      <c r="C55" s="480">
        <f t="shared" ref="C55:L55" si="42">C19/C$4</f>
        <v>0.11412478810083666</v>
      </c>
      <c r="D55" s="480">
        <f t="shared" si="42"/>
        <v>0.12072160453455417</v>
      </c>
      <c r="E55" s="480">
        <f t="shared" si="42"/>
        <v>7.2595477658768795E-2</v>
      </c>
      <c r="F55" s="480">
        <f t="shared" si="42"/>
        <v>0.1124119241192412</v>
      </c>
      <c r="G55" s="480">
        <f t="shared" si="42"/>
        <v>0.11776384535005224</v>
      </c>
      <c r="H55" s="480">
        <f t="shared" si="42"/>
        <v>8.981481481481482E-2</v>
      </c>
      <c r="I55" s="480">
        <f t="shared" si="42"/>
        <v>9.1449814126394052E-2</v>
      </c>
      <c r="J55" s="480">
        <f t="shared" si="42"/>
        <v>7.6746121090499733E-2</v>
      </c>
      <c r="K55" s="481">
        <f t="shared" si="42"/>
        <v>7.172886617941919E-2</v>
      </c>
      <c r="L55" s="482">
        <f t="shared" si="42"/>
        <v>0.12914738929279576</v>
      </c>
      <c r="M55" s="480">
        <f t="shared" ref="M55:R55" si="43">M19/M$4</f>
        <v>0.11802483978009996</v>
      </c>
      <c r="N55" s="480">
        <f t="shared" si="43"/>
        <v>0.12525815774338517</v>
      </c>
      <c r="O55" s="480">
        <f t="shared" si="43"/>
        <v>0.12568745244040069</v>
      </c>
      <c r="P55" s="480">
        <f t="shared" si="43"/>
        <v>0.12610331689469334</v>
      </c>
      <c r="Q55" s="480">
        <f t="shared" si="43"/>
        <v>0.12650611529041561</v>
      </c>
      <c r="R55" s="483">
        <f t="shared" si="43"/>
        <v>0.12695583774936578</v>
      </c>
    </row>
    <row r="56" spans="2:18">
      <c r="B56" s="209" t="s">
        <v>17</v>
      </c>
      <c r="C56" s="480">
        <f t="shared" ref="C56:L56" si="44">C20/C$4</f>
        <v>7.2182424673265157E-3</v>
      </c>
      <c r="D56" s="480">
        <f t="shared" si="44"/>
        <v>5.6681927185524309E-3</v>
      </c>
      <c r="E56" s="480">
        <f t="shared" si="44"/>
        <v>5.5717840527967112E-3</v>
      </c>
      <c r="F56" s="480">
        <f t="shared" si="44"/>
        <v>6.6666666666666671E-3</v>
      </c>
      <c r="G56" s="480">
        <f t="shared" si="44"/>
        <v>7.4190177638453498E-3</v>
      </c>
      <c r="H56" s="480">
        <f t="shared" si="44"/>
        <v>5.0411522633744855E-3</v>
      </c>
      <c r="I56" s="480">
        <f t="shared" si="44"/>
        <v>5.7496902106567533E-3</v>
      </c>
      <c r="J56" s="480">
        <f t="shared" si="44"/>
        <v>9.5932651363124666E-3</v>
      </c>
      <c r="K56" s="481">
        <f t="shared" si="44"/>
        <v>9.2490783261108597E-3</v>
      </c>
      <c r="L56" s="482">
        <f t="shared" si="44"/>
        <v>1.1368142762723066E-2</v>
      </c>
      <c r="M56" s="480">
        <f t="shared" ref="M56:R56" si="45">M20/M$4</f>
        <v>9.8230079403482818E-3</v>
      </c>
      <c r="N56" s="480">
        <f t="shared" si="45"/>
        <v>9.4578106531276081E-3</v>
      </c>
      <c r="O56" s="480">
        <f t="shared" si="45"/>
        <v>9.133471545318109E-3</v>
      </c>
      <c r="P56" s="480">
        <f t="shared" si="45"/>
        <v>8.81927920375725E-3</v>
      </c>
      <c r="Q56" s="480">
        <f t="shared" si="45"/>
        <v>8.5149584814098699E-3</v>
      </c>
      <c r="R56" s="483">
        <f t="shared" si="45"/>
        <v>8.175185868070263E-3</v>
      </c>
    </row>
    <row r="57" spans="2:18">
      <c r="B57" s="209" t="s">
        <v>18</v>
      </c>
      <c r="C57" s="480">
        <f t="shared" ref="C57:L57" si="46">C21/C$4</f>
        <v>0.12134303056816317</v>
      </c>
      <c r="D57" s="480">
        <f t="shared" si="46"/>
        <v>0.12638979725310662</v>
      </c>
      <c r="E57" s="480">
        <f t="shared" si="46"/>
        <v>7.8167261711565503E-2</v>
      </c>
      <c r="F57" s="480">
        <f t="shared" si="46"/>
        <v>0.11907859078590786</v>
      </c>
      <c r="G57" s="480">
        <f t="shared" si="46"/>
        <v>0.12518286311389759</v>
      </c>
      <c r="H57" s="480">
        <f t="shared" si="46"/>
        <v>9.4855967078189302E-2</v>
      </c>
      <c r="I57" s="480">
        <f t="shared" si="46"/>
        <v>9.719950433705081E-2</v>
      </c>
      <c r="J57" s="480">
        <f t="shared" si="46"/>
        <v>8.6339386226812198E-2</v>
      </c>
      <c r="K57" s="481">
        <f t="shared" si="46"/>
        <v>8.0977944505530045E-2</v>
      </c>
      <c r="L57" s="482">
        <f t="shared" si="46"/>
        <v>0.14051553205551884</v>
      </c>
      <c r="M57" s="480">
        <f t="shared" ref="M57:R57" si="47">M21/M$4</f>
        <v>0.12784784772044824</v>
      </c>
      <c r="N57" s="480">
        <f t="shared" si="47"/>
        <v>0.13471596839651276</v>
      </c>
      <c r="O57" s="480">
        <f t="shared" si="47"/>
        <v>0.13482092398571879</v>
      </c>
      <c r="P57" s="480">
        <f t="shared" si="47"/>
        <v>0.13492259609845061</v>
      </c>
      <c r="Q57" s="480">
        <f t="shared" si="47"/>
        <v>0.13502107377182548</v>
      </c>
      <c r="R57" s="483">
        <f t="shared" si="47"/>
        <v>0.13513102361743606</v>
      </c>
    </row>
    <row r="58" spans="2:18">
      <c r="B58" s="209" t="s">
        <v>19</v>
      </c>
      <c r="C58" s="480">
        <f t="shared" ref="C58:L58" si="48">C22/C$4</f>
        <v>-2.898233717941707E-3</v>
      </c>
      <c r="D58" s="480">
        <f t="shared" si="48"/>
        <v>-2.2345759755831697E-3</v>
      </c>
      <c r="E58" s="480">
        <f t="shared" si="48"/>
        <v>-1.8933246781348047E-3</v>
      </c>
      <c r="F58" s="480">
        <f t="shared" si="48"/>
        <v>-2.1680216802168022E-3</v>
      </c>
      <c r="G58" s="480">
        <f t="shared" si="48"/>
        <v>-2.2988505747126436E-3</v>
      </c>
      <c r="H58" s="480">
        <f t="shared" si="48"/>
        <v>-1.5432098765432098E-3</v>
      </c>
      <c r="I58" s="480">
        <f t="shared" si="48"/>
        <v>-1.3382899628252788E-3</v>
      </c>
      <c r="J58" s="480">
        <f t="shared" si="48"/>
        <v>0</v>
      </c>
      <c r="K58" s="481">
        <f t="shared" si="48"/>
        <v>1.9403660824008796E-4</v>
      </c>
      <c r="L58" s="482">
        <f t="shared" si="48"/>
        <v>-1.8506278916060807E-3</v>
      </c>
      <c r="M58" s="480">
        <f t="shared" ref="M58:R58" si="49">M22/M$4</f>
        <v>-1.403286848621183E-3</v>
      </c>
      <c r="N58" s="480">
        <f t="shared" si="49"/>
        <v>-1.3511158075896583E-3</v>
      </c>
      <c r="O58" s="480">
        <f t="shared" si="49"/>
        <v>-1.3047816493311586E-3</v>
      </c>
      <c r="P58" s="480">
        <f t="shared" si="49"/>
        <v>-1.2598970291081786E-3</v>
      </c>
      <c r="Q58" s="480">
        <f t="shared" si="49"/>
        <v>-1.2164226402014101E-3</v>
      </c>
      <c r="R58" s="483">
        <f t="shared" si="49"/>
        <v>-1.167883695438609E-3</v>
      </c>
    </row>
    <row r="59" spans="2:18" ht="17" thickBot="1">
      <c r="B59" s="272" t="s">
        <v>20</v>
      </c>
      <c r="C59" s="484">
        <f t="shared" ref="C59:L59" si="50">C23/C$4</f>
        <v>0.11844479685022147</v>
      </c>
      <c r="D59" s="484">
        <f t="shared" si="50"/>
        <v>0.12415522127752343</v>
      </c>
      <c r="E59" s="484">
        <f t="shared" si="50"/>
        <v>7.6273937033430703E-2</v>
      </c>
      <c r="F59" s="484">
        <f t="shared" si="50"/>
        <v>0.11691056910569106</v>
      </c>
      <c r="G59" s="484">
        <f t="shared" si="50"/>
        <v>0.12288401253918495</v>
      </c>
      <c r="H59" s="484">
        <f t="shared" si="50"/>
        <v>9.3312757201646085E-2</v>
      </c>
      <c r="I59" s="484">
        <f t="shared" si="50"/>
        <v>9.5861214374225526E-2</v>
      </c>
      <c r="J59" s="484">
        <f t="shared" si="50"/>
        <v>8.6339386226812198E-2</v>
      </c>
      <c r="K59" s="485">
        <f t="shared" si="50"/>
        <v>8.1171981113770136E-2</v>
      </c>
      <c r="L59" s="486">
        <f t="shared" si="50"/>
        <v>0.13866490416391275</v>
      </c>
      <c r="M59" s="484">
        <f t="shared" ref="M59:R59" si="51">M23/M$4</f>
        <v>0.12644456087182707</v>
      </c>
      <c r="N59" s="484">
        <f t="shared" si="51"/>
        <v>0.13336485258892311</v>
      </c>
      <c r="O59" s="484">
        <f t="shared" si="51"/>
        <v>0.13351614233638764</v>
      </c>
      <c r="P59" s="484">
        <f t="shared" si="51"/>
        <v>0.13366269906934242</v>
      </c>
      <c r="Q59" s="484">
        <f t="shared" si="51"/>
        <v>0.13380465113162407</v>
      </c>
      <c r="R59" s="487">
        <f t="shared" si="51"/>
        <v>0.13396313992199743</v>
      </c>
    </row>
    <row r="60" spans="2:18">
      <c r="K60" s="188"/>
      <c r="L60" s="189"/>
    </row>
    <row r="61" spans="2:18" ht="17" thickBot="1">
      <c r="K61" s="188"/>
      <c r="L61" s="189"/>
    </row>
    <row r="62" spans="2:18" ht="18" thickBot="1">
      <c r="B62" s="470" t="s">
        <v>172</v>
      </c>
      <c r="C62" s="434" t="s">
        <v>104</v>
      </c>
      <c r="D62" s="434" t="s">
        <v>103</v>
      </c>
      <c r="E62" s="434" t="s">
        <v>102</v>
      </c>
      <c r="F62" s="434" t="s">
        <v>66</v>
      </c>
      <c r="G62" s="434" t="s">
        <v>65</v>
      </c>
      <c r="H62" s="435" t="s">
        <v>3</v>
      </c>
      <c r="I62" s="435" t="s">
        <v>2</v>
      </c>
      <c r="J62" s="435" t="s">
        <v>1</v>
      </c>
      <c r="K62" s="436" t="s">
        <v>185</v>
      </c>
      <c r="L62" s="437" t="s">
        <v>184</v>
      </c>
      <c r="M62" s="435" t="s">
        <v>178</v>
      </c>
      <c r="N62" s="435" t="s">
        <v>179</v>
      </c>
      <c r="O62" s="435" t="s">
        <v>180</v>
      </c>
      <c r="P62" s="435" t="s">
        <v>181</v>
      </c>
      <c r="Q62" s="435" t="s">
        <v>182</v>
      </c>
      <c r="R62" s="438" t="s">
        <v>183</v>
      </c>
    </row>
    <row r="63" spans="2:18">
      <c r="B63" s="209"/>
      <c r="K63" s="188"/>
      <c r="L63" s="189"/>
      <c r="R63" s="210"/>
    </row>
    <row r="64" spans="2:18">
      <c r="B64" s="209" t="s">
        <v>5</v>
      </c>
      <c r="D64" s="480">
        <f>D4/C4 - 1</f>
        <v>3.3357029583858111E-3</v>
      </c>
      <c r="E64" s="480">
        <f t="shared" ref="E64:N64" si="52">E4/D4 - 1</f>
        <v>7.5212557226944643E-3</v>
      </c>
      <c r="F64" s="480">
        <f t="shared" si="52"/>
        <v>-1.9474196689386325E-3</v>
      </c>
      <c r="G64" s="480">
        <f t="shared" si="52"/>
        <v>3.7398373983739797E-2</v>
      </c>
      <c r="H64" s="480">
        <f t="shared" si="52"/>
        <v>1.5673981191222541E-2</v>
      </c>
      <c r="I64" s="480">
        <f t="shared" si="52"/>
        <v>3.7808641975308532E-2</v>
      </c>
      <c r="J64" s="480">
        <f t="shared" si="52"/>
        <v>1.268897149938053E-2</v>
      </c>
      <c r="K64" s="188"/>
      <c r="L64" s="482">
        <f t="shared" si="52"/>
        <v>-2.1408705775822989E-2</v>
      </c>
      <c r="N64" s="480">
        <f t="shared" si="52"/>
        <v>3.8613300753690405E-2</v>
      </c>
      <c r="O64" s="480">
        <f t="shared" ref="O64:R66" si="53">O4/N4 - 1</f>
        <v>3.5511043769086648E-2</v>
      </c>
      <c r="P64" s="480">
        <f t="shared" si="53"/>
        <v>3.5625625893214163E-2</v>
      </c>
      <c r="Q64" s="480">
        <f t="shared" si="53"/>
        <v>3.5739542713189243E-2</v>
      </c>
      <c r="R64" s="483">
        <f t="shared" si="53"/>
        <v>4.15614542375915E-2</v>
      </c>
    </row>
    <row r="65" spans="2:18">
      <c r="B65" s="209" t="s">
        <v>6</v>
      </c>
      <c r="D65" s="480">
        <f t="shared" ref="D65:N65" si="54">D5/C5 - 1</f>
        <v>1.4229044498102805E-2</v>
      </c>
      <c r="E65" s="480">
        <f t="shared" si="54"/>
        <v>9.5910211716690785E-2</v>
      </c>
      <c r="F65" s="480">
        <f t="shared" si="54"/>
        <v>-3.6775545038404855E-2</v>
      </c>
      <c r="G65" s="480">
        <f t="shared" si="54"/>
        <v>-7.8131292790978302E-3</v>
      </c>
      <c r="H65" s="480">
        <f t="shared" si="54"/>
        <v>9.2060399415489602E-2</v>
      </c>
      <c r="I65" s="480">
        <f t="shared" si="54"/>
        <v>3.746654772524538E-2</v>
      </c>
      <c r="J65" s="480">
        <f t="shared" si="54"/>
        <v>-3.9911149326454565E-2</v>
      </c>
      <c r="K65" s="188"/>
      <c r="L65" s="482">
        <f t="shared" si="54"/>
        <v>-5.3216604367499531E-2</v>
      </c>
      <c r="N65" s="480">
        <f t="shared" si="54"/>
        <v>3.0435243267440848E-2</v>
      </c>
      <c r="O65" s="480">
        <f t="shared" si="53"/>
        <v>3.5511043769086648E-2</v>
      </c>
      <c r="P65" s="480">
        <f t="shared" si="53"/>
        <v>3.5625625893214163E-2</v>
      </c>
      <c r="Q65" s="480">
        <f t="shared" si="53"/>
        <v>3.5739542713189243E-2</v>
      </c>
      <c r="R65" s="483">
        <f t="shared" si="53"/>
        <v>4.15614542375915E-2</v>
      </c>
    </row>
    <row r="66" spans="2:18">
      <c r="B66" s="209" t="s">
        <v>7</v>
      </c>
      <c r="D66" s="480">
        <f t="shared" ref="D66:N66" si="55">D6/C6 - 1</f>
        <v>-1.5543267075175615E-2</v>
      </c>
      <c r="E66" s="480">
        <f t="shared" si="55"/>
        <v>-0.1502960376499165</v>
      </c>
      <c r="F66" s="480">
        <f t="shared" si="55"/>
        <v>7.825620868322325E-2</v>
      </c>
      <c r="G66" s="480">
        <f t="shared" si="55"/>
        <v>0.13040596520298253</v>
      </c>
      <c r="H66" s="480">
        <f t="shared" si="55"/>
        <v>-0.12225153913808262</v>
      </c>
      <c r="I66" s="480">
        <f t="shared" si="55"/>
        <v>3.8577154308617301E-2</v>
      </c>
      <c r="J66" s="480">
        <f t="shared" si="55"/>
        <v>0.13072841292812343</v>
      </c>
      <c r="K66" s="188"/>
      <c r="L66" s="482">
        <f t="shared" si="55"/>
        <v>3.966005665722383E-2</v>
      </c>
      <c r="N66" s="480">
        <f t="shared" si="55"/>
        <v>5.2840880216069586E-2</v>
      </c>
      <c r="O66" s="480">
        <f t="shared" si="53"/>
        <v>3.551104376908687E-2</v>
      </c>
      <c r="P66" s="480">
        <f t="shared" si="53"/>
        <v>3.5625625893214163E-2</v>
      </c>
      <c r="Q66" s="480">
        <f t="shared" si="53"/>
        <v>3.5739542713189243E-2</v>
      </c>
      <c r="R66" s="483">
        <f t="shared" si="53"/>
        <v>4.15614542375915E-2</v>
      </c>
    </row>
    <row r="67" spans="2:18">
      <c r="B67" s="209" t="s">
        <v>8</v>
      </c>
      <c r="D67" s="480">
        <f t="shared" ref="D67:J67" si="56">D10/C10 - 1</f>
        <v>-2.9696969696969666E-2</v>
      </c>
      <c r="E67" s="480">
        <f t="shared" si="56"/>
        <v>5.1530293566520946E-2</v>
      </c>
      <c r="F67" s="480">
        <f t="shared" si="56"/>
        <v>-3.3561033561033571E-2</v>
      </c>
      <c r="G67" s="480">
        <f t="shared" si="56"/>
        <v>0.11616472034419179</v>
      </c>
      <c r="H67" s="480">
        <f t="shared" si="56"/>
        <v>-6.4151982378854666E-2</v>
      </c>
      <c r="I67" s="480">
        <f t="shared" si="56"/>
        <v>5.3545160341276876E-2</v>
      </c>
      <c r="J67" s="480">
        <f t="shared" si="56"/>
        <v>0.10611561016475846</v>
      </c>
      <c r="K67" s="188"/>
      <c r="L67" s="482">
        <f>L10/K10 - 1</f>
        <v>7.8840970350404271E-2</v>
      </c>
      <c r="N67" s="480">
        <f>N10/M10 - 1</f>
        <v>3.8613300753690405E-2</v>
      </c>
      <c r="O67" s="480">
        <f>O10/N10 - 1</f>
        <v>3.5511043769086648E-2</v>
      </c>
      <c r="P67" s="480">
        <f>P10/O10 - 1</f>
        <v>3.5625625893214163E-2</v>
      </c>
      <c r="Q67" s="480">
        <f>Q10/P10 - 1</f>
        <v>3.5739542713189243E-2</v>
      </c>
      <c r="R67" s="483">
        <f>R10/Q10 - 1</f>
        <v>4.15614542375915E-2</v>
      </c>
    </row>
    <row r="68" spans="2:18">
      <c r="B68" s="209" t="s">
        <v>9</v>
      </c>
      <c r="D68" s="480"/>
      <c r="E68" s="480"/>
      <c r="F68" s="480"/>
      <c r="G68" s="480"/>
      <c r="H68" s="480"/>
      <c r="I68" s="480"/>
      <c r="J68" s="480"/>
      <c r="K68" s="188"/>
      <c r="L68" s="482"/>
      <c r="N68" s="480"/>
      <c r="O68" s="480"/>
      <c r="P68" s="480"/>
      <c r="Q68" s="480"/>
      <c r="R68" s="483"/>
    </row>
    <row r="69" spans="2:18">
      <c r="B69" s="209" t="s">
        <v>10</v>
      </c>
      <c r="D69" s="480">
        <f t="shared" ref="D69:N69" si="57">D13/C13 - 1</f>
        <v>-7.3898906296187006E-3</v>
      </c>
      <c r="E69" s="480">
        <f t="shared" si="57"/>
        <v>-0.33621203097081598</v>
      </c>
      <c r="F69" s="480">
        <f t="shared" si="57"/>
        <v>0.34185733512785998</v>
      </c>
      <c r="G69" s="480">
        <f t="shared" si="57"/>
        <v>8.4587094617184944E-2</v>
      </c>
      <c r="H69" s="480">
        <f t="shared" si="57"/>
        <v>-0.21054254007398276</v>
      </c>
      <c r="I69" s="480">
        <f t="shared" si="57"/>
        <v>4.6856696602889603E-2</v>
      </c>
      <c r="J69" s="480">
        <f t="shared" si="57"/>
        <v>-0.12569936590824315</v>
      </c>
      <c r="K69" s="188"/>
      <c r="L69" s="482">
        <f t="shared" si="57"/>
        <v>0.59020310633213868</v>
      </c>
      <c r="N69" s="480">
        <f t="shared" si="57"/>
        <v>9.8776897384882156E-2</v>
      </c>
      <c r="O69" s="480">
        <f t="shared" ref="O69:O79" si="58">O13/N13 - 1</f>
        <v>3.551104376908687E-2</v>
      </c>
      <c r="P69" s="480">
        <f t="shared" ref="P69:P79" si="59">P13/O13 - 1</f>
        <v>3.5625625893214385E-2</v>
      </c>
      <c r="Q69" s="480">
        <f t="shared" ref="Q69:Q79" si="60">Q13/P13 - 1</f>
        <v>3.5739542713189021E-2</v>
      </c>
      <c r="R69" s="483">
        <f t="shared" ref="R69:R79" si="61">R13/Q13 - 1</f>
        <v>4.15614542375915E-2</v>
      </c>
    </row>
    <row r="70" spans="2:18">
      <c r="B70" s="209" t="s">
        <v>11</v>
      </c>
      <c r="D70" s="480">
        <f t="shared" ref="D70:L70" si="62">D14/C14 - 1</f>
        <v>-0.10606060606060608</v>
      </c>
      <c r="E70" s="480">
        <f t="shared" si="62"/>
        <v>1.7627118644067798</v>
      </c>
      <c r="F70" s="480">
        <f t="shared" si="62"/>
        <v>-0.44171779141104295</v>
      </c>
      <c r="G70" s="480">
        <f t="shared" si="62"/>
        <v>-0.23076923076923073</v>
      </c>
      <c r="H70" s="480">
        <f t="shared" si="62"/>
        <v>0.22857142857142865</v>
      </c>
      <c r="I70" s="480">
        <f t="shared" si="62"/>
        <v>-0.15116279069767447</v>
      </c>
      <c r="J70" s="480">
        <f t="shared" si="62"/>
        <v>0.31506849315068486</v>
      </c>
      <c r="K70" s="188"/>
      <c r="L70" s="482">
        <f t="shared" si="62"/>
        <v>-0.42307692307692313</v>
      </c>
      <c r="N70" s="480"/>
      <c r="O70" s="480"/>
      <c r="P70" s="480"/>
      <c r="Q70" s="480"/>
      <c r="R70" s="483"/>
    </row>
    <row r="71" spans="2:18">
      <c r="B71" s="209" t="s">
        <v>12</v>
      </c>
      <c r="D71" s="480">
        <f t="shared" ref="D71:L71" si="63">D15/C15 - 1</f>
        <v>-9.0909090909090939E-2</v>
      </c>
      <c r="E71" s="480">
        <f t="shared" si="63"/>
        <v>0</v>
      </c>
      <c r="F71" s="480">
        <f t="shared" si="63"/>
        <v>0.10000000000000009</v>
      </c>
      <c r="G71" s="480">
        <f t="shared" si="63"/>
        <v>-0.27272727272727271</v>
      </c>
      <c r="H71" s="480">
        <f t="shared" si="63"/>
        <v>-0.25</v>
      </c>
      <c r="I71" s="480">
        <f t="shared" si="63"/>
        <v>1.3333333333333335</v>
      </c>
      <c r="J71" s="480">
        <f t="shared" si="63"/>
        <v>3.7142857142857144</v>
      </c>
      <c r="K71" s="188"/>
      <c r="L71" s="482">
        <f t="shared" si="63"/>
        <v>8.8235294117646967E-2</v>
      </c>
      <c r="N71" s="480"/>
      <c r="O71" s="480"/>
      <c r="P71" s="480"/>
      <c r="Q71" s="480"/>
      <c r="R71" s="483"/>
    </row>
    <row r="72" spans="2:18">
      <c r="B72" s="209" t="s">
        <v>13</v>
      </c>
      <c r="D72" s="480">
        <f t="shared" ref="D72:L72" si="64">D16/C16 - 1</f>
        <v>-3.1347962382445305E-3</v>
      </c>
      <c r="E72" s="480">
        <f t="shared" si="64"/>
        <v>-0.17295597484276726</v>
      </c>
      <c r="F72" s="480">
        <f t="shared" si="64"/>
        <v>-7.6045627376425395E-3</v>
      </c>
      <c r="G72" s="480">
        <f t="shared" si="64"/>
        <v>-3.4482758620689613E-2</v>
      </c>
      <c r="H72" s="480">
        <f t="shared" si="64"/>
        <v>1.5873015873015817E-2</v>
      </c>
      <c r="I72" s="480">
        <f t="shared" si="64"/>
        <v>0.1015625</v>
      </c>
      <c r="J72" s="480">
        <f t="shared" si="64"/>
        <v>3.900709219858145E-2</v>
      </c>
      <c r="K72" s="188"/>
      <c r="L72" s="482">
        <f t="shared" si="64"/>
        <v>-7.623318385650224E-2</v>
      </c>
      <c r="N72" s="480"/>
      <c r="O72" s="480"/>
      <c r="P72" s="480"/>
      <c r="Q72" s="480"/>
      <c r="R72" s="483"/>
    </row>
    <row r="73" spans="2:18">
      <c r="B73" s="209" t="s">
        <v>14</v>
      </c>
      <c r="D73" s="480">
        <f t="shared" ref="D73:N73" si="65">D17/C17 - 1</f>
        <v>-5.9820538384844912E-3</v>
      </c>
      <c r="E73" s="480">
        <f t="shared" si="65"/>
        <v>-0.39384821130056835</v>
      </c>
      <c r="F73" s="480">
        <f t="shared" si="65"/>
        <v>0.46166574738003319</v>
      </c>
      <c r="G73" s="480">
        <f t="shared" si="65"/>
        <v>0.10566037735849054</v>
      </c>
      <c r="H73" s="480">
        <f t="shared" si="65"/>
        <v>-0.24061433447098979</v>
      </c>
      <c r="I73" s="480">
        <f t="shared" si="65"/>
        <v>5.1685393258426915E-2</v>
      </c>
      <c r="J73" s="480">
        <f t="shared" si="65"/>
        <v>-0.13632478632478628</v>
      </c>
      <c r="K73" s="188"/>
      <c r="L73" s="482">
        <f t="shared" si="65"/>
        <v>0.73987206823027729</v>
      </c>
      <c r="N73" s="480">
        <f t="shared" si="65"/>
        <v>0.1022661746677398</v>
      </c>
      <c r="O73" s="480">
        <f t="shared" si="58"/>
        <v>3.9060029382477213E-2</v>
      </c>
      <c r="P73" s="480">
        <f t="shared" si="59"/>
        <v>3.9052220015390438E-2</v>
      </c>
      <c r="Q73" s="480">
        <f t="shared" si="60"/>
        <v>3.9047895232888319E-2</v>
      </c>
      <c r="R73" s="483">
        <f t="shared" si="61"/>
        <v>4.526414937823442E-2</v>
      </c>
    </row>
    <row r="74" spans="2:18">
      <c r="B74" s="209" t="s">
        <v>15</v>
      </c>
      <c r="D74" s="480">
        <f t="shared" ref="D74:N74" si="66">D18/C18 - 1</f>
        <v>-0.15835140997830799</v>
      </c>
      <c r="E74" s="480">
        <f t="shared" si="66"/>
        <v>-0.39304123711340211</v>
      </c>
      <c r="F74" s="480">
        <f t="shared" si="66"/>
        <v>0.22292993630573243</v>
      </c>
      <c r="G74" s="480">
        <f t="shared" si="66"/>
        <v>0.17361111111111116</v>
      </c>
      <c r="H74" s="480">
        <f t="shared" si="66"/>
        <v>-0.29142011834319526</v>
      </c>
      <c r="I74" s="480">
        <f t="shared" si="66"/>
        <v>3.3402922755741082E-2</v>
      </c>
      <c r="J74" s="480">
        <f t="shared" si="66"/>
        <v>-8.484848484848484E-2</v>
      </c>
      <c r="K74" s="188"/>
      <c r="L74" s="482">
        <f t="shared" si="66"/>
        <v>0.65771812080536907</v>
      </c>
      <c r="N74" s="480">
        <f t="shared" si="66"/>
        <v>0.1022661746677398</v>
      </c>
      <c r="O74" s="480">
        <f t="shared" si="58"/>
        <v>3.9060029382477435E-2</v>
      </c>
      <c r="P74" s="480">
        <f t="shared" si="59"/>
        <v>3.9052220015390438E-2</v>
      </c>
      <c r="Q74" s="480">
        <f t="shared" si="60"/>
        <v>3.9047895232888319E-2</v>
      </c>
      <c r="R74" s="483">
        <f t="shared" si="61"/>
        <v>4.5264149378234642E-2</v>
      </c>
    </row>
    <row r="75" spans="2:18">
      <c r="B75" s="209" t="s">
        <v>16</v>
      </c>
      <c r="D75" s="480">
        <f t="shared" ref="D75:N75" si="67">D19/C19 - 1</f>
        <v>6.1332055582175471E-2</v>
      </c>
      <c r="E75" s="480">
        <f t="shared" si="67"/>
        <v>-0.39413092550790063</v>
      </c>
      <c r="F75" s="480">
        <f t="shared" si="67"/>
        <v>0.54545454545454541</v>
      </c>
      <c r="G75" s="480">
        <f t="shared" si="67"/>
        <v>8.6788813886210292E-2</v>
      </c>
      <c r="H75" s="480">
        <f t="shared" si="67"/>
        <v>-0.22537710736468497</v>
      </c>
      <c r="I75" s="480">
        <f t="shared" si="67"/>
        <v>5.6701030927835072E-2</v>
      </c>
      <c r="J75" s="480">
        <f t="shared" si="67"/>
        <v>-0.15013550135501352</v>
      </c>
      <c r="K75" s="188"/>
      <c r="L75" s="482">
        <f t="shared" si="67"/>
        <v>0.76194770063119921</v>
      </c>
      <c r="N75" s="480">
        <f t="shared" si="67"/>
        <v>0.1022661746677398</v>
      </c>
      <c r="O75" s="480">
        <f t="shared" si="58"/>
        <v>3.9060029382477213E-2</v>
      </c>
      <c r="P75" s="480">
        <f t="shared" si="59"/>
        <v>3.9052220015390438E-2</v>
      </c>
      <c r="Q75" s="480">
        <f t="shared" si="60"/>
        <v>3.9047895232888319E-2</v>
      </c>
      <c r="R75" s="483">
        <f t="shared" si="61"/>
        <v>4.5264149378234642E-2</v>
      </c>
    </row>
    <row r="76" spans="2:18">
      <c r="B76" s="209" t="s">
        <v>17</v>
      </c>
      <c r="D76" s="480">
        <f t="shared" ref="D76:N76" si="68">D20/C20 - 1</f>
        <v>-0.21212121212121215</v>
      </c>
      <c r="E76" s="480">
        <f t="shared" si="68"/>
        <v>-9.6153846153845812E-3</v>
      </c>
      <c r="F76" s="480">
        <f t="shared" si="68"/>
        <v>0.19417475728155331</v>
      </c>
      <c r="G76" s="480">
        <f t="shared" si="68"/>
        <v>0.15447154471544722</v>
      </c>
      <c r="H76" s="480">
        <f t="shared" si="68"/>
        <v>-0.3098591549295775</v>
      </c>
      <c r="I76" s="480">
        <f t="shared" si="68"/>
        <v>0.18367346938775508</v>
      </c>
      <c r="J76" s="480">
        <f t="shared" si="68"/>
        <v>0.68965517241379315</v>
      </c>
      <c r="K76" s="188"/>
      <c r="L76" s="482">
        <f t="shared" si="68"/>
        <v>0.2027972027972027</v>
      </c>
      <c r="N76" s="480">
        <f t="shared" si="68"/>
        <v>0</v>
      </c>
      <c r="O76" s="480">
        <f t="shared" si="58"/>
        <v>0</v>
      </c>
      <c r="P76" s="480">
        <f t="shared" si="59"/>
        <v>0</v>
      </c>
      <c r="Q76" s="480">
        <f t="shared" si="60"/>
        <v>0</v>
      </c>
      <c r="R76" s="483">
        <f t="shared" si="61"/>
        <v>0</v>
      </c>
    </row>
    <row r="77" spans="2:18">
      <c r="B77" s="209" t="s">
        <v>18</v>
      </c>
      <c r="D77" s="480">
        <f t="shared" ref="D77:N77" si="69">D21/C21 - 1</f>
        <v>4.5065344749887437E-2</v>
      </c>
      <c r="E77" s="480">
        <f t="shared" si="69"/>
        <v>-0.37688658904700301</v>
      </c>
      <c r="F77" s="480">
        <f t="shared" si="69"/>
        <v>0.52041522491349479</v>
      </c>
      <c r="G77" s="480">
        <f t="shared" si="69"/>
        <v>9.0578060992262177E-2</v>
      </c>
      <c r="H77" s="480">
        <f t="shared" si="69"/>
        <v>-0.23038397328881466</v>
      </c>
      <c r="I77" s="480">
        <f t="shared" si="69"/>
        <v>6.344902386117135E-2</v>
      </c>
      <c r="J77" s="480">
        <f t="shared" si="69"/>
        <v>-0.10045894951555334</v>
      </c>
      <c r="K77" s="188"/>
      <c r="L77" s="482">
        <f t="shared" si="69"/>
        <v>0.69808306709265167</v>
      </c>
      <c r="N77" s="480">
        <f t="shared" si="69"/>
        <v>9.4408698271368774E-2</v>
      </c>
      <c r="O77" s="480">
        <f t="shared" si="58"/>
        <v>3.6317797957337472E-2</v>
      </c>
      <c r="P77" s="480">
        <f t="shared" si="59"/>
        <v>3.6406619245513916E-2</v>
      </c>
      <c r="Q77" s="480">
        <f t="shared" si="60"/>
        <v>3.649551112276761E-2</v>
      </c>
      <c r="R77" s="483">
        <f t="shared" si="61"/>
        <v>4.2409614586848443E-2</v>
      </c>
    </row>
    <row r="78" spans="2:18">
      <c r="B78" s="209" t="s">
        <v>19</v>
      </c>
      <c r="D78" s="480">
        <f t="shared" ref="D78:N78" si="70">D22/C22 - 1</f>
        <v>-0.22641509433962259</v>
      </c>
      <c r="E78" s="480">
        <f t="shared" si="70"/>
        <v>-0.14634146341463417</v>
      </c>
      <c r="F78" s="480">
        <f t="shared" si="70"/>
        <v>0.14285714285714279</v>
      </c>
      <c r="G78" s="480">
        <f t="shared" si="70"/>
        <v>0.10000000000000009</v>
      </c>
      <c r="H78" s="480">
        <f t="shared" si="70"/>
        <v>-0.31818181818181823</v>
      </c>
      <c r="I78" s="480">
        <f t="shared" si="70"/>
        <v>-9.9999999999999978E-2</v>
      </c>
      <c r="J78" s="480">
        <f t="shared" si="70"/>
        <v>-1</v>
      </c>
      <c r="K78" s="188"/>
      <c r="L78" s="482">
        <f t="shared" si="70"/>
        <v>-10.333333333333334</v>
      </c>
      <c r="N78" s="480">
        <f t="shared" si="70"/>
        <v>0</v>
      </c>
      <c r="O78" s="480">
        <f t="shared" si="58"/>
        <v>0</v>
      </c>
      <c r="P78" s="480">
        <f t="shared" si="59"/>
        <v>0</v>
      </c>
      <c r="Q78" s="480">
        <f t="shared" si="60"/>
        <v>0</v>
      </c>
      <c r="R78" s="483">
        <f t="shared" si="61"/>
        <v>0</v>
      </c>
    </row>
    <row r="79" spans="2:18" ht="17" thickBot="1">
      <c r="B79" s="272" t="s">
        <v>20</v>
      </c>
      <c r="C79" s="198"/>
      <c r="D79" s="484">
        <f t="shared" ref="D79:N79" si="71">D23/C23 - 1</f>
        <v>5.1708217913204013E-2</v>
      </c>
      <c r="E79" s="484">
        <f t="shared" si="71"/>
        <v>-0.38103599648814745</v>
      </c>
      <c r="F79" s="484">
        <f t="shared" si="71"/>
        <v>0.52978723404255312</v>
      </c>
      <c r="G79" s="484">
        <f t="shared" si="71"/>
        <v>9.0403337969402031E-2</v>
      </c>
      <c r="H79" s="484">
        <f t="shared" si="71"/>
        <v>-0.2287414965986394</v>
      </c>
      <c r="I79" s="484">
        <f t="shared" si="71"/>
        <v>6.6152149944873173E-2</v>
      </c>
      <c r="J79" s="484">
        <f t="shared" si="71"/>
        <v>-8.790072388831438E-2</v>
      </c>
      <c r="K79" s="200"/>
      <c r="L79" s="486">
        <f t="shared" si="71"/>
        <v>0.67171314741035859</v>
      </c>
      <c r="M79" s="198"/>
      <c r="N79" s="484">
        <f t="shared" si="71"/>
        <v>9.545644982166257E-2</v>
      </c>
      <c r="O79" s="484">
        <f t="shared" si="58"/>
        <v>3.6685732611516864E-2</v>
      </c>
      <c r="P79" s="484">
        <f t="shared" si="59"/>
        <v>3.6762401609162998E-2</v>
      </c>
      <c r="Q79" s="484">
        <f t="shared" si="60"/>
        <v>3.6839515743050777E-2</v>
      </c>
      <c r="R79" s="487">
        <f t="shared" si="61"/>
        <v>4.2795161837331674E-2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28A5-991D-A74B-81E8-24A93F7E04BF}">
  <dimension ref="B1:S180"/>
  <sheetViews>
    <sheetView showGridLines="0" workbookViewId="0">
      <pane xSplit="2" topLeftCell="C1" activePane="topRight" state="frozen"/>
      <selection activeCell="A31" sqref="A31"/>
      <selection pane="topRight" activeCell="M74" sqref="M74"/>
    </sheetView>
  </sheetViews>
  <sheetFormatPr baseColWidth="10" defaultRowHeight="16"/>
  <cols>
    <col min="1" max="1" width="2.375" style="184" customWidth="1"/>
    <col min="2" max="2" width="46.5" style="184" customWidth="1"/>
    <col min="3" max="3" width="1.875" style="184" customWidth="1"/>
    <col min="4" max="10" width="9.375" style="184" bestFit="1" customWidth="1"/>
    <col min="11" max="11" width="9.25" style="184" bestFit="1" customWidth="1"/>
    <col min="12" max="12" width="8" style="184" bestFit="1" customWidth="1"/>
    <col min="13" max="17" width="6.375" style="184" bestFit="1" customWidth="1"/>
    <col min="18" max="18" width="23.125" style="184" bestFit="1" customWidth="1"/>
    <col min="19" max="19" width="10.625" style="184" customWidth="1"/>
    <col min="20" max="16384" width="10.625" style="184"/>
  </cols>
  <sheetData>
    <row r="1" spans="2:18" ht="17" thickBot="1"/>
    <row r="2" spans="2:18" ht="18" thickBot="1">
      <c r="B2" s="186" t="s">
        <v>1560</v>
      </c>
      <c r="C2" s="435"/>
      <c r="D2" s="434" t="s">
        <v>103</v>
      </c>
      <c r="E2" s="434" t="s">
        <v>102</v>
      </c>
      <c r="F2" s="434" t="s">
        <v>66</v>
      </c>
      <c r="G2" s="434" t="s">
        <v>65</v>
      </c>
      <c r="H2" s="434" t="s">
        <v>3</v>
      </c>
      <c r="I2" s="435" t="s">
        <v>2</v>
      </c>
      <c r="J2" s="435" t="s">
        <v>1</v>
      </c>
      <c r="K2" s="529" t="s">
        <v>184</v>
      </c>
      <c r="L2" s="208" t="s">
        <v>178</v>
      </c>
      <c r="M2" s="208" t="s">
        <v>179</v>
      </c>
      <c r="N2" s="208" t="s">
        <v>180</v>
      </c>
      <c r="O2" s="208" t="s">
        <v>181</v>
      </c>
      <c r="P2" s="208" t="s">
        <v>182</v>
      </c>
      <c r="Q2" s="187" t="s">
        <v>183</v>
      </c>
    </row>
    <row r="3" spans="2:18" ht="17">
      <c r="B3" s="209"/>
      <c r="I3" s="184" t="s">
        <v>4</v>
      </c>
      <c r="J3" s="184" t="s">
        <v>4</v>
      </c>
      <c r="K3" s="548" t="s">
        <v>4</v>
      </c>
      <c r="Q3" s="210"/>
    </row>
    <row r="4" spans="2:18">
      <c r="B4" s="277" t="s">
        <v>25</v>
      </c>
      <c r="C4" s="191"/>
      <c r="D4" s="191"/>
      <c r="E4" s="191"/>
      <c r="F4" s="191"/>
      <c r="G4" s="191"/>
      <c r="H4" s="191"/>
      <c r="I4" s="191"/>
      <c r="J4" s="191"/>
      <c r="K4" s="549"/>
      <c r="L4" s="191"/>
      <c r="M4" s="191"/>
      <c r="N4" s="191"/>
      <c r="O4" s="191"/>
      <c r="P4" s="191"/>
      <c r="Q4" s="512"/>
    </row>
    <row r="5" spans="2:18">
      <c r="B5" s="278" t="s">
        <v>26</v>
      </c>
      <c r="D5" s="499">
        <v>616</v>
      </c>
      <c r="E5" s="499">
        <v>539</v>
      </c>
      <c r="F5" s="499">
        <v>442</v>
      </c>
      <c r="G5" s="499">
        <v>303</v>
      </c>
      <c r="H5" s="499">
        <v>270</v>
      </c>
      <c r="I5" s="184">
        <v>427</v>
      </c>
      <c r="J5" s="184">
        <v>1093</v>
      </c>
      <c r="K5" s="550">
        <v>1111</v>
      </c>
      <c r="L5" s="196">
        <f>'Derived CF'!C49</f>
        <v>1227.4417607630007</v>
      </c>
      <c r="M5" s="196">
        <f>'Derived CF'!D49</f>
        <v>1453.8108866877537</v>
      </c>
      <c r="N5" s="196">
        <f>'Derived CF'!E49</f>
        <v>1676.7998469449567</v>
      </c>
      <c r="O5" s="196">
        <f>'Derived CF'!F49</f>
        <v>1917.6134189713589</v>
      </c>
      <c r="P5" s="196">
        <f>'Derived CF'!G49</f>
        <v>2176.9522548512068</v>
      </c>
      <c r="Q5" s="267">
        <f>'Derived CF'!H49</f>
        <v>2472.0023697184206</v>
      </c>
      <c r="R5" s="184" t="s">
        <v>348</v>
      </c>
    </row>
    <row r="6" spans="2:18">
      <c r="B6" s="278" t="s">
        <v>27</v>
      </c>
      <c r="D6" s="488">
        <v>2315</v>
      </c>
      <c r="E6" s="488">
        <v>2164</v>
      </c>
      <c r="F6" s="488">
        <v>2263</v>
      </c>
      <c r="G6" s="488">
        <v>2235</v>
      </c>
      <c r="H6" s="488">
        <v>2207</v>
      </c>
      <c r="I6" s="184">
        <v>2280</v>
      </c>
      <c r="J6" s="184">
        <v>2135</v>
      </c>
      <c r="K6" s="551">
        <v>2229</v>
      </c>
      <c r="L6" s="196">
        <f>L47*IS!M$4</f>
        <v>1995.3154999999999</v>
      </c>
      <c r="M6" s="196">
        <f>M47*IS!N$4</f>
        <v>2072.3612174999998</v>
      </c>
      <c r="N6" s="196">
        <f>N47*IS!O$4</f>
        <v>2145.9529274000001</v>
      </c>
      <c r="O6" s="196">
        <f>O47*IS!P$4</f>
        <v>2222.4038435760003</v>
      </c>
      <c r="P6" s="196">
        <f>P47*IS!Q$4</f>
        <v>2301.8315406694405</v>
      </c>
      <c r="Q6" s="267">
        <f>Q47*IS!R$4</f>
        <v>2397.4990069096179</v>
      </c>
      <c r="R6" s="184" t="s">
        <v>242</v>
      </c>
    </row>
    <row r="7" spans="2:18">
      <c r="B7" s="278" t="s">
        <v>28</v>
      </c>
      <c r="D7" s="488">
        <v>1790</v>
      </c>
      <c r="E7" s="488">
        <v>1813</v>
      </c>
      <c r="F7" s="488">
        <v>1790</v>
      </c>
      <c r="G7" s="488">
        <v>1903</v>
      </c>
      <c r="H7" s="488">
        <v>2239</v>
      </c>
      <c r="I7" s="184">
        <v>2269</v>
      </c>
      <c r="J7" s="184">
        <v>1955</v>
      </c>
      <c r="K7" s="551">
        <v>1937</v>
      </c>
      <c r="L7" s="196">
        <f>L48*IS!M$5</f>
        <v>1837.1867466249996</v>
      </c>
      <c r="M7" s="196">
        <f>M48*IS!N$5</f>
        <v>1893.1019721862499</v>
      </c>
      <c r="N7" s="196">
        <f>N48*IS!O$5</f>
        <v>1960.3279991799</v>
      </c>
      <c r="O7" s="196">
        <f>O48*IS!P$5</f>
        <v>2030.1659111066758</v>
      </c>
      <c r="P7" s="196">
        <f>P48*IS!Q$5</f>
        <v>2102.7231124015334</v>
      </c>
      <c r="Q7" s="267">
        <f>Q48*IS!R$5</f>
        <v>2190.115342811936</v>
      </c>
      <c r="R7" s="184" t="s">
        <v>243</v>
      </c>
    </row>
    <row r="8" spans="2:18">
      <c r="B8" s="511" t="s">
        <v>29</v>
      </c>
      <c r="C8" s="225"/>
      <c r="D8" s="501">
        <v>490</v>
      </c>
      <c r="E8" s="501">
        <v>525</v>
      </c>
      <c r="F8" s="501">
        <v>562</v>
      </c>
      <c r="G8" s="501">
        <v>733</v>
      </c>
      <c r="H8" s="501">
        <v>849</v>
      </c>
      <c r="I8" s="225">
        <v>753</v>
      </c>
      <c r="J8" s="225">
        <v>520</v>
      </c>
      <c r="K8" s="552">
        <v>570</v>
      </c>
      <c r="L8" s="448">
        <f>L49*IS!M$4</f>
        <v>598.59464999999989</v>
      </c>
      <c r="M8" s="448">
        <f>M49*IS!N$4</f>
        <v>621.70836524999993</v>
      </c>
      <c r="N8" s="448">
        <f>N49*IS!O$4</f>
        <v>643.78587821999997</v>
      </c>
      <c r="O8" s="448">
        <f>O49*IS!P$4</f>
        <v>666.72115307280001</v>
      </c>
      <c r="P8" s="448">
        <f>P49*IS!Q$4</f>
        <v>690.54946220083207</v>
      </c>
      <c r="Q8" s="451">
        <f>Q49*IS!R$4</f>
        <v>719.24970207288538</v>
      </c>
      <c r="R8" s="184" t="s">
        <v>242</v>
      </c>
    </row>
    <row r="9" spans="2:18">
      <c r="B9" s="513" t="s">
        <v>30</v>
      </c>
      <c r="C9" s="225"/>
      <c r="D9" s="501">
        <v>5211</v>
      </c>
      <c r="E9" s="501">
        <v>5041</v>
      </c>
      <c r="F9" s="501">
        <v>5057</v>
      </c>
      <c r="G9" s="501">
        <v>5174</v>
      </c>
      <c r="H9" s="501">
        <v>5565</v>
      </c>
      <c r="I9" s="225">
        <v>5729</v>
      </c>
      <c r="J9" s="225">
        <v>5703</v>
      </c>
      <c r="K9" s="552">
        <v>5847</v>
      </c>
      <c r="L9" s="448">
        <f t="shared" ref="L9:Q9" si="0">SUM(L5:L8)</f>
        <v>5658.5386573880005</v>
      </c>
      <c r="M9" s="448">
        <f t="shared" si="0"/>
        <v>6040.9824416240035</v>
      </c>
      <c r="N9" s="448">
        <f t="shared" si="0"/>
        <v>6426.8666517448564</v>
      </c>
      <c r="O9" s="448">
        <f t="shared" si="0"/>
        <v>6836.9043267268344</v>
      </c>
      <c r="P9" s="448">
        <f t="shared" si="0"/>
        <v>7272.0563701230121</v>
      </c>
      <c r="Q9" s="451">
        <f t="shared" si="0"/>
        <v>7778.8664215128601</v>
      </c>
      <c r="R9" s="184" t="s">
        <v>340</v>
      </c>
    </row>
    <row r="10" spans="2:18">
      <c r="B10" s="278" t="s">
        <v>361</v>
      </c>
      <c r="D10" s="488">
        <f>'PPE Detailed'!E7</f>
        <v>17915</v>
      </c>
      <c r="E10" s="488">
        <f>'PPE Detailed'!F7</f>
        <v>17714</v>
      </c>
      <c r="F10" s="488">
        <f>'PPE Detailed'!G7</f>
        <v>17839</v>
      </c>
      <c r="G10" s="488">
        <f>'PPE Detailed'!H7</f>
        <v>18333</v>
      </c>
      <c r="H10" s="488">
        <f>'PPE Detailed'!I7</f>
        <v>18528</v>
      </c>
      <c r="I10" s="488">
        <f>'PPE Detailed'!J7</f>
        <v>18549</v>
      </c>
      <c r="J10" s="488">
        <f>'PPE Detailed'!K7</f>
        <v>19151</v>
      </c>
      <c r="K10" s="551"/>
      <c r="L10" s="196">
        <f>J10+L58*IS!M4</f>
        <v>19550.063099999999</v>
      </c>
      <c r="M10" s="196">
        <f>L10+M58*IS!N4</f>
        <v>19964.5353435</v>
      </c>
      <c r="N10" s="196">
        <f>M10+N58*IS!O4</f>
        <v>20393.725928979999</v>
      </c>
      <c r="O10" s="196">
        <f>N10+O58*IS!P4</f>
        <v>20838.206697695197</v>
      </c>
      <c r="P10" s="196">
        <f>O10+P58*IS!Q4</f>
        <v>21298.573005829086</v>
      </c>
      <c r="Q10" s="267">
        <f>P10+Q58*IS!R4</f>
        <v>21778.072807211011</v>
      </c>
      <c r="R10" s="184" t="s">
        <v>244</v>
      </c>
    </row>
    <row r="11" spans="2:18">
      <c r="B11" s="511" t="s">
        <v>362</v>
      </c>
      <c r="C11" s="225"/>
      <c r="D11" s="501">
        <f>'PPE Detailed'!E8</f>
        <v>-10479</v>
      </c>
      <c r="E11" s="501">
        <f>'PPE Detailed'!F8</f>
        <v>-10555</v>
      </c>
      <c r="F11" s="501">
        <f>'PPE Detailed'!G8</f>
        <v>-10389</v>
      </c>
      <c r="G11" s="501">
        <f>'PPE Detailed'!H8</f>
        <v>-10291</v>
      </c>
      <c r="H11" s="501">
        <f>'PPE Detailed'!I8</f>
        <v>-10431</v>
      </c>
      <c r="I11" s="501">
        <f>'PPE Detailed'!J8</f>
        <v>-10664</v>
      </c>
      <c r="J11" s="501">
        <f>'PPE Detailed'!K8</f>
        <v>-11238</v>
      </c>
      <c r="K11" s="552"/>
      <c r="L11" s="448">
        <f t="shared" ref="L11:Q11" si="1">L10*L59</f>
        <v>-11534.537229</v>
      </c>
      <c r="M11" s="448">
        <f t="shared" si="1"/>
        <v>-11779.075852664999</v>
      </c>
      <c r="N11" s="448">
        <f t="shared" si="1"/>
        <v>-12032.298298098198</v>
      </c>
      <c r="O11" s="448">
        <f t="shared" si="1"/>
        <v>-12294.541951640165</v>
      </c>
      <c r="P11" s="448">
        <f t="shared" si="1"/>
        <v>-12566.158073439161</v>
      </c>
      <c r="Q11" s="451">
        <f t="shared" si="1"/>
        <v>-12849.062956254496</v>
      </c>
      <c r="R11" s="184" t="s">
        <v>1519</v>
      </c>
    </row>
    <row r="12" spans="2:18">
      <c r="B12" s="218" t="s">
        <v>360</v>
      </c>
      <c r="C12" s="244"/>
      <c r="D12" s="488">
        <v>7436</v>
      </c>
      <c r="E12" s="488">
        <v>7159</v>
      </c>
      <c r="F12" s="488">
        <v>7450</v>
      </c>
      <c r="G12" s="488">
        <v>8042</v>
      </c>
      <c r="H12" s="488">
        <v>8097</v>
      </c>
      <c r="I12" s="184">
        <v>7885</v>
      </c>
      <c r="J12" s="184">
        <v>7913</v>
      </c>
      <c r="K12" s="551">
        <v>7703</v>
      </c>
      <c r="L12" s="196">
        <f>L10+L11</f>
        <v>8015.5258709999998</v>
      </c>
      <c r="M12" s="196">
        <f t="shared" ref="M12:Q12" si="2">M10+M11</f>
        <v>8185.4594908350009</v>
      </c>
      <c r="N12" s="196">
        <f t="shared" si="2"/>
        <v>8361.4276308818007</v>
      </c>
      <c r="O12" s="196">
        <f t="shared" si="2"/>
        <v>8543.6647460550321</v>
      </c>
      <c r="P12" s="196">
        <f t="shared" si="2"/>
        <v>8732.4149323899255</v>
      </c>
      <c r="Q12" s="267">
        <f t="shared" si="2"/>
        <v>8929.0098509565141</v>
      </c>
      <c r="R12" s="184" t="s">
        <v>1520</v>
      </c>
    </row>
    <row r="13" spans="2:18">
      <c r="B13" s="278" t="s">
        <v>32</v>
      </c>
      <c r="D13" s="488">
        <v>233</v>
      </c>
      <c r="E13" s="488">
        <v>224</v>
      </c>
      <c r="F13" s="488">
        <v>268</v>
      </c>
      <c r="G13" s="488">
        <v>300</v>
      </c>
      <c r="H13" s="488">
        <v>290</v>
      </c>
      <c r="I13" s="184">
        <v>238</v>
      </c>
      <c r="J13" s="184">
        <v>306</v>
      </c>
      <c r="K13" s="551">
        <v>362</v>
      </c>
      <c r="L13" s="196">
        <f t="shared" ref="L13:Q15" si="3">K13</f>
        <v>362</v>
      </c>
      <c r="M13" s="196">
        <f t="shared" si="3"/>
        <v>362</v>
      </c>
      <c r="N13" s="196">
        <f t="shared" si="3"/>
        <v>362</v>
      </c>
      <c r="O13" s="196">
        <f t="shared" si="3"/>
        <v>362</v>
      </c>
      <c r="P13" s="196">
        <f t="shared" si="3"/>
        <v>362</v>
      </c>
      <c r="Q13" s="267">
        <f t="shared" si="3"/>
        <v>362</v>
      </c>
      <c r="R13" s="184" t="s">
        <v>245</v>
      </c>
    </row>
    <row r="14" spans="2:18">
      <c r="B14" s="278" t="s">
        <v>33</v>
      </c>
      <c r="D14" s="488">
        <v>1576</v>
      </c>
      <c r="E14" s="488">
        <v>1474</v>
      </c>
      <c r="F14" s="488">
        <v>1467</v>
      </c>
      <c r="G14" s="488">
        <v>1895</v>
      </c>
      <c r="H14" s="488">
        <v>1840</v>
      </c>
      <c r="I14" s="184">
        <v>2074</v>
      </c>
      <c r="J14" s="184">
        <v>2085</v>
      </c>
      <c r="K14" s="551">
        <v>2058</v>
      </c>
      <c r="L14" s="196">
        <f t="shared" si="3"/>
        <v>2058</v>
      </c>
      <c r="M14" s="196">
        <f t="shared" si="3"/>
        <v>2058</v>
      </c>
      <c r="N14" s="196">
        <f t="shared" si="3"/>
        <v>2058</v>
      </c>
      <c r="O14" s="196">
        <f t="shared" si="3"/>
        <v>2058</v>
      </c>
      <c r="P14" s="196">
        <f t="shared" si="3"/>
        <v>2058</v>
      </c>
      <c r="Q14" s="267">
        <f t="shared" si="3"/>
        <v>2058</v>
      </c>
      <c r="R14" s="184" t="s">
        <v>245</v>
      </c>
    </row>
    <row r="15" spans="2:18">
      <c r="B15" s="278" t="s">
        <v>34</v>
      </c>
      <c r="F15" s="488">
        <v>29</v>
      </c>
      <c r="G15" s="488">
        <v>832</v>
      </c>
      <c r="H15" s="488">
        <v>810</v>
      </c>
      <c r="I15" s="184">
        <v>851</v>
      </c>
      <c r="J15" s="184">
        <v>197</v>
      </c>
      <c r="K15" s="551">
        <v>97</v>
      </c>
      <c r="L15" s="196">
        <f t="shared" si="3"/>
        <v>97</v>
      </c>
      <c r="M15" s="196">
        <f t="shared" si="3"/>
        <v>97</v>
      </c>
      <c r="N15" s="196">
        <f t="shared" si="3"/>
        <v>97</v>
      </c>
      <c r="O15" s="196">
        <f t="shared" si="3"/>
        <v>97</v>
      </c>
      <c r="P15" s="196">
        <f t="shared" si="3"/>
        <v>97</v>
      </c>
      <c r="Q15" s="267">
        <f t="shared" si="3"/>
        <v>97</v>
      </c>
      <c r="R15" s="184" t="s">
        <v>245</v>
      </c>
    </row>
    <row r="16" spans="2:18">
      <c r="B16" s="511" t="s">
        <v>35</v>
      </c>
      <c r="C16" s="225"/>
      <c r="D16" s="501">
        <v>695</v>
      </c>
      <c r="E16" s="501">
        <v>620</v>
      </c>
      <c r="F16" s="501">
        <v>1012</v>
      </c>
      <c r="G16" s="501">
        <v>1280</v>
      </c>
      <c r="H16" s="501">
        <v>1235</v>
      </c>
      <c r="I16" s="225">
        <v>1193</v>
      </c>
      <c r="J16" s="225">
        <v>1140</v>
      </c>
      <c r="K16" s="552">
        <v>1098</v>
      </c>
      <c r="L16" s="448">
        <f>L50*IS!M4</f>
        <v>1197.1892999999998</v>
      </c>
      <c r="M16" s="448">
        <f>M50*IS!N4</f>
        <v>1243.4167304999999</v>
      </c>
      <c r="N16" s="448">
        <f>N50*IS!O4</f>
        <v>1287.5717564399999</v>
      </c>
      <c r="O16" s="448">
        <f>O50*IS!P4</f>
        <v>1333.4423061456</v>
      </c>
      <c r="P16" s="448">
        <f>P50*IS!Q4</f>
        <v>1381.0989244016641</v>
      </c>
      <c r="Q16" s="451">
        <f>Q50*IS!R4</f>
        <v>1438.4994041457708</v>
      </c>
    </row>
    <row r="17" spans="2:18" ht="17" thickBot="1">
      <c r="B17" s="514" t="s">
        <v>36</v>
      </c>
      <c r="C17" s="502"/>
      <c r="D17" s="524">
        <v>15151</v>
      </c>
      <c r="E17" s="524">
        <v>14518</v>
      </c>
      <c r="F17" s="524">
        <v>15283</v>
      </c>
      <c r="G17" s="524">
        <v>17523</v>
      </c>
      <c r="H17" s="524">
        <v>17837</v>
      </c>
      <c r="I17" s="525">
        <v>17970</v>
      </c>
      <c r="J17" s="525">
        <v>17344</v>
      </c>
      <c r="K17" s="553">
        <v>17165</v>
      </c>
      <c r="L17" s="526">
        <f t="shared" ref="L17:P17" si="4">SUM(L9:L16)-L12</f>
        <v>17388.253828387999</v>
      </c>
      <c r="M17" s="526">
        <f t="shared" si="4"/>
        <v>17986.858662959006</v>
      </c>
      <c r="N17" s="526">
        <f t="shared" si="4"/>
        <v>18592.866039066659</v>
      </c>
      <c r="O17" s="526">
        <f t="shared" si="4"/>
        <v>19231.011378927469</v>
      </c>
      <c r="P17" s="526">
        <f t="shared" si="4"/>
        <v>19902.570226914602</v>
      </c>
      <c r="Q17" s="527">
        <f>SUM(Q9:Q16)-Q12</f>
        <v>20663.375676615145</v>
      </c>
      <c r="R17" s="184" t="s">
        <v>340</v>
      </c>
    </row>
    <row r="18" spans="2:18">
      <c r="B18" s="278"/>
      <c r="K18" s="554"/>
      <c r="L18" s="196"/>
      <c r="M18" s="196"/>
      <c r="N18" s="196"/>
      <c r="O18" s="196"/>
      <c r="P18" s="196"/>
      <c r="Q18" s="267"/>
    </row>
    <row r="19" spans="2:18">
      <c r="B19" s="277" t="s">
        <v>37</v>
      </c>
      <c r="C19" s="191"/>
      <c r="D19" s="191"/>
      <c r="E19" s="191"/>
      <c r="F19" s="191"/>
      <c r="G19" s="191"/>
      <c r="H19" s="191"/>
      <c r="I19" s="191" t="s">
        <v>4</v>
      </c>
      <c r="J19" s="191" t="s">
        <v>4</v>
      </c>
      <c r="K19" s="549"/>
      <c r="L19" s="194"/>
      <c r="M19" s="194"/>
      <c r="N19" s="194"/>
      <c r="O19" s="194"/>
      <c r="P19" s="194"/>
      <c r="Q19" s="266"/>
    </row>
    <row r="20" spans="2:18">
      <c r="B20" s="278" t="s">
        <v>38</v>
      </c>
      <c r="D20" s="488">
        <v>953</v>
      </c>
      <c r="E20" s="488">
        <v>1208</v>
      </c>
      <c r="F20" s="488">
        <v>1534</v>
      </c>
      <c r="G20" s="488">
        <v>486</v>
      </c>
      <c r="H20" s="488">
        <v>433</v>
      </c>
      <c r="I20" s="184">
        <v>844</v>
      </c>
      <c r="J20" s="184">
        <v>567</v>
      </c>
      <c r="K20" s="551">
        <v>569</v>
      </c>
      <c r="L20" s="196">
        <v>566</v>
      </c>
      <c r="M20" s="196">
        <v>559</v>
      </c>
      <c r="N20" s="196">
        <v>403</v>
      </c>
      <c r="O20" s="196">
        <v>601</v>
      </c>
      <c r="P20" s="196">
        <v>698</v>
      </c>
      <c r="Q20" s="267">
        <f>AVERAGE(L20:P20)</f>
        <v>565.4</v>
      </c>
      <c r="R20" s="184" t="s">
        <v>1542</v>
      </c>
    </row>
    <row r="21" spans="2:18">
      <c r="B21" s="278" t="s">
        <v>39</v>
      </c>
      <c r="D21" s="488">
        <v>2834</v>
      </c>
      <c r="E21" s="488">
        <v>3190</v>
      </c>
      <c r="F21" s="488">
        <v>3055</v>
      </c>
      <c r="G21" s="488">
        <v>3336</v>
      </c>
      <c r="H21" s="488">
        <v>3840</v>
      </c>
      <c r="I21" s="184">
        <v>3813</v>
      </c>
      <c r="J21" s="184">
        <v>3653</v>
      </c>
      <c r="K21" s="551">
        <v>3643</v>
      </c>
      <c r="L21" s="196">
        <f>L52*IS!M5</f>
        <v>3484.319691875</v>
      </c>
      <c r="M21" s="196">
        <f>M52*IS!N5</f>
        <v>3590.3658093187501</v>
      </c>
      <c r="N21" s="196">
        <f>N52*IS!O5</f>
        <v>3717.8634467205002</v>
      </c>
      <c r="O21" s="196">
        <f>O52*IS!P5</f>
        <v>3850.3146589954204</v>
      </c>
      <c r="P21" s="196">
        <f>P52*IS!Q5</f>
        <v>3987.9231442098057</v>
      </c>
      <c r="Q21" s="267">
        <f>Q52*IS!R5</f>
        <v>4153.6670294709138</v>
      </c>
      <c r="R21" s="184" t="s">
        <v>356</v>
      </c>
    </row>
    <row r="22" spans="2:18">
      <c r="B22" s="278" t="s">
        <v>40</v>
      </c>
      <c r="D22" s="488">
        <v>1730</v>
      </c>
      <c r="E22" s="488">
        <v>1793</v>
      </c>
      <c r="F22" s="488">
        <v>1978</v>
      </c>
      <c r="G22" s="488">
        <v>2262</v>
      </c>
      <c r="H22" s="488">
        <v>2096</v>
      </c>
      <c r="I22" s="184">
        <v>2289</v>
      </c>
      <c r="J22" s="184">
        <v>2316</v>
      </c>
      <c r="K22" s="551">
        <v>2449</v>
      </c>
      <c r="L22" s="196">
        <f>L53*(IS!M10+IS!M12)</f>
        <v>2273.4624807</v>
      </c>
      <c r="M22" s="196">
        <f>M53*(IS!N10+IS!N12)</f>
        <v>2361.2483712194999</v>
      </c>
      <c r="N22" s="196">
        <f>N53*(IS!O10+IS!O12)</f>
        <v>2445.0987654795599</v>
      </c>
      <c r="O22" s="196">
        <f>O53*(IS!P10+IS!P12)</f>
        <v>2532.2069393704946</v>
      </c>
      <c r="P22" s="196">
        <f>P53*(IS!Q10+IS!Q12)</f>
        <v>2622.7068574387604</v>
      </c>
      <c r="Q22" s="267">
        <f>Q53*(IS!R10+IS!R12)</f>
        <v>2731.7103684728186</v>
      </c>
      <c r="R22" s="184" t="s">
        <v>246</v>
      </c>
    </row>
    <row r="23" spans="2:18">
      <c r="B23" s="511" t="s">
        <v>41</v>
      </c>
      <c r="C23" s="225"/>
      <c r="D23" s="501">
        <v>341</v>
      </c>
      <c r="E23" s="501">
        <v>345</v>
      </c>
      <c r="F23" s="501">
        <v>352</v>
      </c>
      <c r="G23" s="501">
        <v>359</v>
      </c>
      <c r="H23" s="501">
        <v>380</v>
      </c>
      <c r="I23" s="225">
        <v>388</v>
      </c>
      <c r="J23" s="225">
        <v>394</v>
      </c>
      <c r="K23" s="552">
        <v>405</v>
      </c>
      <c r="L23" s="448">
        <f t="shared" ref="L23:Q23" si="5">L54*L65</f>
        <v>504.59358439650009</v>
      </c>
      <c r="M23" s="448">
        <f t="shared" si="5"/>
        <v>552.76029656577737</v>
      </c>
      <c r="N23" s="448">
        <f t="shared" si="5"/>
        <v>573.03871300385231</v>
      </c>
      <c r="O23" s="448">
        <f t="shared" si="5"/>
        <v>594.10499230889775</v>
      </c>
      <c r="P23" s="448">
        <f t="shared" si="5"/>
        <v>615.99153252608642</v>
      </c>
      <c r="Q23" s="451">
        <f t="shared" si="5"/>
        <v>642.3529898509662</v>
      </c>
      <c r="R23" s="184" t="s">
        <v>358</v>
      </c>
    </row>
    <row r="24" spans="2:18">
      <c r="B24" s="513" t="s">
        <v>42</v>
      </c>
      <c r="C24" s="504"/>
      <c r="D24" s="501">
        <v>5858</v>
      </c>
      <c r="E24" s="501">
        <v>6536</v>
      </c>
      <c r="F24" s="501">
        <v>6919</v>
      </c>
      <c r="G24" s="501">
        <v>6443</v>
      </c>
      <c r="H24" s="501">
        <v>6749</v>
      </c>
      <c r="I24" s="225">
        <v>7334</v>
      </c>
      <c r="J24" s="225">
        <v>6930</v>
      </c>
      <c r="K24" s="552">
        <v>7066</v>
      </c>
      <c r="L24" s="448">
        <f t="shared" ref="L24:Q24" si="6">SUM(L20:L23)</f>
        <v>6828.3757569714999</v>
      </c>
      <c r="M24" s="448">
        <f t="shared" si="6"/>
        <v>7063.3744771040265</v>
      </c>
      <c r="N24" s="448">
        <f t="shared" si="6"/>
        <v>7139.0009252039126</v>
      </c>
      <c r="O24" s="448">
        <f t="shared" si="6"/>
        <v>7577.6265906748122</v>
      </c>
      <c r="P24" s="448">
        <f t="shared" si="6"/>
        <v>7924.6215341746529</v>
      </c>
      <c r="Q24" s="451">
        <f t="shared" si="6"/>
        <v>8093.1303877946975</v>
      </c>
      <c r="R24" s="184" t="s">
        <v>340</v>
      </c>
    </row>
    <row r="25" spans="2:18">
      <c r="B25" s="278" t="s">
        <v>43</v>
      </c>
      <c r="D25" s="488">
        <v>6472</v>
      </c>
      <c r="E25" s="488">
        <v>6247</v>
      </c>
      <c r="F25" s="488">
        <v>6213</v>
      </c>
      <c r="G25" s="488">
        <v>7878</v>
      </c>
      <c r="H25" s="488">
        <v>8141</v>
      </c>
      <c r="I25" s="184">
        <v>7578</v>
      </c>
      <c r="J25" s="184">
        <v>7417</v>
      </c>
      <c r="K25" s="551">
        <v>6882</v>
      </c>
      <c r="L25" s="196">
        <f>$J$43-L20</f>
        <v>7418</v>
      </c>
      <c r="M25" s="196">
        <f t="shared" ref="M25:Q25" si="7">$J$43-M20</f>
        <v>7425</v>
      </c>
      <c r="N25" s="196">
        <f t="shared" si="7"/>
        <v>7581</v>
      </c>
      <c r="O25" s="196">
        <f t="shared" si="7"/>
        <v>7383</v>
      </c>
      <c r="P25" s="196">
        <f t="shared" si="7"/>
        <v>7286</v>
      </c>
      <c r="Q25" s="267">
        <f t="shared" si="7"/>
        <v>7418.6</v>
      </c>
      <c r="R25" s="184" t="s">
        <v>245</v>
      </c>
    </row>
    <row r="26" spans="2:18">
      <c r="B26" s="278" t="s">
        <v>44</v>
      </c>
      <c r="D26" s="488">
        <v>1184</v>
      </c>
      <c r="E26" s="488">
        <v>931</v>
      </c>
      <c r="F26" s="488">
        <v>897</v>
      </c>
      <c r="G26" s="488">
        <v>864</v>
      </c>
      <c r="H26" s="488">
        <v>809</v>
      </c>
      <c r="I26" s="184">
        <v>654</v>
      </c>
      <c r="J26" s="184">
        <v>669</v>
      </c>
      <c r="K26" s="551">
        <v>641</v>
      </c>
      <c r="L26" s="196">
        <f>L55*IS!M10</f>
        <v>606.25666151999997</v>
      </c>
      <c r="M26" s="196">
        <f>M55*IS!N10</f>
        <v>629.66623232519999</v>
      </c>
      <c r="N26" s="196">
        <f>N55*IS!O10</f>
        <v>652.02633746121603</v>
      </c>
      <c r="O26" s="196">
        <f>O55*IS!P10</f>
        <v>675.25518383213193</v>
      </c>
      <c r="P26" s="196">
        <f>P55*IS!Q10</f>
        <v>699.38849531700282</v>
      </c>
      <c r="Q26" s="267">
        <f>Q55*IS!R10</f>
        <v>728.45609825941835</v>
      </c>
      <c r="R26" s="184" t="s">
        <v>247</v>
      </c>
    </row>
    <row r="27" spans="2:18">
      <c r="B27" s="278" t="s">
        <v>45</v>
      </c>
      <c r="D27" s="488">
        <v>395</v>
      </c>
      <c r="E27" s="488">
        <v>458</v>
      </c>
      <c r="F27" s="488">
        <v>511</v>
      </c>
      <c r="G27" s="488">
        <v>723</v>
      </c>
      <c r="H27" s="488">
        <v>694</v>
      </c>
      <c r="I27" s="184">
        <v>647</v>
      </c>
      <c r="J27" s="184">
        <v>374</v>
      </c>
      <c r="K27" s="551">
        <v>355</v>
      </c>
      <c r="L27" s="196">
        <f t="shared" ref="L27:Q27" si="8">K27</f>
        <v>355</v>
      </c>
      <c r="M27" s="196">
        <f t="shared" si="8"/>
        <v>355</v>
      </c>
      <c r="N27" s="196">
        <f t="shared" si="8"/>
        <v>355</v>
      </c>
      <c r="O27" s="196">
        <f t="shared" si="8"/>
        <v>355</v>
      </c>
      <c r="P27" s="196">
        <f t="shared" si="8"/>
        <v>355</v>
      </c>
      <c r="Q27" s="267">
        <f t="shared" si="8"/>
        <v>355</v>
      </c>
      <c r="R27" s="184" t="s">
        <v>245</v>
      </c>
    </row>
    <row r="28" spans="2:18">
      <c r="B28" s="278" t="s">
        <v>46</v>
      </c>
      <c r="D28" s="488">
        <v>299</v>
      </c>
      <c r="E28" s="488">
        <v>328</v>
      </c>
      <c r="F28" s="488">
        <v>520</v>
      </c>
      <c r="G28" s="488">
        <v>718</v>
      </c>
      <c r="H28" s="488">
        <v>681</v>
      </c>
      <c r="I28" s="184">
        <v>799</v>
      </c>
      <c r="J28" s="184">
        <v>860</v>
      </c>
      <c r="K28" s="551">
        <v>751</v>
      </c>
      <c r="L28" s="196">
        <f>L56*IS!M4</f>
        <v>840.02782549999995</v>
      </c>
      <c r="M28" s="196">
        <f>M56*IS!N4</f>
        <v>872.4640725674999</v>
      </c>
      <c r="N28" s="196">
        <f>N56*IS!O4</f>
        <v>903.44618243540003</v>
      </c>
      <c r="O28" s="196">
        <f>O56*IS!P4</f>
        <v>935.63201814549598</v>
      </c>
      <c r="P28" s="196">
        <f>P56*IS!Q4</f>
        <v>969.07107862183443</v>
      </c>
      <c r="Q28" s="267">
        <f>Q56*IS!R4</f>
        <v>1009.3470819089491</v>
      </c>
      <c r="R28" s="184" t="s">
        <v>242</v>
      </c>
    </row>
    <row r="29" spans="2:18">
      <c r="B29" s="511" t="s">
        <v>47</v>
      </c>
      <c r="C29" s="225"/>
      <c r="D29" s="501">
        <v>61</v>
      </c>
      <c r="E29" s="501">
        <v>64</v>
      </c>
      <c r="F29" s="501">
        <v>29</v>
      </c>
      <c r="G29" s="501">
        <v>28</v>
      </c>
      <c r="H29" s="505">
        <v>26</v>
      </c>
      <c r="I29" s="225">
        <v>258</v>
      </c>
      <c r="J29" s="225">
        <v>26</v>
      </c>
      <c r="K29" s="555">
        <v>26</v>
      </c>
      <c r="L29" s="448">
        <f t="shared" ref="L29:Q29" si="9">K29</f>
        <v>26</v>
      </c>
      <c r="M29" s="448">
        <f t="shared" si="9"/>
        <v>26</v>
      </c>
      <c r="N29" s="448">
        <f t="shared" si="9"/>
        <v>26</v>
      </c>
      <c r="O29" s="448">
        <f t="shared" si="9"/>
        <v>26</v>
      </c>
      <c r="P29" s="448">
        <f t="shared" si="9"/>
        <v>26</v>
      </c>
      <c r="Q29" s="451">
        <f t="shared" si="9"/>
        <v>26</v>
      </c>
      <c r="R29" s="184" t="s">
        <v>248</v>
      </c>
    </row>
    <row r="30" spans="2:18" ht="17" thickBot="1">
      <c r="B30" s="514" t="s">
        <v>1522</v>
      </c>
      <c r="C30" s="502"/>
      <c r="D30" s="522">
        <f t="shared" ref="D30:Q30" si="10">SUM(D24:D29)</f>
        <v>14269</v>
      </c>
      <c r="E30" s="522">
        <f t="shared" si="10"/>
        <v>14564</v>
      </c>
      <c r="F30" s="522">
        <f t="shared" si="10"/>
        <v>15089</v>
      </c>
      <c r="G30" s="522">
        <f t="shared" si="10"/>
        <v>16654</v>
      </c>
      <c r="H30" s="522">
        <f t="shared" si="10"/>
        <v>17100</v>
      </c>
      <c r="I30" s="522">
        <f t="shared" si="10"/>
        <v>17270</v>
      </c>
      <c r="J30" s="522">
        <f t="shared" si="10"/>
        <v>16276</v>
      </c>
      <c r="K30" s="556">
        <f t="shared" si="10"/>
        <v>15721</v>
      </c>
      <c r="L30" s="522">
        <f t="shared" si="10"/>
        <v>16073.660243991499</v>
      </c>
      <c r="M30" s="522">
        <f t="shared" si="10"/>
        <v>16371.504781996726</v>
      </c>
      <c r="N30" s="522">
        <f t="shared" si="10"/>
        <v>16656.473445100528</v>
      </c>
      <c r="O30" s="522">
        <f t="shared" si="10"/>
        <v>16952.51379265244</v>
      </c>
      <c r="P30" s="522">
        <f t="shared" si="10"/>
        <v>17260.081108113493</v>
      </c>
      <c r="Q30" s="523">
        <f t="shared" si="10"/>
        <v>17630.533567963066</v>
      </c>
      <c r="R30" s="184" t="s">
        <v>340</v>
      </c>
    </row>
    <row r="31" spans="2:18">
      <c r="B31" s="278"/>
      <c r="I31" s="184" t="s">
        <v>4</v>
      </c>
      <c r="J31" s="184" t="s">
        <v>4</v>
      </c>
      <c r="K31" s="554"/>
      <c r="L31" s="196"/>
      <c r="M31" s="196"/>
      <c r="N31" s="196"/>
      <c r="O31" s="196"/>
      <c r="P31" s="196"/>
      <c r="Q31" s="267"/>
    </row>
    <row r="32" spans="2:18">
      <c r="B32" s="278" t="s">
        <v>1562</v>
      </c>
      <c r="D32" s="488"/>
      <c r="E32" s="488"/>
      <c r="F32" s="488"/>
      <c r="G32" s="488"/>
      <c r="H32" s="499"/>
      <c r="K32" s="550"/>
      <c r="L32" s="196"/>
      <c r="M32" s="196"/>
      <c r="N32" s="196"/>
      <c r="O32" s="196"/>
      <c r="P32" s="196"/>
      <c r="Q32" s="267"/>
    </row>
    <row r="33" spans="2:18">
      <c r="B33" s="278" t="s">
        <v>1518</v>
      </c>
      <c r="D33" s="488">
        <v>473</v>
      </c>
      <c r="E33" s="488">
        <v>473</v>
      </c>
      <c r="F33" s="488">
        <v>473</v>
      </c>
      <c r="G33" s="488">
        <v>473</v>
      </c>
      <c r="H33" s="488">
        <v>473</v>
      </c>
      <c r="I33" s="184">
        <v>473</v>
      </c>
      <c r="J33" s="184">
        <v>473</v>
      </c>
      <c r="K33" s="551">
        <v>473</v>
      </c>
      <c r="L33" s="196">
        <f t="shared" ref="L33:Q34" si="11">K33</f>
        <v>473</v>
      </c>
      <c r="M33" s="196">
        <f t="shared" si="11"/>
        <v>473</v>
      </c>
      <c r="N33" s="196">
        <f t="shared" si="11"/>
        <v>473</v>
      </c>
      <c r="O33" s="196">
        <f t="shared" si="11"/>
        <v>473</v>
      </c>
      <c r="P33" s="196">
        <f t="shared" si="11"/>
        <v>473</v>
      </c>
      <c r="Q33" s="267">
        <f t="shared" si="11"/>
        <v>473</v>
      </c>
      <c r="R33" s="184" t="s">
        <v>249</v>
      </c>
    </row>
    <row r="34" spans="2:18">
      <c r="B34" s="278" t="s">
        <v>56</v>
      </c>
      <c r="D34" s="488">
        <v>594</v>
      </c>
      <c r="E34" s="488">
        <v>548</v>
      </c>
      <c r="F34" s="488">
        <v>556</v>
      </c>
      <c r="G34" s="499">
        <v>657</v>
      </c>
      <c r="H34" s="499">
        <v>605</v>
      </c>
      <c r="I34" s="184">
        <v>679</v>
      </c>
      <c r="J34" s="184">
        <v>878</v>
      </c>
      <c r="K34" s="551">
        <v>844</v>
      </c>
      <c r="L34" s="196">
        <f t="shared" si="11"/>
        <v>844</v>
      </c>
      <c r="M34" s="196">
        <f t="shared" si="11"/>
        <v>844</v>
      </c>
      <c r="N34" s="196">
        <f t="shared" si="11"/>
        <v>844</v>
      </c>
      <c r="O34" s="196">
        <f t="shared" si="11"/>
        <v>844</v>
      </c>
      <c r="P34" s="196">
        <f t="shared" si="11"/>
        <v>844</v>
      </c>
      <c r="Q34" s="267">
        <f t="shared" si="11"/>
        <v>844</v>
      </c>
      <c r="R34" s="184" t="s">
        <v>249</v>
      </c>
    </row>
    <row r="35" spans="2:18">
      <c r="B35" s="278" t="s">
        <v>1517</v>
      </c>
      <c r="D35" s="488">
        <v>-3288</v>
      </c>
      <c r="E35" s="488">
        <v>-3956</v>
      </c>
      <c r="F35" s="488">
        <v>-4454</v>
      </c>
      <c r="G35" s="499">
        <v>-4899</v>
      </c>
      <c r="H35" s="499">
        <v>-5183</v>
      </c>
      <c r="I35" s="184">
        <v>-5137</v>
      </c>
      <c r="J35" s="184">
        <v>-5222</v>
      </c>
      <c r="K35" s="554"/>
      <c r="L35" s="196">
        <f>L72</f>
        <v>-5474</v>
      </c>
      <c r="M35" s="196">
        <f t="shared" ref="M35:Q35" si="12">M72</f>
        <v>-5726</v>
      </c>
      <c r="N35" s="196">
        <f t="shared" si="12"/>
        <v>-5978</v>
      </c>
      <c r="O35" s="196">
        <f t="shared" si="12"/>
        <v>-6230</v>
      </c>
      <c r="P35" s="196">
        <f t="shared" si="12"/>
        <v>-6482</v>
      </c>
      <c r="Q35" s="267">
        <f t="shared" si="12"/>
        <v>-6734</v>
      </c>
      <c r="R35" s="184" t="s">
        <v>347</v>
      </c>
    </row>
    <row r="36" spans="2:18">
      <c r="B36" s="278" t="s">
        <v>59</v>
      </c>
      <c r="D36" s="488">
        <v>5769</v>
      </c>
      <c r="E36" s="488">
        <v>5947</v>
      </c>
      <c r="F36" s="488">
        <v>6686</v>
      </c>
      <c r="G36" s="488">
        <v>7567</v>
      </c>
      <c r="H36" s="488">
        <v>7858</v>
      </c>
      <c r="I36" s="184">
        <v>8201</v>
      </c>
      <c r="J36" s="184">
        <v>8368</v>
      </c>
      <c r="K36" s="551">
        <v>9279</v>
      </c>
      <c r="L36" s="196">
        <f t="shared" ref="L36:Q36" si="13">L67</f>
        <v>8872.5935843965017</v>
      </c>
      <c r="M36" s="196">
        <f t="shared" si="13"/>
        <v>9425.3538809622787</v>
      </c>
      <c r="N36" s="196">
        <f t="shared" si="13"/>
        <v>9998.3925939661312</v>
      </c>
      <c r="O36" s="196">
        <f t="shared" si="13"/>
        <v>10592.497586275029</v>
      </c>
      <c r="P36" s="196">
        <f t="shared" si="13"/>
        <v>11208.489118801115</v>
      </c>
      <c r="Q36" s="267">
        <f t="shared" si="13"/>
        <v>11850.842108652083</v>
      </c>
      <c r="R36" s="184" t="s">
        <v>250</v>
      </c>
    </row>
    <row r="37" spans="2:18">
      <c r="B37" s="511" t="s">
        <v>60</v>
      </c>
      <c r="C37" s="225"/>
      <c r="D37" s="501">
        <v>-2919</v>
      </c>
      <c r="E37" s="501">
        <v>-3299</v>
      </c>
      <c r="F37" s="501">
        <v>-3294</v>
      </c>
      <c r="G37" s="501">
        <v>-3172</v>
      </c>
      <c r="H37" s="501">
        <v>-3239</v>
      </c>
      <c r="I37" s="225">
        <v>-3669</v>
      </c>
      <c r="J37" s="225">
        <v>-3582</v>
      </c>
      <c r="K37" s="555">
        <v>-3560</v>
      </c>
      <c r="L37" s="448">
        <f t="shared" ref="L37:Q37" si="14">K37</f>
        <v>-3560</v>
      </c>
      <c r="M37" s="448">
        <f t="shared" si="14"/>
        <v>-3560</v>
      </c>
      <c r="N37" s="448">
        <f t="shared" si="14"/>
        <v>-3560</v>
      </c>
      <c r="O37" s="448">
        <f t="shared" si="14"/>
        <v>-3560</v>
      </c>
      <c r="P37" s="448">
        <f t="shared" si="14"/>
        <v>-3560</v>
      </c>
      <c r="Q37" s="451">
        <f t="shared" si="14"/>
        <v>-3560</v>
      </c>
      <c r="R37" s="184" t="s">
        <v>249</v>
      </c>
    </row>
    <row r="38" spans="2:18">
      <c r="B38" s="218" t="s">
        <v>61</v>
      </c>
      <c r="C38" s="244"/>
      <c r="D38" s="488">
        <v>629</v>
      </c>
      <c r="E38" s="488">
        <v>-287</v>
      </c>
      <c r="F38" s="488">
        <v>-33</v>
      </c>
      <c r="G38" s="196">
        <f>SUM(G33:G37)</f>
        <v>626</v>
      </c>
      <c r="H38" s="488">
        <v>514</v>
      </c>
      <c r="I38" s="184">
        <v>547</v>
      </c>
      <c r="J38" s="184">
        <v>915</v>
      </c>
      <c r="K38" s="551">
        <v>1285</v>
      </c>
      <c r="L38" s="196">
        <f t="shared" ref="L38:Q38" si="15">SUM(L33:L37)</f>
        <v>1155.5935843965017</v>
      </c>
      <c r="M38" s="196">
        <f t="shared" si="15"/>
        <v>1456.3538809622787</v>
      </c>
      <c r="N38" s="196">
        <f t="shared" si="15"/>
        <v>1777.3925939661312</v>
      </c>
      <c r="O38" s="196">
        <f t="shared" si="15"/>
        <v>2119.4975862750289</v>
      </c>
      <c r="P38" s="196">
        <f t="shared" si="15"/>
        <v>2483.4891188011152</v>
      </c>
      <c r="Q38" s="267">
        <f t="shared" si="15"/>
        <v>2873.842108652083</v>
      </c>
      <c r="R38" s="184" t="s">
        <v>340</v>
      </c>
    </row>
    <row r="39" spans="2:18">
      <c r="B39" s="511" t="s">
        <v>62</v>
      </c>
      <c r="C39" s="225"/>
      <c r="D39" s="501">
        <v>253</v>
      </c>
      <c r="E39" s="501">
        <v>241</v>
      </c>
      <c r="F39" s="501">
        <v>227</v>
      </c>
      <c r="G39" s="501">
        <v>243</v>
      </c>
      <c r="H39" s="501">
        <v>223</v>
      </c>
      <c r="I39" s="225">
        <v>153</v>
      </c>
      <c r="J39" s="225">
        <v>153</v>
      </c>
      <c r="K39" s="552">
        <v>159</v>
      </c>
      <c r="L39" s="448">
        <f t="shared" ref="L39:Q39" si="16">K39</f>
        <v>159</v>
      </c>
      <c r="M39" s="448">
        <f t="shared" si="16"/>
        <v>159</v>
      </c>
      <c r="N39" s="448">
        <f t="shared" si="16"/>
        <v>159</v>
      </c>
      <c r="O39" s="448">
        <f t="shared" si="16"/>
        <v>159</v>
      </c>
      <c r="P39" s="448">
        <f t="shared" si="16"/>
        <v>159</v>
      </c>
      <c r="Q39" s="451">
        <f t="shared" si="16"/>
        <v>159</v>
      </c>
      <c r="R39" s="184" t="s">
        <v>249</v>
      </c>
    </row>
    <row r="40" spans="2:18">
      <c r="B40" s="515" t="s">
        <v>63</v>
      </c>
      <c r="C40" s="506"/>
      <c r="D40" s="507">
        <v>882</v>
      </c>
      <c r="E40" s="507">
        <v>-46</v>
      </c>
      <c r="F40" s="507">
        <v>194</v>
      </c>
      <c r="G40" s="508">
        <f>SUM(G38:G39)</f>
        <v>869</v>
      </c>
      <c r="H40" s="507">
        <v>737</v>
      </c>
      <c r="I40" s="509">
        <v>700</v>
      </c>
      <c r="J40" s="509">
        <v>1068</v>
      </c>
      <c r="K40" s="557">
        <v>1444</v>
      </c>
      <c r="L40" s="508">
        <f t="shared" ref="L40:Q40" si="17">SUM(L38:L39)</f>
        <v>1314.5935843965017</v>
      </c>
      <c r="M40" s="508">
        <f t="shared" si="17"/>
        <v>1615.3538809622787</v>
      </c>
      <c r="N40" s="508">
        <f t="shared" si="17"/>
        <v>1936.3925939661312</v>
      </c>
      <c r="O40" s="508">
        <f t="shared" si="17"/>
        <v>2278.4975862750289</v>
      </c>
      <c r="P40" s="508">
        <f t="shared" si="17"/>
        <v>2642.4891188011152</v>
      </c>
      <c r="Q40" s="510">
        <f t="shared" si="17"/>
        <v>3032.842108652083</v>
      </c>
      <c r="R40" s="184" t="s">
        <v>340</v>
      </c>
    </row>
    <row r="41" spans="2:18" ht="17" thickBot="1">
      <c r="B41" s="517" t="s">
        <v>64</v>
      </c>
      <c r="C41" s="198"/>
      <c r="D41" s="518">
        <v>15151</v>
      </c>
      <c r="E41" s="518">
        <v>14518</v>
      </c>
      <c r="F41" s="518">
        <v>15283</v>
      </c>
      <c r="G41" s="518">
        <v>17523</v>
      </c>
      <c r="H41" s="518">
        <v>17837</v>
      </c>
      <c r="I41" s="519">
        <v>17970</v>
      </c>
      <c r="J41" s="519">
        <v>17344</v>
      </c>
      <c r="K41" s="558">
        <v>17165</v>
      </c>
      <c r="L41" s="520">
        <f t="shared" ref="L41:Q41" si="18">SUM(L24:L29,L40)</f>
        <v>17388.253828387999</v>
      </c>
      <c r="M41" s="520">
        <f t="shared" si="18"/>
        <v>17986.858662959006</v>
      </c>
      <c r="N41" s="520">
        <f t="shared" si="18"/>
        <v>18592.866039066659</v>
      </c>
      <c r="O41" s="520">
        <f t="shared" si="18"/>
        <v>19231.011378927469</v>
      </c>
      <c r="P41" s="520">
        <f t="shared" si="18"/>
        <v>19902.570226914606</v>
      </c>
      <c r="Q41" s="521">
        <f t="shared" si="18"/>
        <v>20663.375676615149</v>
      </c>
      <c r="R41" s="184" t="s">
        <v>340</v>
      </c>
    </row>
    <row r="42" spans="2:18">
      <c r="B42" s="653"/>
      <c r="D42" s="654"/>
      <c r="E42" s="654"/>
      <c r="F42" s="654"/>
      <c r="G42" s="654"/>
      <c r="H42" s="654"/>
      <c r="I42" s="655"/>
      <c r="J42" s="655"/>
      <c r="K42" s="656"/>
      <c r="L42" s="657"/>
      <c r="M42" s="657"/>
      <c r="N42" s="657"/>
      <c r="O42" s="657"/>
      <c r="P42" s="657"/>
      <c r="Q42" s="657"/>
    </row>
    <row r="43" spans="2:18">
      <c r="B43" s="184" t="s">
        <v>1596</v>
      </c>
      <c r="D43" s="489">
        <f>D25+D20</f>
        <v>7425</v>
      </c>
      <c r="E43" s="489">
        <f t="shared" ref="E43:Q43" si="19">E25+E20</f>
        <v>7455</v>
      </c>
      <c r="F43" s="489">
        <f t="shared" si="19"/>
        <v>7747</v>
      </c>
      <c r="G43" s="489">
        <f t="shared" si="19"/>
        <v>8364</v>
      </c>
      <c r="H43" s="489">
        <f t="shared" si="19"/>
        <v>8574</v>
      </c>
      <c r="I43" s="489">
        <f t="shared" si="19"/>
        <v>8422</v>
      </c>
      <c r="J43" s="489">
        <f t="shared" si="19"/>
        <v>7984</v>
      </c>
      <c r="K43" s="554">
        <f t="shared" si="19"/>
        <v>7451</v>
      </c>
      <c r="L43" s="489">
        <f t="shared" si="19"/>
        <v>7984</v>
      </c>
      <c r="M43" s="489">
        <f t="shared" si="19"/>
        <v>7984</v>
      </c>
      <c r="N43" s="489">
        <f t="shared" si="19"/>
        <v>7984</v>
      </c>
      <c r="O43" s="489">
        <f t="shared" si="19"/>
        <v>7984</v>
      </c>
      <c r="P43" s="489">
        <f t="shared" si="19"/>
        <v>7984</v>
      </c>
      <c r="Q43" s="489">
        <f t="shared" si="19"/>
        <v>7984</v>
      </c>
      <c r="R43" s="184" t="s">
        <v>1597</v>
      </c>
    </row>
    <row r="44" spans="2:18" ht="17" thickBot="1">
      <c r="D44" s="496"/>
      <c r="E44" s="496"/>
      <c r="F44" s="496"/>
      <c r="G44" s="495"/>
      <c r="H44" s="495"/>
      <c r="I44" s="495"/>
      <c r="J44" s="495"/>
      <c r="K44" s="554"/>
    </row>
    <row r="45" spans="2:18" ht="18" thickBot="1">
      <c r="B45" s="186" t="s">
        <v>170</v>
      </c>
      <c r="C45" s="435"/>
      <c r="D45" s="434" t="s">
        <v>103</v>
      </c>
      <c r="E45" s="434" t="s">
        <v>102</v>
      </c>
      <c r="F45" s="434" t="s">
        <v>66</v>
      </c>
      <c r="G45" s="434" t="s">
        <v>65</v>
      </c>
      <c r="H45" s="434" t="s">
        <v>3</v>
      </c>
      <c r="I45" s="435" t="s">
        <v>2</v>
      </c>
      <c r="J45" s="435" t="s">
        <v>1</v>
      </c>
      <c r="K45" s="529" t="s">
        <v>184</v>
      </c>
      <c r="L45" s="208" t="s">
        <v>178</v>
      </c>
      <c r="M45" s="208" t="s">
        <v>179</v>
      </c>
      <c r="N45" s="208" t="s">
        <v>180</v>
      </c>
      <c r="O45" s="208" t="s">
        <v>181</v>
      </c>
      <c r="P45" s="208" t="s">
        <v>182</v>
      </c>
      <c r="Q45" s="187" t="s">
        <v>183</v>
      </c>
    </row>
    <row r="46" spans="2:18">
      <c r="B46" s="209"/>
      <c r="H46" s="490"/>
      <c r="K46" s="554"/>
      <c r="Q46" s="210"/>
    </row>
    <row r="47" spans="2:18">
      <c r="B47" s="265" t="s">
        <v>27</v>
      </c>
      <c r="C47" s="191"/>
      <c r="D47" s="212">
        <f>D6/IS!D4</f>
        <v>0.12617178984085459</v>
      </c>
      <c r="E47" s="212">
        <f>E6/IS!E4</f>
        <v>0.11706156009953478</v>
      </c>
      <c r="F47" s="212">
        <f>F6/IS!F4</f>
        <v>0.12265582655826558</v>
      </c>
      <c r="G47" s="212">
        <f>G6/IS!G4</f>
        <v>0.11677115987460815</v>
      </c>
      <c r="H47" s="212">
        <f>H6/IS!H4</f>
        <v>0.11352880658436214</v>
      </c>
      <c r="I47" s="212">
        <f>I6/IS!I4</f>
        <v>0.11301115241635688</v>
      </c>
      <c r="J47" s="212">
        <f>J6/IS!J4</f>
        <v>0.10449806666340365</v>
      </c>
      <c r="K47" s="559">
        <f>K6/IS!L4</f>
        <v>0.14732319894249835</v>
      </c>
      <c r="L47" s="602">
        <v>0.1</v>
      </c>
      <c r="M47" s="602">
        <v>0.1</v>
      </c>
      <c r="N47" s="602">
        <v>0.1</v>
      </c>
      <c r="O47" s="602">
        <v>0.1</v>
      </c>
      <c r="P47" s="602">
        <v>0.1</v>
      </c>
      <c r="Q47" s="603">
        <v>0.1</v>
      </c>
      <c r="R47" s="184" t="s">
        <v>242</v>
      </c>
    </row>
    <row r="48" spans="2:18">
      <c r="B48" s="209" t="s">
        <v>28</v>
      </c>
      <c r="D48" s="203">
        <f>D7/IS!D5</f>
        <v>0.15219794235184084</v>
      </c>
      <c r="E48" s="203">
        <f>E7/IS!E5</f>
        <v>0.14066258049499572</v>
      </c>
      <c r="F48" s="203">
        <f>F7/IS!F5</f>
        <v>0.14418042690294</v>
      </c>
      <c r="G48" s="203">
        <f>G7/IS!G5</f>
        <v>0.15448936515668127</v>
      </c>
      <c r="H48" s="203">
        <f>H7/IS!H5</f>
        <v>0.16644365150163545</v>
      </c>
      <c r="I48" s="203">
        <f>I7/IS!I5</f>
        <v>0.16258240183433648</v>
      </c>
      <c r="J48" s="203">
        <f>J7/IS!J5</f>
        <v>0.14590641092618853</v>
      </c>
      <c r="K48" s="560">
        <f>K7/IS!L5</f>
        <v>0.20124675324675326</v>
      </c>
      <c r="L48" s="604">
        <v>0.14499999999999999</v>
      </c>
      <c r="M48" s="261">
        <v>0.14499999999999999</v>
      </c>
      <c r="N48" s="261">
        <v>0.14499999999999999</v>
      </c>
      <c r="O48" s="261">
        <v>0.14499999999999999</v>
      </c>
      <c r="P48" s="261">
        <v>0.14499999999999999</v>
      </c>
      <c r="Q48" s="605">
        <v>0.14499999999999999</v>
      </c>
      <c r="R48" s="184" t="s">
        <v>356</v>
      </c>
    </row>
    <row r="49" spans="2:18">
      <c r="B49" s="209" t="s">
        <v>29</v>
      </c>
      <c r="D49" s="203">
        <f>D8/IS!D4</f>
        <v>2.6705908000872029E-2</v>
      </c>
      <c r="E49" s="203">
        <f>E8/IS!E4</f>
        <v>2.8399870172022071E-2</v>
      </c>
      <c r="F49" s="203">
        <f>F8/IS!F4</f>
        <v>3.0460704607046071E-2</v>
      </c>
      <c r="G49" s="203">
        <f>G8/IS!G4</f>
        <v>3.8296760710553816E-2</v>
      </c>
      <c r="H49" s="203">
        <f>H8/IS!H4</f>
        <v>4.3672839506172838E-2</v>
      </c>
      <c r="I49" s="203">
        <f>I8/IS!I4</f>
        <v>3.7323420074349439E-2</v>
      </c>
      <c r="J49" s="203">
        <f>J8/IS!J4</f>
        <v>2.5451519749400422E-2</v>
      </c>
      <c r="K49" s="560">
        <f>K8/IS!L4</f>
        <v>3.767349636483807E-2</v>
      </c>
      <c r="L49" s="604">
        <v>0.03</v>
      </c>
      <c r="M49" s="261">
        <v>0.03</v>
      </c>
      <c r="N49" s="261">
        <v>0.03</v>
      </c>
      <c r="O49" s="261">
        <v>0.03</v>
      </c>
      <c r="P49" s="261">
        <v>0.03</v>
      </c>
      <c r="Q49" s="605">
        <v>0.03</v>
      </c>
      <c r="R49" s="184" t="s">
        <v>242</v>
      </c>
    </row>
    <row r="50" spans="2:18">
      <c r="B50" s="446" t="s">
        <v>35</v>
      </c>
      <c r="C50" s="225"/>
      <c r="D50" s="528">
        <f>D16/IS!D4</f>
        <v>3.787878787878788E-2</v>
      </c>
      <c r="E50" s="528">
        <f>E16/IS!E4</f>
        <v>3.3538894298387967E-2</v>
      </c>
      <c r="F50" s="528">
        <f>F16/IS!F4</f>
        <v>5.4850948509485097E-2</v>
      </c>
      <c r="G50" s="528">
        <f>G16/IS!G4</f>
        <v>6.6875653082549641E-2</v>
      </c>
      <c r="H50" s="528">
        <f>H16/IS!H4</f>
        <v>6.3528806584362135E-2</v>
      </c>
      <c r="I50" s="528">
        <f>I16/IS!I4</f>
        <v>5.9132589838909538E-2</v>
      </c>
      <c r="J50" s="528">
        <f>J16/IS!J4</f>
        <v>5.5797562527531694E-2</v>
      </c>
      <c r="K50" s="561">
        <f>K16/IS!L4</f>
        <v>7.2571050892267022E-2</v>
      </c>
      <c r="L50" s="606">
        <v>0.06</v>
      </c>
      <c r="M50" s="606">
        <v>0.06</v>
      </c>
      <c r="N50" s="606">
        <v>0.06</v>
      </c>
      <c r="O50" s="606">
        <v>0.06</v>
      </c>
      <c r="P50" s="606">
        <v>0.06</v>
      </c>
      <c r="Q50" s="607">
        <v>0.06</v>
      </c>
      <c r="R50" s="184" t="s">
        <v>242</v>
      </c>
    </row>
    <row r="51" spans="2:18">
      <c r="B51" s="209"/>
      <c r="D51" s="203"/>
      <c r="E51" s="203"/>
      <c r="F51" s="203"/>
      <c r="G51" s="203"/>
      <c r="H51" s="203"/>
      <c r="I51" s="203"/>
      <c r="J51" s="203"/>
      <c r="K51" s="560"/>
      <c r="L51" s="476"/>
      <c r="M51" s="476"/>
      <c r="N51" s="476"/>
      <c r="O51" s="476"/>
      <c r="P51" s="476"/>
      <c r="Q51" s="538"/>
    </row>
    <row r="52" spans="2:18">
      <c r="B52" s="265" t="s">
        <v>39</v>
      </c>
      <c r="C52" s="191"/>
      <c r="D52" s="212">
        <f>D21/IS!D5</f>
        <v>0.24096590425984185</v>
      </c>
      <c r="E52" s="212">
        <f>E21/IS!E5</f>
        <v>0.24749786639770346</v>
      </c>
      <c r="F52" s="212">
        <f>F21/IS!F5</f>
        <v>0.24607329842931938</v>
      </c>
      <c r="G52" s="212">
        <f>G21/IS!G5</f>
        <v>0.27082318558207502</v>
      </c>
      <c r="H52" s="212">
        <f>H21/IS!H5</f>
        <v>0.28545941123996432</v>
      </c>
      <c r="I52" s="212">
        <f>I21/IS!I5</f>
        <v>0.27321582115219262</v>
      </c>
      <c r="J52" s="212">
        <f>J21/IS!J5</f>
        <v>0.27263228599149192</v>
      </c>
      <c r="K52" s="559">
        <f>K21/IS!L5</f>
        <v>0.37849350649350649</v>
      </c>
      <c r="L52" s="602">
        <v>0.27500000000000002</v>
      </c>
      <c r="M52" s="602">
        <v>0.27500000000000002</v>
      </c>
      <c r="N52" s="602">
        <v>0.27500000000000002</v>
      </c>
      <c r="O52" s="602">
        <v>0.27500000000000002</v>
      </c>
      <c r="P52" s="602">
        <v>0.27500000000000002</v>
      </c>
      <c r="Q52" s="602">
        <v>0.27500000000000002</v>
      </c>
      <c r="R52" s="184" t="s">
        <v>356</v>
      </c>
    </row>
    <row r="53" spans="2:18">
      <c r="B53" s="209" t="s">
        <v>40</v>
      </c>
      <c r="D53" s="203">
        <f>D22/(IS!D10+IS!D12)</f>
        <v>0.53576958810777331</v>
      </c>
      <c r="E53" s="203">
        <f>E22/(IS!E10+IS!E12)</f>
        <v>0.53236342042755347</v>
      </c>
      <c r="F53" s="203">
        <f>F22/(IS!F10+IS!F12)</f>
        <v>0.64980289093298294</v>
      </c>
      <c r="G53" s="203">
        <f>G22/(IS!G10+IS!G12)</f>
        <v>0.6321967579653438</v>
      </c>
      <c r="H53" s="203">
        <f>H22/(IS!H10+IS!H12)</f>
        <v>0.61161365625911879</v>
      </c>
      <c r="I53" s="203">
        <f>I22/(IS!I10+IS!I12)</f>
        <v>0.64697569248162801</v>
      </c>
      <c r="J53" s="203">
        <f>J22/(IS!J10+IS!J12)</f>
        <v>0.57468982630272958</v>
      </c>
      <c r="K53" s="560">
        <f>K22/(IS!L10+IS!L12)</f>
        <v>0.86141399929651774</v>
      </c>
      <c r="L53" s="604">
        <v>0.6</v>
      </c>
      <c r="M53" s="261">
        <v>0.6</v>
      </c>
      <c r="N53" s="261">
        <v>0.6</v>
      </c>
      <c r="O53" s="261">
        <v>0.6</v>
      </c>
      <c r="P53" s="261">
        <v>0.6</v>
      </c>
      <c r="Q53" s="605">
        <v>0.6</v>
      </c>
      <c r="R53" s="184" t="s">
        <v>1563</v>
      </c>
    </row>
    <row r="54" spans="2:18">
      <c r="B54" s="209" t="s">
        <v>41</v>
      </c>
      <c r="D54" s="203">
        <f t="shared" ref="D54:J54" si="20">D23/D65</f>
        <v>0.25091979396615161</v>
      </c>
      <c r="E54" s="203">
        <f t="shared" si="20"/>
        <v>0.24891774891774893</v>
      </c>
      <c r="F54" s="203">
        <f t="shared" si="20"/>
        <v>0.25</v>
      </c>
      <c r="G54" s="203">
        <f t="shared" si="20"/>
        <v>0.24741557546519641</v>
      </c>
      <c r="H54" s="203">
        <f t="shared" si="20"/>
        <v>0.25065963060686014</v>
      </c>
      <c r="I54" s="203">
        <f t="shared" si="20"/>
        <v>0.2490372272143774</v>
      </c>
      <c r="J54" s="203">
        <f t="shared" si="20"/>
        <v>0.24811083123425692</v>
      </c>
      <c r="K54" s="560">
        <f>K23/IS!L23</f>
        <v>0.19304099142040038</v>
      </c>
      <c r="L54" s="604">
        <v>0.25</v>
      </c>
      <c r="M54" s="261">
        <v>0.25</v>
      </c>
      <c r="N54" s="261">
        <v>0.25</v>
      </c>
      <c r="O54" s="261">
        <v>0.25</v>
      </c>
      <c r="P54" s="261">
        <v>0.25</v>
      </c>
      <c r="Q54" s="605">
        <v>0.25</v>
      </c>
      <c r="R54" s="184" t="s">
        <v>358</v>
      </c>
    </row>
    <row r="55" spans="2:18">
      <c r="B55" s="209" t="s">
        <v>44</v>
      </c>
      <c r="D55" s="203">
        <f>D26/IS!D10</f>
        <v>0.36976889444097438</v>
      </c>
      <c r="E55" s="203">
        <f>E26/IS!E10</f>
        <v>0.27650727650727652</v>
      </c>
      <c r="F55" s="203">
        <f>F26/IS!F10</f>
        <v>0.27566072526121699</v>
      </c>
      <c r="G55" s="203">
        <f>G26/IS!G10</f>
        <v>0.23788546255506607</v>
      </c>
      <c r="H55" s="203">
        <f>H26/IS!H10</f>
        <v>0.23801117975875258</v>
      </c>
      <c r="I55" s="203">
        <f>I26/IS!I10</f>
        <v>0.18263055012566323</v>
      </c>
      <c r="J55" s="203">
        <f>J26/IS!J10</f>
        <v>0.16889674324665488</v>
      </c>
      <c r="K55" s="560">
        <f>K26/IS!L10</f>
        <v>0.20018738288569643</v>
      </c>
      <c r="L55" s="604">
        <v>0.16</v>
      </c>
      <c r="M55" s="261">
        <v>0.16</v>
      </c>
      <c r="N55" s="261">
        <v>0.16</v>
      </c>
      <c r="O55" s="261">
        <v>0.16</v>
      </c>
      <c r="P55" s="261">
        <v>0.16</v>
      </c>
      <c r="Q55" s="605">
        <v>0.16</v>
      </c>
      <c r="R55" s="184" t="s">
        <v>1563</v>
      </c>
    </row>
    <row r="56" spans="2:18">
      <c r="B56" s="446" t="s">
        <v>46</v>
      </c>
      <c r="C56" s="225"/>
      <c r="D56" s="528">
        <f>D28/IS!D4</f>
        <v>1.6296054065838238E-2</v>
      </c>
      <c r="E56" s="528">
        <f>E28/IS!E4</f>
        <v>1.7743156983663314E-2</v>
      </c>
      <c r="F56" s="528">
        <f>F28/IS!F4</f>
        <v>2.8184281842818428E-2</v>
      </c>
      <c r="G56" s="528">
        <f>G28/IS!G4</f>
        <v>3.7513061650992684E-2</v>
      </c>
      <c r="H56" s="528">
        <f>H28/IS!H4</f>
        <v>3.5030864197530862E-2</v>
      </c>
      <c r="I56" s="528">
        <f>I28/IS!I4</f>
        <v>3.9603469640644359E-2</v>
      </c>
      <c r="J56" s="528">
        <f>J28/IS!J4</f>
        <v>4.2092898047085311E-2</v>
      </c>
      <c r="K56" s="561"/>
      <c r="L56" s="606">
        <v>4.2099999999999999E-2</v>
      </c>
      <c r="M56" s="606">
        <v>4.2099999999999999E-2</v>
      </c>
      <c r="N56" s="606">
        <v>4.2099999999999999E-2</v>
      </c>
      <c r="O56" s="606">
        <v>4.2099999999999999E-2</v>
      </c>
      <c r="P56" s="606">
        <v>4.2099999999999999E-2</v>
      </c>
      <c r="Q56" s="607">
        <v>4.2099999999999999E-2</v>
      </c>
      <c r="R56" s="184" t="s">
        <v>242</v>
      </c>
    </row>
    <row r="57" spans="2:18">
      <c r="B57" s="209"/>
      <c r="D57" s="203"/>
      <c r="E57" s="203"/>
      <c r="F57" s="203"/>
      <c r="G57" s="203"/>
      <c r="H57" s="203"/>
      <c r="I57" s="203"/>
      <c r="J57" s="203"/>
      <c r="K57" s="560"/>
      <c r="L57" s="475"/>
      <c r="M57" s="475"/>
      <c r="N57" s="475"/>
      <c r="O57" s="475"/>
      <c r="P57" s="475"/>
      <c r="Q57" s="539"/>
    </row>
    <row r="58" spans="2:18">
      <c r="B58" s="265" t="s">
        <v>1550</v>
      </c>
      <c r="C58" s="191"/>
      <c r="D58" s="212"/>
      <c r="E58" s="212">
        <f>('PPE Detailed'!F7-'PPE Detailed'!E7)/IS!E4</f>
        <v>-1.0873093151574165E-2</v>
      </c>
      <c r="F58" s="212">
        <f>('PPE Detailed'!G7-'PPE Detailed'!F7)/IS!F4</f>
        <v>6.7750677506775072E-3</v>
      </c>
      <c r="G58" s="212">
        <f>('PPE Detailed'!H7-'PPE Detailed'!G7)/IS!G4</f>
        <v>2.5809822361546501E-2</v>
      </c>
      <c r="H58" s="212">
        <f>('PPE Detailed'!I7-'PPE Detailed'!H7)/IS!H4</f>
        <v>1.0030864197530864E-2</v>
      </c>
      <c r="I58" s="212">
        <f>('PPE Detailed'!J7-'PPE Detailed'!I7)/IS!I4</f>
        <v>1.0408921933085502E-3</v>
      </c>
      <c r="J58" s="212">
        <f>('PPE Detailed'!K7-'PPE Detailed'!J7)/IS!J4</f>
        <v>2.9465028632959717E-2</v>
      </c>
      <c r="K58" s="559"/>
      <c r="L58" s="608">
        <v>0.02</v>
      </c>
      <c r="M58" s="608">
        <v>0.02</v>
      </c>
      <c r="N58" s="608">
        <v>0.02</v>
      </c>
      <c r="O58" s="608">
        <v>0.02</v>
      </c>
      <c r="P58" s="608">
        <v>0.02</v>
      </c>
      <c r="Q58" s="609">
        <v>0.02</v>
      </c>
      <c r="R58" s="184" t="s">
        <v>242</v>
      </c>
    </row>
    <row r="59" spans="2:18">
      <c r="B59" s="446" t="s">
        <v>251</v>
      </c>
      <c r="C59" s="225"/>
      <c r="D59" s="528">
        <f>'PPE Detailed'!E8/'PPE Detailed'!E7</f>
        <v>-0.584928830588892</v>
      </c>
      <c r="E59" s="528">
        <f>'PPE Detailed'!F8/'PPE Detailed'!F7</f>
        <v>-0.59585638478039971</v>
      </c>
      <c r="F59" s="528">
        <f>'PPE Detailed'!G8/'PPE Detailed'!G7</f>
        <v>-0.58237569370480413</v>
      </c>
      <c r="G59" s="528">
        <f>'PPE Detailed'!H8/'PPE Detailed'!H7</f>
        <v>-0.56133747886325203</v>
      </c>
      <c r="H59" s="528">
        <f>'PPE Detailed'!I8/'PPE Detailed'!I7</f>
        <v>-0.56298575129533679</v>
      </c>
      <c r="I59" s="528">
        <f>'PPE Detailed'!J8/'PPE Detailed'!J7</f>
        <v>-0.57490969863604502</v>
      </c>
      <c r="J59" s="528">
        <f>'PPE Detailed'!K8/'PPE Detailed'!K7</f>
        <v>-0.58681008824604464</v>
      </c>
      <c r="K59" s="561"/>
      <c r="L59" s="610">
        <v>-0.59</v>
      </c>
      <c r="M59" s="610">
        <v>-0.59</v>
      </c>
      <c r="N59" s="610">
        <v>-0.59</v>
      </c>
      <c r="O59" s="610">
        <v>-0.59</v>
      </c>
      <c r="P59" s="610">
        <v>-0.59</v>
      </c>
      <c r="Q59" s="611">
        <v>-0.59</v>
      </c>
      <c r="R59" s="184" t="s">
        <v>1519</v>
      </c>
    </row>
    <row r="60" spans="2:18">
      <c r="B60" s="209"/>
      <c r="D60" s="203"/>
      <c r="E60" s="203"/>
      <c r="F60" s="203"/>
      <c r="G60" s="203"/>
      <c r="H60" s="203"/>
      <c r="I60" s="203"/>
      <c r="J60" s="203"/>
      <c r="K60" s="560"/>
      <c r="L60" s="475"/>
      <c r="M60" s="475"/>
      <c r="N60" s="475"/>
      <c r="O60" s="475"/>
      <c r="P60" s="475"/>
      <c r="Q60" s="539"/>
    </row>
    <row r="61" spans="2:18">
      <c r="B61" s="540" t="s">
        <v>357</v>
      </c>
      <c r="C61" s="509"/>
      <c r="D61" s="533">
        <f>D65/D64</f>
        <v>0.59657594381035994</v>
      </c>
      <c r="E61" s="533">
        <f t="shared" ref="E61:I61" si="21">E65/E64</f>
        <v>0.98297872340425529</v>
      </c>
      <c r="F61" s="533">
        <f t="shared" si="21"/>
        <v>0.65275846082522027</v>
      </c>
      <c r="G61" s="533">
        <f t="shared" si="21"/>
        <v>0.61692176870748294</v>
      </c>
      <c r="H61" s="533">
        <f t="shared" si="21"/>
        <v>0.83572216097023155</v>
      </c>
      <c r="I61" s="533">
        <f t="shared" si="21"/>
        <v>0.80558428128231641</v>
      </c>
      <c r="J61" s="533">
        <f>J65/J64</f>
        <v>0.90022675736961455</v>
      </c>
      <c r="K61" s="562"/>
      <c r="L61" s="612">
        <v>0.8</v>
      </c>
      <c r="M61" s="612">
        <v>0.8</v>
      </c>
      <c r="N61" s="612">
        <v>0.8</v>
      </c>
      <c r="O61" s="612">
        <v>0.8</v>
      </c>
      <c r="P61" s="612">
        <v>0.8</v>
      </c>
      <c r="Q61" s="613">
        <v>0.8</v>
      </c>
      <c r="R61" s="184" t="s">
        <v>1564</v>
      </c>
    </row>
    <row r="62" spans="2:18">
      <c r="B62" s="209"/>
      <c r="D62" s="203"/>
      <c r="E62" s="203"/>
      <c r="F62" s="203"/>
      <c r="G62" s="203"/>
      <c r="H62" s="203"/>
      <c r="I62" s="203"/>
      <c r="J62" s="203"/>
      <c r="K62" s="560"/>
      <c r="L62" s="475"/>
      <c r="M62" s="475"/>
      <c r="N62" s="475"/>
      <c r="O62" s="475"/>
      <c r="P62" s="475"/>
      <c r="Q62" s="539"/>
    </row>
    <row r="63" spans="2:18">
      <c r="B63" s="265" t="s">
        <v>341</v>
      </c>
      <c r="C63" s="191"/>
      <c r="D63" s="191"/>
      <c r="E63" s="191"/>
      <c r="F63" s="191"/>
      <c r="G63" s="191"/>
      <c r="H63" s="191"/>
      <c r="I63" s="191"/>
      <c r="J63" s="191"/>
      <c r="K63" s="549"/>
      <c r="L63" s="534">
        <f>J36</f>
        <v>8368</v>
      </c>
      <c r="M63" s="534">
        <f>L67</f>
        <v>8872.5935843965017</v>
      </c>
      <c r="N63" s="534">
        <f>M67</f>
        <v>9425.3538809622787</v>
      </c>
      <c r="O63" s="534">
        <f>N67</f>
        <v>9998.3925939661312</v>
      </c>
      <c r="P63" s="534">
        <f>O67</f>
        <v>10592.497586275029</v>
      </c>
      <c r="Q63" s="541">
        <f>P67</f>
        <v>11208.489118801115</v>
      </c>
    </row>
    <row r="64" spans="2:18">
      <c r="B64" s="209" t="s">
        <v>342</v>
      </c>
      <c r="D64" s="184">
        <f>IS!D23</f>
        <v>2278</v>
      </c>
      <c r="E64" s="184">
        <f>IS!E23</f>
        <v>1410</v>
      </c>
      <c r="F64" s="184">
        <f>IS!F23</f>
        <v>2157</v>
      </c>
      <c r="G64" s="184">
        <f>IS!G23</f>
        <v>2352</v>
      </c>
      <c r="H64" s="184">
        <f>IS!H23</f>
        <v>1814</v>
      </c>
      <c r="I64" s="184">
        <f>IS!I23</f>
        <v>1934</v>
      </c>
      <c r="J64" s="184">
        <f>IS!J23</f>
        <v>1764</v>
      </c>
      <c r="K64" s="554">
        <f>IS!L23</f>
        <v>2098</v>
      </c>
      <c r="L64" s="493">
        <f>IS!M23</f>
        <v>2522.9679219825002</v>
      </c>
      <c r="M64" s="493">
        <f>IS!N23</f>
        <v>2763.8014828288869</v>
      </c>
      <c r="N64" s="493">
        <f>IS!O23</f>
        <v>2865.1935650192613</v>
      </c>
      <c r="O64" s="493">
        <f>IS!P23</f>
        <v>2970.5249615444886</v>
      </c>
      <c r="P64" s="493">
        <f>IS!Q23</f>
        <v>3079.957662630432</v>
      </c>
      <c r="Q64" s="542">
        <f>IS!R23</f>
        <v>3211.7649492548308</v>
      </c>
    </row>
    <row r="65" spans="2:19">
      <c r="B65" s="209" t="s">
        <v>343</v>
      </c>
      <c r="D65" s="489">
        <f>-'Historic CF'!D26</f>
        <v>1359</v>
      </c>
      <c r="E65" s="489">
        <f>-'Historic CF'!E26</f>
        <v>1386</v>
      </c>
      <c r="F65" s="489">
        <f>-'Historic CF'!F26</f>
        <v>1408</v>
      </c>
      <c r="G65" s="489">
        <f>-'Historic CF'!G26</f>
        <v>1451</v>
      </c>
      <c r="H65" s="489">
        <f>-'Historic CF'!H26</f>
        <v>1516</v>
      </c>
      <c r="I65" s="489">
        <f>-'Historic CF'!I26</f>
        <v>1558</v>
      </c>
      <c r="J65" s="489">
        <f>-'Historic CF'!J26</f>
        <v>1588</v>
      </c>
      <c r="K65" s="563"/>
      <c r="L65" s="493">
        <f t="shared" ref="L65:Q65" si="22">L64*L61</f>
        <v>2018.3743375860004</v>
      </c>
      <c r="M65" s="493">
        <f t="shared" si="22"/>
        <v>2211.0411862631095</v>
      </c>
      <c r="N65" s="493">
        <f t="shared" si="22"/>
        <v>2292.1548520154092</v>
      </c>
      <c r="O65" s="493">
        <f t="shared" si="22"/>
        <v>2376.419969235591</v>
      </c>
      <c r="P65" s="493">
        <f t="shared" si="22"/>
        <v>2463.9661301043457</v>
      </c>
      <c r="Q65" s="542">
        <f t="shared" si="22"/>
        <v>2569.4119594038648</v>
      </c>
    </row>
    <row r="66" spans="2:19">
      <c r="B66" s="209"/>
      <c r="K66" s="554"/>
      <c r="L66" s="493"/>
      <c r="M66" s="493"/>
      <c r="N66" s="493"/>
      <c r="O66" s="493"/>
      <c r="P66" s="493"/>
      <c r="Q66" s="542"/>
    </row>
    <row r="67" spans="2:19">
      <c r="B67" s="446" t="s">
        <v>344</v>
      </c>
      <c r="C67" s="225"/>
      <c r="D67" s="225"/>
      <c r="E67" s="225"/>
      <c r="F67" s="225"/>
      <c r="G67" s="225"/>
      <c r="H67" s="225"/>
      <c r="I67" s="225"/>
      <c r="J67" s="225"/>
      <c r="K67" s="564"/>
      <c r="L67" s="535">
        <f t="shared" ref="L67:Q67" si="23">L63+L64-L65-L66</f>
        <v>8872.5935843965017</v>
      </c>
      <c r="M67" s="535">
        <f t="shared" si="23"/>
        <v>9425.3538809622787</v>
      </c>
      <c r="N67" s="535">
        <f t="shared" si="23"/>
        <v>9998.3925939661312</v>
      </c>
      <c r="O67" s="535">
        <f t="shared" si="23"/>
        <v>10592.497586275029</v>
      </c>
      <c r="P67" s="535">
        <f t="shared" si="23"/>
        <v>11208.489118801115</v>
      </c>
      <c r="Q67" s="543">
        <f t="shared" si="23"/>
        <v>11850.842108652083</v>
      </c>
    </row>
    <row r="68" spans="2:19">
      <c r="B68" s="209"/>
      <c r="K68" s="554"/>
      <c r="L68" s="493"/>
      <c r="M68" s="493"/>
      <c r="N68" s="493"/>
      <c r="O68" s="493"/>
      <c r="P68" s="493"/>
      <c r="Q68" s="542"/>
    </row>
    <row r="69" spans="2:19">
      <c r="B69" s="265" t="s">
        <v>345</v>
      </c>
      <c r="C69" s="191"/>
      <c r="D69" s="191"/>
      <c r="E69" s="536">
        <f>D72</f>
        <v>-3288</v>
      </c>
      <c r="F69" s="536">
        <f t="shared" ref="F69:J69" si="24">E72</f>
        <v>-3956</v>
      </c>
      <c r="G69" s="536">
        <f t="shared" si="24"/>
        <v>-4454</v>
      </c>
      <c r="H69" s="536">
        <f t="shared" si="24"/>
        <v>-4899</v>
      </c>
      <c r="I69" s="536">
        <f t="shared" si="24"/>
        <v>-5183</v>
      </c>
      <c r="J69" s="536">
        <f t="shared" si="24"/>
        <v>-5138</v>
      </c>
      <c r="K69" s="549"/>
      <c r="L69" s="191">
        <f>J35</f>
        <v>-5222</v>
      </c>
      <c r="M69" s="537">
        <f>L35</f>
        <v>-5474</v>
      </c>
      <c r="N69" s="537">
        <f>M35</f>
        <v>-5726</v>
      </c>
      <c r="O69" s="537">
        <f>N35</f>
        <v>-5978</v>
      </c>
      <c r="P69" s="537">
        <f>O35</f>
        <v>-6230</v>
      </c>
      <c r="Q69" s="544">
        <f>P35</f>
        <v>-6482</v>
      </c>
    </row>
    <row r="70" spans="2:19">
      <c r="B70" s="209" t="s">
        <v>1602</v>
      </c>
      <c r="E70" s="489">
        <v>-820</v>
      </c>
      <c r="F70" s="489">
        <v>-820</v>
      </c>
      <c r="G70" s="489">
        <v>-716</v>
      </c>
      <c r="H70" s="489">
        <v>-430</v>
      </c>
      <c r="I70" s="489">
        <v>-100</v>
      </c>
      <c r="J70" s="489">
        <v>-225</v>
      </c>
      <c r="K70" s="554"/>
      <c r="L70" s="493">
        <v>-252</v>
      </c>
      <c r="M70" s="493">
        <v>-252</v>
      </c>
      <c r="N70" s="493">
        <v>-252</v>
      </c>
      <c r="O70" s="493">
        <v>-252</v>
      </c>
      <c r="P70" s="493">
        <v>-252</v>
      </c>
      <c r="Q70" s="542">
        <v>-252</v>
      </c>
      <c r="S70" s="489">
        <f>AVERAGE(H70:J70)</f>
        <v>-251.66666666666666</v>
      </c>
    </row>
    <row r="71" spans="2:19">
      <c r="B71" s="209" t="s">
        <v>1603</v>
      </c>
      <c r="E71" s="460">
        <v>152</v>
      </c>
      <c r="F71" s="460">
        <v>322</v>
      </c>
      <c r="G71" s="460">
        <v>271</v>
      </c>
      <c r="H71" s="460">
        <v>146</v>
      </c>
      <c r="I71" s="460">
        <v>145</v>
      </c>
      <c r="J71" s="460">
        <v>140</v>
      </c>
      <c r="K71" s="554"/>
      <c r="L71" s="493">
        <v>140</v>
      </c>
      <c r="M71" s="493">
        <v>140</v>
      </c>
      <c r="N71" s="493">
        <v>140</v>
      </c>
      <c r="O71" s="493">
        <v>140</v>
      </c>
      <c r="P71" s="493">
        <v>140</v>
      </c>
      <c r="Q71" s="542">
        <v>140</v>
      </c>
    </row>
    <row r="72" spans="2:19" ht="17" thickBot="1">
      <c r="B72" s="272" t="s">
        <v>346</v>
      </c>
      <c r="C72" s="198"/>
      <c r="D72" s="545">
        <f>D35</f>
        <v>-3288</v>
      </c>
      <c r="E72" s="545">
        <f>E69+E70+E71</f>
        <v>-3956</v>
      </c>
      <c r="F72" s="545">
        <f t="shared" ref="F72:J72" si="25">F69+F70+F71</f>
        <v>-4454</v>
      </c>
      <c r="G72" s="545">
        <f t="shared" si="25"/>
        <v>-4899</v>
      </c>
      <c r="H72" s="545">
        <f t="shared" si="25"/>
        <v>-5183</v>
      </c>
      <c r="I72" s="545">
        <f t="shared" si="25"/>
        <v>-5138</v>
      </c>
      <c r="J72" s="545">
        <f t="shared" si="25"/>
        <v>-5223</v>
      </c>
      <c r="K72" s="565">
        <f>K35</f>
        <v>0</v>
      </c>
      <c r="L72" s="546">
        <f t="shared" ref="L72:Q72" si="26">L69+L70</f>
        <v>-5474</v>
      </c>
      <c r="M72" s="546">
        <f t="shared" si="26"/>
        <v>-5726</v>
      </c>
      <c r="N72" s="546">
        <f t="shared" si="26"/>
        <v>-5978</v>
      </c>
      <c r="O72" s="546">
        <f t="shared" si="26"/>
        <v>-6230</v>
      </c>
      <c r="P72" s="546">
        <f t="shared" si="26"/>
        <v>-6482</v>
      </c>
      <c r="Q72" s="547">
        <f t="shared" si="26"/>
        <v>-6734</v>
      </c>
    </row>
    <row r="74" spans="2:19">
      <c r="B74" s="184" t="s">
        <v>1604</v>
      </c>
      <c r="E74" s="658"/>
      <c r="F74" s="658"/>
      <c r="G74" s="658"/>
      <c r="H74" s="658"/>
      <c r="I74" s="658"/>
      <c r="J74" s="658"/>
      <c r="L74" s="387">
        <f>(L70+L71)/(DCF!$C$7*(1+DCF!$C$4))</f>
        <v>-0.76244688121137483</v>
      </c>
      <c r="M74" s="387">
        <f>(M70+M71)/(DCF!$C$7*(1+DCF!$C$4)*(1+DCF!$C$4))</f>
        <v>-0.71056630597303194</v>
      </c>
    </row>
    <row r="75" spans="2:19" ht="17" thickBot="1"/>
    <row r="76" spans="2:19" ht="18" thickBot="1">
      <c r="B76" s="186" t="s">
        <v>171</v>
      </c>
      <c r="C76" s="435"/>
      <c r="D76" s="434" t="s">
        <v>103</v>
      </c>
      <c r="E76" s="434" t="s">
        <v>102</v>
      </c>
      <c r="F76" s="434" t="s">
        <v>66</v>
      </c>
      <c r="G76" s="434" t="s">
        <v>65</v>
      </c>
      <c r="H76" s="434" t="s">
        <v>3</v>
      </c>
      <c r="I76" s="435" t="s">
        <v>2</v>
      </c>
      <c r="J76" s="438" t="s">
        <v>1</v>
      </c>
    </row>
    <row r="77" spans="2:19">
      <c r="B77" s="209"/>
      <c r="J77" s="210"/>
    </row>
    <row r="78" spans="2:19">
      <c r="B78" s="209" t="s">
        <v>25</v>
      </c>
      <c r="J78" s="210"/>
    </row>
    <row r="79" spans="2:19">
      <c r="B79" s="209" t="s">
        <v>26</v>
      </c>
      <c r="D79" s="480">
        <f t="shared" ref="D79:J83" si="27">D5/D$17</f>
        <v>4.0657382350999936E-2</v>
      </c>
      <c r="E79" s="480">
        <f t="shared" si="27"/>
        <v>3.7126325940212153E-2</v>
      </c>
      <c r="F79" s="480">
        <f t="shared" si="27"/>
        <v>2.8921023359288096E-2</v>
      </c>
      <c r="G79" s="480">
        <f t="shared" si="27"/>
        <v>1.7291559664441021E-2</v>
      </c>
      <c r="H79" s="480">
        <f t="shared" si="27"/>
        <v>1.5137074620171553E-2</v>
      </c>
      <c r="I79" s="480">
        <f t="shared" si="27"/>
        <v>2.3761825264329437E-2</v>
      </c>
      <c r="J79" s="483">
        <f t="shared" si="27"/>
        <v>6.3018911439114395E-2</v>
      </c>
    </row>
    <row r="80" spans="2:19">
      <c r="B80" s="209" t="s">
        <v>27</v>
      </c>
      <c r="D80" s="480">
        <f t="shared" si="27"/>
        <v>0.15279519503663125</v>
      </c>
      <c r="E80" s="480">
        <f t="shared" si="27"/>
        <v>0.149056343849015</v>
      </c>
      <c r="F80" s="480">
        <f t="shared" si="27"/>
        <v>0.14807302231237324</v>
      </c>
      <c r="G80" s="480">
        <f t="shared" si="27"/>
        <v>0.12754665297038179</v>
      </c>
      <c r="H80" s="480">
        <f t="shared" si="27"/>
        <v>0.12373156921006896</v>
      </c>
      <c r="I80" s="480">
        <f t="shared" si="27"/>
        <v>0.12687813021702837</v>
      </c>
      <c r="J80" s="483">
        <f t="shared" si="27"/>
        <v>0.12309732472324723</v>
      </c>
    </row>
    <row r="81" spans="2:10">
      <c r="B81" s="209" t="s">
        <v>28</v>
      </c>
      <c r="D81" s="480">
        <f t="shared" si="27"/>
        <v>0.11814401689657449</v>
      </c>
      <c r="E81" s="480">
        <f t="shared" si="27"/>
        <v>0.12487945998071359</v>
      </c>
      <c r="F81" s="480">
        <f t="shared" si="27"/>
        <v>0.11712360138716221</v>
      </c>
      <c r="G81" s="480">
        <f t="shared" si="27"/>
        <v>0.10860012554927809</v>
      </c>
      <c r="H81" s="480">
        <f t="shared" si="27"/>
        <v>0.12552559286875595</v>
      </c>
      <c r="I81" s="480">
        <f t="shared" si="27"/>
        <v>0.12626599888703394</v>
      </c>
      <c r="J81" s="483">
        <f t="shared" si="27"/>
        <v>0.11271909594095941</v>
      </c>
    </row>
    <row r="82" spans="2:10">
      <c r="B82" s="209" t="s">
        <v>29</v>
      </c>
      <c r="D82" s="480">
        <f t="shared" si="27"/>
        <v>3.2341099597386312E-2</v>
      </c>
      <c r="E82" s="480">
        <f t="shared" si="27"/>
        <v>3.6162005785920923E-2</v>
      </c>
      <c r="F82" s="480">
        <f t="shared" si="27"/>
        <v>3.6772884904796181E-2</v>
      </c>
      <c r="G82" s="480">
        <f t="shared" si="27"/>
        <v>4.1830736745990985E-2</v>
      </c>
      <c r="H82" s="480">
        <f t="shared" si="27"/>
        <v>4.7597690194539438E-2</v>
      </c>
      <c r="I82" s="480">
        <f t="shared" si="27"/>
        <v>4.1903171953255429E-2</v>
      </c>
      <c r="J82" s="483">
        <f t="shared" si="27"/>
        <v>2.9981549815498155E-2</v>
      </c>
    </row>
    <row r="83" spans="2:10">
      <c r="B83" s="209" t="s">
        <v>30</v>
      </c>
      <c r="D83" s="480">
        <f t="shared" si="27"/>
        <v>0.34393769388159195</v>
      </c>
      <c r="E83" s="480">
        <f t="shared" si="27"/>
        <v>0.34722413555586168</v>
      </c>
      <c r="F83" s="480">
        <f t="shared" si="27"/>
        <v>0.33089053196361973</v>
      </c>
      <c r="G83" s="480">
        <f t="shared" si="27"/>
        <v>0.29526907493009186</v>
      </c>
      <c r="H83" s="480">
        <f t="shared" si="27"/>
        <v>0.31199192689353589</v>
      </c>
      <c r="I83" s="480">
        <f t="shared" si="27"/>
        <v>0.31880912632164721</v>
      </c>
      <c r="J83" s="483">
        <f t="shared" si="27"/>
        <v>0.32881688191881919</v>
      </c>
    </row>
    <row r="84" spans="2:10">
      <c r="B84" s="209" t="s">
        <v>31</v>
      </c>
      <c r="D84" s="480">
        <f t="shared" ref="D84:J89" si="28">D12/D$17</f>
        <v>0.49079268695135636</v>
      </c>
      <c r="E84" s="480">
        <f t="shared" si="28"/>
        <v>0.49311199889791985</v>
      </c>
      <c r="F84" s="480">
        <f t="shared" si="28"/>
        <v>0.48746973761696</v>
      </c>
      <c r="G84" s="480">
        <f t="shared" si="28"/>
        <v>0.4589396792786623</v>
      </c>
      <c r="H84" s="480">
        <f t="shared" si="28"/>
        <v>0.45394404888714468</v>
      </c>
      <c r="I84" s="480">
        <f t="shared" si="28"/>
        <v>0.43878686700055647</v>
      </c>
      <c r="J84" s="483">
        <f t="shared" si="28"/>
        <v>0.45623846863468637</v>
      </c>
    </row>
    <row r="85" spans="2:10">
      <c r="B85" s="209" t="s">
        <v>32</v>
      </c>
      <c r="D85" s="480">
        <f t="shared" si="28"/>
        <v>1.5378522869777573E-2</v>
      </c>
      <c r="E85" s="480">
        <f t="shared" si="28"/>
        <v>1.5429122468659595E-2</v>
      </c>
      <c r="F85" s="480">
        <f t="shared" si="28"/>
        <v>1.7535824118301381E-2</v>
      </c>
      <c r="G85" s="480">
        <f t="shared" si="28"/>
        <v>1.7120356103406949E-2</v>
      </c>
      <c r="H85" s="480">
        <f t="shared" si="28"/>
        <v>1.6258339406850928E-2</v>
      </c>
      <c r="I85" s="480">
        <f t="shared" si="28"/>
        <v>1.3244296048970506E-2</v>
      </c>
      <c r="J85" s="483">
        <f t="shared" si="28"/>
        <v>1.7642988929889299E-2</v>
      </c>
    </row>
    <row r="86" spans="2:10">
      <c r="B86" s="209" t="s">
        <v>33</v>
      </c>
      <c r="D86" s="480">
        <f t="shared" si="28"/>
        <v>0.10401953666424658</v>
      </c>
      <c r="E86" s="480">
        <f t="shared" si="28"/>
        <v>0.1015291362446618</v>
      </c>
      <c r="F86" s="480">
        <f t="shared" si="28"/>
        <v>9.5989007393836284E-2</v>
      </c>
      <c r="G86" s="480">
        <f t="shared" si="28"/>
        <v>0.1081435827198539</v>
      </c>
      <c r="H86" s="480">
        <f t="shared" si="28"/>
        <v>0.10315636037450245</v>
      </c>
      <c r="I86" s="480">
        <f t="shared" si="28"/>
        <v>0.11541457985531442</v>
      </c>
      <c r="J86" s="483">
        <f t="shared" si="28"/>
        <v>0.12021448339483395</v>
      </c>
    </row>
    <row r="87" spans="2:10">
      <c r="B87" s="209" t="s">
        <v>34</v>
      </c>
      <c r="D87" s="480">
        <f t="shared" si="28"/>
        <v>0</v>
      </c>
      <c r="E87" s="480">
        <f t="shared" si="28"/>
        <v>0</v>
      </c>
      <c r="F87" s="480">
        <f t="shared" si="28"/>
        <v>1.8975332068311196E-3</v>
      </c>
      <c r="G87" s="480">
        <f t="shared" si="28"/>
        <v>4.7480454260115275E-2</v>
      </c>
      <c r="H87" s="480">
        <f t="shared" si="28"/>
        <v>4.541122386051466E-2</v>
      </c>
      <c r="I87" s="480">
        <f t="shared" si="28"/>
        <v>4.7356705620478577E-2</v>
      </c>
      <c r="J87" s="483">
        <f t="shared" si="28"/>
        <v>1.135839483394834E-2</v>
      </c>
    </row>
    <row r="88" spans="2:10">
      <c r="B88" s="209" t="s">
        <v>35</v>
      </c>
      <c r="D88" s="480">
        <f t="shared" si="28"/>
        <v>4.5871559633027525E-2</v>
      </c>
      <c r="E88" s="480">
        <f t="shared" si="28"/>
        <v>4.2705606832897092E-2</v>
      </c>
      <c r="F88" s="480">
        <f t="shared" si="28"/>
        <v>6.6217365700451489E-2</v>
      </c>
      <c r="G88" s="480">
        <f t="shared" si="28"/>
        <v>7.3046852707869661E-2</v>
      </c>
      <c r="H88" s="480">
        <f t="shared" si="28"/>
        <v>6.9238100577451361E-2</v>
      </c>
      <c r="I88" s="480">
        <f t="shared" si="28"/>
        <v>6.6388425153032837E-2</v>
      </c>
      <c r="J88" s="483">
        <f t="shared" si="28"/>
        <v>6.5728782287822876E-2</v>
      </c>
    </row>
    <row r="89" spans="2:10">
      <c r="B89" s="452" t="s">
        <v>36</v>
      </c>
      <c r="C89" s="244"/>
      <c r="D89" s="480">
        <f t="shared" si="28"/>
        <v>1</v>
      </c>
      <c r="E89" s="480">
        <f t="shared" si="28"/>
        <v>1</v>
      </c>
      <c r="F89" s="480">
        <f t="shared" si="28"/>
        <v>1</v>
      </c>
      <c r="G89" s="480">
        <f t="shared" si="28"/>
        <v>1</v>
      </c>
      <c r="H89" s="480">
        <f t="shared" si="28"/>
        <v>1</v>
      </c>
      <c r="I89" s="480">
        <f t="shared" si="28"/>
        <v>1</v>
      </c>
      <c r="J89" s="483">
        <f t="shared" si="28"/>
        <v>1</v>
      </c>
    </row>
    <row r="90" spans="2:10">
      <c r="B90" s="209"/>
      <c r="D90" s="480"/>
      <c r="E90" s="480"/>
      <c r="F90" s="480"/>
      <c r="G90" s="480"/>
      <c r="H90" s="480"/>
      <c r="I90" s="480"/>
      <c r="J90" s="483"/>
    </row>
    <row r="91" spans="2:10">
      <c r="B91" s="209" t="s">
        <v>37</v>
      </c>
      <c r="D91" s="480"/>
      <c r="E91" s="480"/>
      <c r="F91" s="480"/>
      <c r="G91" s="480"/>
      <c r="H91" s="480"/>
      <c r="I91" s="480"/>
      <c r="J91" s="483"/>
    </row>
    <row r="92" spans="2:10">
      <c r="B92" s="209" t="s">
        <v>38</v>
      </c>
      <c r="D92" s="480">
        <f t="shared" ref="D92:J96" si="29">D20/D$17</f>
        <v>6.2900138604712566E-2</v>
      </c>
      <c r="E92" s="480">
        <f t="shared" si="29"/>
        <v>8.3207053313128526E-2</v>
      </c>
      <c r="F92" s="480">
        <f t="shared" si="29"/>
        <v>0.10037296342341163</v>
      </c>
      <c r="G92" s="480">
        <f t="shared" si="29"/>
        <v>2.7734976887519261E-2</v>
      </c>
      <c r="H92" s="480">
        <f t="shared" si="29"/>
        <v>2.4275382631608455E-2</v>
      </c>
      <c r="I92" s="480">
        <f t="shared" si="29"/>
        <v>4.696716750139121E-2</v>
      </c>
      <c r="J92" s="483">
        <f t="shared" si="29"/>
        <v>3.269142066420664E-2</v>
      </c>
    </row>
    <row r="93" spans="2:10">
      <c r="B93" s="209" t="s">
        <v>39</v>
      </c>
      <c r="D93" s="480">
        <f t="shared" si="29"/>
        <v>0.18705035971223022</v>
      </c>
      <c r="E93" s="480">
        <f t="shared" si="29"/>
        <v>0.21972723515635761</v>
      </c>
      <c r="F93" s="480">
        <f t="shared" si="29"/>
        <v>0.19989530851272655</v>
      </c>
      <c r="G93" s="480">
        <f t="shared" si="29"/>
        <v>0.1903783598698853</v>
      </c>
      <c r="H93" s="480">
        <f t="shared" si="29"/>
        <v>0.21528283904243986</v>
      </c>
      <c r="I93" s="480">
        <f t="shared" si="29"/>
        <v>0.21218697829716193</v>
      </c>
      <c r="J93" s="483">
        <f t="shared" si="29"/>
        <v>0.21062038745387454</v>
      </c>
    </row>
    <row r="94" spans="2:10">
      <c r="B94" s="209" t="s">
        <v>40</v>
      </c>
      <c r="D94" s="480">
        <f t="shared" si="29"/>
        <v>0.11418388225199656</v>
      </c>
      <c r="E94" s="480">
        <f t="shared" si="29"/>
        <v>0.12350185976029757</v>
      </c>
      <c r="F94" s="480">
        <f t="shared" si="29"/>
        <v>0.12942485114179153</v>
      </c>
      <c r="G94" s="480">
        <f t="shared" si="29"/>
        <v>0.12908748501968842</v>
      </c>
      <c r="H94" s="480">
        <f t="shared" si="29"/>
        <v>0.11750854964399843</v>
      </c>
      <c r="I94" s="480">
        <f t="shared" si="29"/>
        <v>0.12737896494156928</v>
      </c>
      <c r="J94" s="483">
        <f t="shared" si="29"/>
        <v>0.13353321033210333</v>
      </c>
    </row>
    <row r="95" spans="2:10">
      <c r="B95" s="209" t="s">
        <v>41</v>
      </c>
      <c r="D95" s="480">
        <f t="shared" si="29"/>
        <v>2.2506765230017822E-2</v>
      </c>
      <c r="E95" s="480">
        <f t="shared" si="29"/>
        <v>2.3763603802176608E-2</v>
      </c>
      <c r="F95" s="480">
        <f t="shared" si="29"/>
        <v>2.3032127200157036E-2</v>
      </c>
      <c r="G95" s="480">
        <f t="shared" si="29"/>
        <v>2.0487359470410318E-2</v>
      </c>
      <c r="H95" s="480">
        <f t="shared" si="29"/>
        <v>2.1304030946908113E-2</v>
      </c>
      <c r="I95" s="480">
        <f t="shared" si="29"/>
        <v>2.159154145798553E-2</v>
      </c>
      <c r="J95" s="483">
        <f t="shared" si="29"/>
        <v>2.271678966789668E-2</v>
      </c>
    </row>
    <row r="96" spans="2:10">
      <c r="B96" s="452" t="s">
        <v>42</v>
      </c>
      <c r="C96" s="244"/>
      <c r="D96" s="480">
        <f t="shared" si="29"/>
        <v>0.38664114579895714</v>
      </c>
      <c r="E96" s="480">
        <f t="shared" si="29"/>
        <v>0.45019975203196033</v>
      </c>
      <c r="F96" s="480">
        <f t="shared" si="29"/>
        <v>0.45272525027808674</v>
      </c>
      <c r="G96" s="480">
        <f t="shared" si="29"/>
        <v>0.3676881812475033</v>
      </c>
      <c r="H96" s="480">
        <f t="shared" si="29"/>
        <v>0.37837080226495484</v>
      </c>
      <c r="I96" s="480">
        <f t="shared" si="29"/>
        <v>0.40812465219810795</v>
      </c>
      <c r="J96" s="483">
        <f t="shared" si="29"/>
        <v>0.39956180811808117</v>
      </c>
    </row>
    <row r="97" spans="2:10">
      <c r="B97" s="209" t="s">
        <v>43</v>
      </c>
      <c r="D97" s="480">
        <f t="shared" ref="D97:J101" si="30">D25/D$17</f>
        <v>0.42716652366180452</v>
      </c>
      <c r="E97" s="480">
        <f t="shared" si="30"/>
        <v>0.4302934288469486</v>
      </c>
      <c r="F97" s="480">
        <f t="shared" si="30"/>
        <v>0.40653013151868089</v>
      </c>
      <c r="G97" s="480">
        <f t="shared" si="30"/>
        <v>0.44958055127546653</v>
      </c>
      <c r="H97" s="480">
        <f t="shared" si="30"/>
        <v>0.45641083141783934</v>
      </c>
      <c r="I97" s="480">
        <f t="shared" si="30"/>
        <v>0.42170283806343906</v>
      </c>
      <c r="J97" s="483">
        <f t="shared" si="30"/>
        <v>0.42764068265682659</v>
      </c>
    </row>
    <row r="98" spans="2:10">
      <c r="B98" s="209" t="s">
        <v>44</v>
      </c>
      <c r="D98" s="480">
        <f t="shared" si="30"/>
        <v>7.8146656986337534E-2</v>
      </c>
      <c r="E98" s="480">
        <f t="shared" si="30"/>
        <v>6.412729026036644E-2</v>
      </c>
      <c r="F98" s="480">
        <f t="shared" si="30"/>
        <v>5.8692665052672906E-2</v>
      </c>
      <c r="G98" s="480">
        <f t="shared" si="30"/>
        <v>4.930662557781202E-2</v>
      </c>
      <c r="H98" s="480">
        <f t="shared" si="30"/>
        <v>4.5355160621180689E-2</v>
      </c>
      <c r="I98" s="480">
        <f t="shared" si="30"/>
        <v>3.6393989983305508E-2</v>
      </c>
      <c r="J98" s="483">
        <f t="shared" si="30"/>
        <v>3.8572416974169743E-2</v>
      </c>
    </row>
    <row r="99" spans="2:10">
      <c r="B99" s="209" t="s">
        <v>45</v>
      </c>
      <c r="D99" s="480">
        <f t="shared" si="30"/>
        <v>2.6070886410137946E-2</v>
      </c>
      <c r="E99" s="480">
        <f t="shared" si="30"/>
        <v>3.1547045047527207E-2</v>
      </c>
      <c r="F99" s="480">
        <f t="shared" si="30"/>
        <v>3.3435843747955246E-2</v>
      </c>
      <c r="G99" s="480">
        <f t="shared" si="30"/>
        <v>4.1260058209210748E-2</v>
      </c>
      <c r="H99" s="480">
        <f t="shared" si="30"/>
        <v>3.890788809777429E-2</v>
      </c>
      <c r="I99" s="480">
        <f t="shared" si="30"/>
        <v>3.6004451864218141E-2</v>
      </c>
      <c r="J99" s="483">
        <f t="shared" si="30"/>
        <v>2.1563653136531365E-2</v>
      </c>
    </row>
    <row r="100" spans="2:10">
      <c r="B100" s="209" t="s">
        <v>46</v>
      </c>
      <c r="D100" s="480">
        <f t="shared" si="30"/>
        <v>1.973467097881328E-2</v>
      </c>
      <c r="E100" s="480">
        <f t="shared" si="30"/>
        <v>2.259264361482298E-2</v>
      </c>
      <c r="F100" s="480">
        <f t="shared" si="30"/>
        <v>3.4024733363868354E-2</v>
      </c>
      <c r="G100" s="480">
        <f t="shared" si="30"/>
        <v>4.0974718940820637E-2</v>
      </c>
      <c r="H100" s="480">
        <f t="shared" si="30"/>
        <v>3.8179065986432698E-2</v>
      </c>
      <c r="I100" s="480">
        <f t="shared" si="30"/>
        <v>4.4462993878686699E-2</v>
      </c>
      <c r="J100" s="483">
        <f t="shared" si="30"/>
        <v>4.9584870848708489E-2</v>
      </c>
    </row>
    <row r="101" spans="2:10">
      <c r="B101" s="209" t="s">
        <v>47</v>
      </c>
      <c r="D101" s="480">
        <f t="shared" si="30"/>
        <v>4.0261368886542141E-3</v>
      </c>
      <c r="E101" s="480">
        <f t="shared" si="30"/>
        <v>4.4083207053313127E-3</v>
      </c>
      <c r="F101" s="480">
        <f t="shared" si="30"/>
        <v>1.8975332068311196E-3</v>
      </c>
      <c r="G101" s="480">
        <f t="shared" si="30"/>
        <v>1.5978999029846487E-3</v>
      </c>
      <c r="H101" s="480">
        <f t="shared" si="30"/>
        <v>1.4576442226831867E-3</v>
      </c>
      <c r="I101" s="480">
        <f t="shared" si="30"/>
        <v>1.4357262103505844E-2</v>
      </c>
      <c r="J101" s="483">
        <f t="shared" si="30"/>
        <v>1.4990774907749078E-3</v>
      </c>
    </row>
    <row r="102" spans="2:10">
      <c r="B102" s="209"/>
      <c r="D102" s="480"/>
      <c r="E102" s="480"/>
      <c r="F102" s="480"/>
      <c r="G102" s="480"/>
      <c r="H102" s="480"/>
      <c r="I102" s="480"/>
      <c r="J102" s="483"/>
    </row>
    <row r="103" spans="2:10">
      <c r="B103" s="209" t="s">
        <v>54</v>
      </c>
      <c r="D103" s="480"/>
      <c r="E103" s="480"/>
      <c r="F103" s="480"/>
      <c r="G103" s="480"/>
      <c r="H103" s="480"/>
      <c r="I103" s="480"/>
      <c r="J103" s="483"/>
    </row>
    <row r="104" spans="2:10">
      <c r="B104" s="209" t="s">
        <v>55</v>
      </c>
      <c r="D104" s="480">
        <f t="shared" ref="D104:J105" si="31">D33/D$17</f>
        <v>3.1219061448089235E-2</v>
      </c>
      <c r="E104" s="480">
        <f t="shared" si="31"/>
        <v>3.2580245212839233E-2</v>
      </c>
      <c r="F104" s="480">
        <f t="shared" si="31"/>
        <v>3.0949420925211017E-2</v>
      </c>
      <c r="G104" s="480">
        <f t="shared" si="31"/>
        <v>2.699309478970496E-2</v>
      </c>
      <c r="H104" s="480">
        <f t="shared" si="31"/>
        <v>2.6517912204967204E-2</v>
      </c>
      <c r="I104" s="480">
        <f t="shared" si="31"/>
        <v>2.6321647189760711E-2</v>
      </c>
      <c r="J104" s="483">
        <f t="shared" si="31"/>
        <v>2.7271678966789666E-2</v>
      </c>
    </row>
    <row r="105" spans="2:10">
      <c r="B105" s="209" t="s">
        <v>56</v>
      </c>
      <c r="D105" s="480">
        <f t="shared" si="31"/>
        <v>3.9205332981321367E-2</v>
      </c>
      <c r="E105" s="480">
        <f t="shared" si="31"/>
        <v>3.7746246039399363E-2</v>
      </c>
      <c r="F105" s="480">
        <f t="shared" si="31"/>
        <v>3.6380291827520776E-2</v>
      </c>
      <c r="G105" s="480">
        <f t="shared" si="31"/>
        <v>3.7493579866461221E-2</v>
      </c>
      <c r="H105" s="480">
        <f t="shared" si="31"/>
        <v>3.391825979705107E-2</v>
      </c>
      <c r="I105" s="480">
        <f t="shared" si="31"/>
        <v>3.7785197551474678E-2</v>
      </c>
      <c r="J105" s="483">
        <f t="shared" si="31"/>
        <v>5.0622693726937271E-2</v>
      </c>
    </row>
    <row r="106" spans="2:10">
      <c r="B106" s="209" t="s">
        <v>57</v>
      </c>
      <c r="D106" s="480"/>
      <c r="E106" s="480"/>
      <c r="F106" s="480"/>
      <c r="G106" s="480"/>
      <c r="H106" s="480"/>
      <c r="I106" s="480"/>
      <c r="J106" s="483"/>
    </row>
    <row r="107" spans="2:10">
      <c r="B107" s="209" t="s">
        <v>58</v>
      </c>
      <c r="D107" s="480">
        <f t="shared" ref="D107:J113" si="32">D35/D$17</f>
        <v>-0.21701537852286978</v>
      </c>
      <c r="E107" s="480">
        <f t="shared" si="32"/>
        <v>-0.27248932359829175</v>
      </c>
      <c r="F107" s="480">
        <f t="shared" si="32"/>
        <v>-0.29143492769744161</v>
      </c>
      <c r="G107" s="480">
        <f t="shared" si="32"/>
        <v>-0.27957541516863549</v>
      </c>
      <c r="H107" s="480">
        <f t="shared" si="32"/>
        <v>-0.29057576946795988</v>
      </c>
      <c r="I107" s="480">
        <f t="shared" si="32"/>
        <v>-0.2858653311074012</v>
      </c>
      <c r="J107" s="483">
        <f t="shared" si="32"/>
        <v>-0.30108394833948338</v>
      </c>
    </row>
    <row r="108" spans="2:10">
      <c r="B108" s="209" t="s">
        <v>59</v>
      </c>
      <c r="D108" s="480">
        <f t="shared" si="32"/>
        <v>0.38076694607616657</v>
      </c>
      <c r="E108" s="480">
        <f t="shared" si="32"/>
        <v>0.40962942554070808</v>
      </c>
      <c r="F108" s="480">
        <f t="shared" si="32"/>
        <v>0.43747955244389192</v>
      </c>
      <c r="G108" s="480">
        <f t="shared" si="32"/>
        <v>0.43183244878160132</v>
      </c>
      <c r="H108" s="480">
        <f t="shared" si="32"/>
        <v>0.44054493468632616</v>
      </c>
      <c r="I108" s="480">
        <f t="shared" si="32"/>
        <v>0.45637173066221481</v>
      </c>
      <c r="J108" s="483">
        <f t="shared" si="32"/>
        <v>0.48247232472324725</v>
      </c>
    </row>
    <row r="109" spans="2:10">
      <c r="B109" s="209" t="s">
        <v>60</v>
      </c>
      <c r="D109" s="480">
        <f t="shared" si="32"/>
        <v>-0.19266055045871561</v>
      </c>
      <c r="E109" s="480">
        <f t="shared" si="32"/>
        <v>-0.22723515635762501</v>
      </c>
      <c r="F109" s="480">
        <f t="shared" si="32"/>
        <v>-0.21553359942419681</v>
      </c>
      <c r="G109" s="480">
        <f t="shared" si="32"/>
        <v>-0.1810192318666895</v>
      </c>
      <c r="H109" s="480">
        <f t="shared" si="32"/>
        <v>-0.18158883220272468</v>
      </c>
      <c r="I109" s="480">
        <f t="shared" si="32"/>
        <v>-0.20417362270450751</v>
      </c>
      <c r="J109" s="483">
        <f t="shared" si="32"/>
        <v>-0.20652675276752769</v>
      </c>
    </row>
    <row r="110" spans="2:10">
      <c r="B110" s="452" t="s">
        <v>61</v>
      </c>
      <c r="C110" s="244"/>
      <c r="D110" s="480">
        <f t="shared" si="32"/>
        <v>4.1515411523991817E-2</v>
      </c>
      <c r="E110" s="480">
        <f t="shared" si="32"/>
        <v>-1.9768563162970106E-2</v>
      </c>
      <c r="F110" s="480">
        <f t="shared" si="32"/>
        <v>-2.1592619250147224E-3</v>
      </c>
      <c r="G110" s="480">
        <f t="shared" si="32"/>
        <v>3.5724476402442501E-2</v>
      </c>
      <c r="H110" s="480">
        <f t="shared" si="32"/>
        <v>2.8816505017659921E-2</v>
      </c>
      <c r="I110" s="480">
        <f t="shared" si="32"/>
        <v>3.0439621591541458E-2</v>
      </c>
      <c r="J110" s="483">
        <f t="shared" si="32"/>
        <v>5.2755996309963096E-2</v>
      </c>
    </row>
    <row r="111" spans="2:10">
      <c r="B111" s="209" t="s">
        <v>62</v>
      </c>
      <c r="D111" s="480">
        <f t="shared" si="32"/>
        <v>1.6698567751303545E-2</v>
      </c>
      <c r="E111" s="480">
        <f t="shared" si="32"/>
        <v>1.6600082656013225E-2</v>
      </c>
      <c r="F111" s="480">
        <f t="shared" si="32"/>
        <v>1.4853104756919453E-2</v>
      </c>
      <c r="G111" s="480">
        <f t="shared" si="32"/>
        <v>1.386748844375963E-2</v>
      </c>
      <c r="H111" s="480">
        <f t="shared" si="32"/>
        <v>1.2502102371475024E-2</v>
      </c>
      <c r="I111" s="480">
        <f t="shared" si="32"/>
        <v>8.5141903171953252E-3</v>
      </c>
      <c r="J111" s="483">
        <f t="shared" si="32"/>
        <v>8.8214944649446497E-3</v>
      </c>
    </row>
    <row r="112" spans="2:10">
      <c r="B112" s="452" t="s">
        <v>63</v>
      </c>
      <c r="C112" s="244"/>
      <c r="D112" s="480">
        <f t="shared" si="32"/>
        <v>5.8213979275295362E-2</v>
      </c>
      <c r="E112" s="480">
        <f t="shared" si="32"/>
        <v>-3.168480506956881E-3</v>
      </c>
      <c r="F112" s="480">
        <f t="shared" si="32"/>
        <v>1.2693842831904731E-2</v>
      </c>
      <c r="G112" s="480">
        <f t="shared" si="32"/>
        <v>4.9591964846202131E-2</v>
      </c>
      <c r="H112" s="480">
        <f t="shared" si="32"/>
        <v>4.1318607389134947E-2</v>
      </c>
      <c r="I112" s="480">
        <f t="shared" si="32"/>
        <v>3.8953811908736785E-2</v>
      </c>
      <c r="J112" s="483">
        <f t="shared" si="32"/>
        <v>6.1577490774907748E-2</v>
      </c>
    </row>
    <row r="113" spans="2:10" ht="17" thickBot="1">
      <c r="B113" s="566" t="s">
        <v>64</v>
      </c>
      <c r="C113" s="198"/>
      <c r="D113" s="484">
        <f t="shared" si="32"/>
        <v>1</v>
      </c>
      <c r="E113" s="484">
        <f t="shared" si="32"/>
        <v>1</v>
      </c>
      <c r="F113" s="484">
        <f t="shared" si="32"/>
        <v>1</v>
      </c>
      <c r="G113" s="484">
        <f t="shared" si="32"/>
        <v>1</v>
      </c>
      <c r="H113" s="484">
        <f t="shared" si="32"/>
        <v>1</v>
      </c>
      <c r="I113" s="484">
        <f t="shared" si="32"/>
        <v>1</v>
      </c>
      <c r="J113" s="487">
        <f t="shared" si="32"/>
        <v>1</v>
      </c>
    </row>
    <row r="115" spans="2:10" ht="17" thickBot="1"/>
    <row r="116" spans="2:10" ht="18" thickBot="1">
      <c r="B116" s="186" t="s">
        <v>1565</v>
      </c>
      <c r="C116" s="435"/>
      <c r="D116" s="434" t="s">
        <v>103</v>
      </c>
      <c r="E116" s="434" t="s">
        <v>102</v>
      </c>
      <c r="F116" s="434" t="s">
        <v>66</v>
      </c>
      <c r="G116" s="434" t="s">
        <v>65</v>
      </c>
      <c r="H116" s="434" t="s">
        <v>3</v>
      </c>
      <c r="I116" s="435" t="s">
        <v>2</v>
      </c>
      <c r="J116" s="438" t="s">
        <v>1</v>
      </c>
    </row>
    <row r="117" spans="2:10">
      <c r="B117" s="209"/>
      <c r="J117" s="210"/>
    </row>
    <row r="118" spans="2:10">
      <c r="B118" s="209" t="s">
        <v>25</v>
      </c>
      <c r="J118" s="210"/>
    </row>
    <row r="119" spans="2:10">
      <c r="B119" s="209"/>
      <c r="J119" s="210"/>
    </row>
    <row r="120" spans="2:10">
      <c r="B120" s="209" t="s">
        <v>26</v>
      </c>
      <c r="D120" s="480"/>
      <c r="E120" s="480">
        <f t="shared" ref="E120:J124" si="33">E5/D5-1</f>
        <v>-0.125</v>
      </c>
      <c r="F120" s="480">
        <f t="shared" si="33"/>
        <v>-0.17996289424860856</v>
      </c>
      <c r="G120" s="480">
        <f t="shared" si="33"/>
        <v>-0.31447963800904977</v>
      </c>
      <c r="H120" s="480">
        <f t="shared" si="33"/>
        <v>-0.1089108910891089</v>
      </c>
      <c r="I120" s="480">
        <f t="shared" si="33"/>
        <v>0.58148148148148149</v>
      </c>
      <c r="J120" s="483">
        <f t="shared" si="33"/>
        <v>1.5597189695550351</v>
      </c>
    </row>
    <row r="121" spans="2:10">
      <c r="B121" s="209" t="s">
        <v>27</v>
      </c>
      <c r="D121" s="480"/>
      <c r="E121" s="480">
        <f t="shared" si="33"/>
        <v>-6.5226781857451455E-2</v>
      </c>
      <c r="F121" s="480">
        <f t="shared" si="33"/>
        <v>4.5748613678373351E-2</v>
      </c>
      <c r="G121" s="480">
        <f t="shared" si="33"/>
        <v>-1.2372956252761802E-2</v>
      </c>
      <c r="H121" s="480">
        <f t="shared" si="33"/>
        <v>-1.2527964205816589E-2</v>
      </c>
      <c r="I121" s="480">
        <f t="shared" si="33"/>
        <v>3.3076574535568559E-2</v>
      </c>
      <c r="J121" s="483">
        <f t="shared" si="33"/>
        <v>-6.3596491228070207E-2</v>
      </c>
    </row>
    <row r="122" spans="2:10">
      <c r="B122" s="209" t="s">
        <v>28</v>
      </c>
      <c r="D122" s="480"/>
      <c r="E122" s="480">
        <f t="shared" si="33"/>
        <v>1.2849162011173254E-2</v>
      </c>
      <c r="F122" s="480">
        <f t="shared" si="33"/>
        <v>-1.2686155543298439E-2</v>
      </c>
      <c r="G122" s="480">
        <f t="shared" si="33"/>
        <v>6.3128491620111804E-2</v>
      </c>
      <c r="H122" s="480">
        <f t="shared" si="33"/>
        <v>0.17656332107199169</v>
      </c>
      <c r="I122" s="480">
        <f t="shared" si="33"/>
        <v>1.3398838767306742E-2</v>
      </c>
      <c r="J122" s="483">
        <f t="shared" si="33"/>
        <v>-0.13838695460555306</v>
      </c>
    </row>
    <row r="123" spans="2:10">
      <c r="B123" s="209" t="s">
        <v>29</v>
      </c>
      <c r="D123" s="480"/>
      <c r="E123" s="480">
        <f t="shared" si="33"/>
        <v>7.1428571428571397E-2</v>
      </c>
      <c r="F123" s="480">
        <f t="shared" si="33"/>
        <v>7.0476190476190581E-2</v>
      </c>
      <c r="G123" s="480">
        <f t="shared" si="33"/>
        <v>0.30427046263345203</v>
      </c>
      <c r="H123" s="480">
        <f t="shared" si="33"/>
        <v>0.15825375170532063</v>
      </c>
      <c r="I123" s="480">
        <f t="shared" si="33"/>
        <v>-0.11307420494699649</v>
      </c>
      <c r="J123" s="483">
        <f t="shared" si="33"/>
        <v>-0.30942895086321376</v>
      </c>
    </row>
    <row r="124" spans="2:10">
      <c r="B124" s="209" t="s">
        <v>30</v>
      </c>
      <c r="D124" s="480"/>
      <c r="E124" s="480">
        <f t="shared" si="33"/>
        <v>-3.2623296872001495E-2</v>
      </c>
      <c r="F124" s="480">
        <f t="shared" si="33"/>
        <v>3.1739734179725421E-3</v>
      </c>
      <c r="G124" s="480">
        <f t="shared" si="33"/>
        <v>2.3136246786632286E-2</v>
      </c>
      <c r="H124" s="480">
        <f t="shared" si="33"/>
        <v>7.5570158484731254E-2</v>
      </c>
      <c r="I124" s="480">
        <f t="shared" si="33"/>
        <v>2.9469901168014401E-2</v>
      </c>
      <c r="J124" s="483">
        <f t="shared" si="33"/>
        <v>-4.5383138418572111E-3</v>
      </c>
    </row>
    <row r="125" spans="2:10">
      <c r="B125" s="209" t="s">
        <v>31</v>
      </c>
      <c r="D125" s="480"/>
      <c r="E125" s="480">
        <f t="shared" ref="E125:J127" si="34">E12/D12-1</f>
        <v>-3.7251210328133388E-2</v>
      </c>
      <c r="F125" s="480">
        <f t="shared" si="34"/>
        <v>4.064813521441546E-2</v>
      </c>
      <c r="G125" s="480">
        <f t="shared" si="34"/>
        <v>7.9463087248322184E-2</v>
      </c>
      <c r="H125" s="480">
        <f t="shared" si="34"/>
        <v>6.8390947525491796E-3</v>
      </c>
      <c r="I125" s="480">
        <f t="shared" si="34"/>
        <v>-2.6182536742003215E-2</v>
      </c>
      <c r="J125" s="483">
        <f t="shared" si="34"/>
        <v>3.5510462904249085E-3</v>
      </c>
    </row>
    <row r="126" spans="2:10">
      <c r="B126" s="209" t="s">
        <v>32</v>
      </c>
      <c r="D126" s="480"/>
      <c r="E126" s="480">
        <f t="shared" si="34"/>
        <v>-3.8626609442060089E-2</v>
      </c>
      <c r="F126" s="480">
        <f t="shared" si="34"/>
        <v>0.1964285714285714</v>
      </c>
      <c r="G126" s="480">
        <f t="shared" si="34"/>
        <v>0.11940298507462677</v>
      </c>
      <c r="H126" s="480">
        <f t="shared" si="34"/>
        <v>-3.3333333333333326E-2</v>
      </c>
      <c r="I126" s="480">
        <f t="shared" si="34"/>
        <v>-0.17931034482758623</v>
      </c>
      <c r="J126" s="483">
        <f t="shared" si="34"/>
        <v>0.28571428571428581</v>
      </c>
    </row>
    <row r="127" spans="2:10">
      <c r="B127" s="209" t="s">
        <v>33</v>
      </c>
      <c r="D127" s="480"/>
      <c r="E127" s="480">
        <f t="shared" si="34"/>
        <v>-6.4720812182741172E-2</v>
      </c>
      <c r="F127" s="480">
        <f t="shared" si="34"/>
        <v>-4.7489823609226933E-3</v>
      </c>
      <c r="G127" s="480">
        <f t="shared" si="34"/>
        <v>0.29175187457396046</v>
      </c>
      <c r="H127" s="480">
        <f t="shared" si="34"/>
        <v>-2.9023746701846931E-2</v>
      </c>
      <c r="I127" s="480">
        <f t="shared" si="34"/>
        <v>0.12717391304347836</v>
      </c>
      <c r="J127" s="483">
        <f t="shared" si="34"/>
        <v>5.3037608486017351E-3</v>
      </c>
    </row>
    <row r="128" spans="2:10">
      <c r="B128" s="209" t="s">
        <v>34</v>
      </c>
      <c r="D128" s="480"/>
      <c r="E128" s="480"/>
      <c r="F128" s="480"/>
      <c r="G128" s="480"/>
      <c r="H128" s="480"/>
      <c r="I128" s="480"/>
      <c r="J128" s="483"/>
    </row>
    <row r="129" spans="2:10">
      <c r="B129" s="209" t="s">
        <v>35</v>
      </c>
      <c r="D129" s="480"/>
      <c r="E129" s="480">
        <f t="shared" ref="E129:J130" si="35">E16/D16-1</f>
        <v>-0.1079136690647482</v>
      </c>
      <c r="F129" s="480">
        <f t="shared" si="35"/>
        <v>0.63225806451612909</v>
      </c>
      <c r="G129" s="480">
        <f t="shared" si="35"/>
        <v>0.2648221343873518</v>
      </c>
      <c r="H129" s="480">
        <f t="shared" si="35"/>
        <v>-3.515625E-2</v>
      </c>
      <c r="I129" s="480">
        <f t="shared" si="35"/>
        <v>-3.4008097165991957E-2</v>
      </c>
      <c r="J129" s="483">
        <f t="shared" si="35"/>
        <v>-4.4425817267393142E-2</v>
      </c>
    </row>
    <row r="130" spans="2:10">
      <c r="B130" s="452" t="s">
        <v>36</v>
      </c>
      <c r="C130" s="244"/>
      <c r="D130" s="480"/>
      <c r="E130" s="480">
        <f t="shared" si="35"/>
        <v>-4.1779420500297038E-2</v>
      </c>
      <c r="F130" s="480">
        <f t="shared" si="35"/>
        <v>5.2693208430913296E-2</v>
      </c>
      <c r="G130" s="480">
        <f t="shared" si="35"/>
        <v>0.14656808218281747</v>
      </c>
      <c r="H130" s="480">
        <f t="shared" si="35"/>
        <v>1.791930605489922E-2</v>
      </c>
      <c r="I130" s="480">
        <f t="shared" si="35"/>
        <v>7.4564108314179034E-3</v>
      </c>
      <c r="J130" s="483">
        <f t="shared" si="35"/>
        <v>-3.4835837506956069E-2</v>
      </c>
    </row>
    <row r="131" spans="2:10">
      <c r="B131" s="209"/>
      <c r="D131" s="480"/>
      <c r="E131" s="480"/>
      <c r="F131" s="480"/>
      <c r="G131" s="480"/>
      <c r="H131" s="480"/>
      <c r="I131" s="480"/>
      <c r="J131" s="483"/>
    </row>
    <row r="132" spans="2:10">
      <c r="B132" s="209" t="s">
        <v>37</v>
      </c>
      <c r="D132" s="480"/>
      <c r="E132" s="480"/>
      <c r="F132" s="480"/>
      <c r="G132" s="480"/>
      <c r="H132" s="480"/>
      <c r="I132" s="480"/>
      <c r="J132" s="483"/>
    </row>
    <row r="133" spans="2:10">
      <c r="B133" s="209"/>
      <c r="D133" s="480"/>
      <c r="E133" s="480"/>
      <c r="F133" s="480"/>
      <c r="G133" s="480"/>
      <c r="H133" s="480"/>
      <c r="I133" s="480"/>
      <c r="J133" s="483"/>
    </row>
    <row r="134" spans="2:10">
      <c r="B134" s="209" t="s">
        <v>38</v>
      </c>
      <c r="D134" s="480"/>
      <c r="E134" s="480">
        <f t="shared" ref="E134:J138" si="36">E20/D20-1</f>
        <v>0.26757607555089202</v>
      </c>
      <c r="F134" s="480">
        <f t="shared" si="36"/>
        <v>0.26986754966887427</v>
      </c>
      <c r="G134" s="480">
        <f t="shared" si="36"/>
        <v>-0.68318122555410699</v>
      </c>
      <c r="H134" s="480">
        <f t="shared" si="36"/>
        <v>-0.10905349794238683</v>
      </c>
      <c r="I134" s="480">
        <f t="shared" si="36"/>
        <v>0.94919168591224024</v>
      </c>
      <c r="J134" s="483">
        <f t="shared" si="36"/>
        <v>-0.3281990521327014</v>
      </c>
    </row>
    <row r="135" spans="2:10">
      <c r="B135" s="209" t="s">
        <v>39</v>
      </c>
      <c r="D135" s="480"/>
      <c r="E135" s="480">
        <f t="shared" si="36"/>
        <v>0.12561750176429065</v>
      </c>
      <c r="F135" s="480">
        <f t="shared" si="36"/>
        <v>-4.2319749216300995E-2</v>
      </c>
      <c r="G135" s="480">
        <f t="shared" si="36"/>
        <v>9.1980360065466504E-2</v>
      </c>
      <c r="H135" s="480">
        <f t="shared" si="36"/>
        <v>0.15107913669064743</v>
      </c>
      <c r="I135" s="480">
        <f t="shared" si="36"/>
        <v>-7.0312500000000444E-3</v>
      </c>
      <c r="J135" s="483">
        <f t="shared" si="36"/>
        <v>-4.196170993968007E-2</v>
      </c>
    </row>
    <row r="136" spans="2:10">
      <c r="B136" s="209" t="s">
        <v>40</v>
      </c>
      <c r="D136" s="480"/>
      <c r="E136" s="480">
        <f t="shared" si="36"/>
        <v>3.641618497109822E-2</v>
      </c>
      <c r="F136" s="480">
        <f t="shared" si="36"/>
        <v>0.10317902955939773</v>
      </c>
      <c r="G136" s="480">
        <f t="shared" si="36"/>
        <v>0.1435793731041457</v>
      </c>
      <c r="H136" s="480">
        <f t="shared" si="36"/>
        <v>-7.3386383731211313E-2</v>
      </c>
      <c r="I136" s="480">
        <f t="shared" si="36"/>
        <v>9.2080152671755622E-2</v>
      </c>
      <c r="J136" s="483">
        <f t="shared" si="36"/>
        <v>1.1795543905635641E-2</v>
      </c>
    </row>
    <row r="137" spans="2:10">
      <c r="B137" s="209" t="s">
        <v>41</v>
      </c>
      <c r="D137" s="480"/>
      <c r="E137" s="480">
        <f t="shared" si="36"/>
        <v>1.1730205278592365E-2</v>
      </c>
      <c r="F137" s="480">
        <f t="shared" si="36"/>
        <v>2.0289855072463725E-2</v>
      </c>
      <c r="G137" s="480">
        <f t="shared" si="36"/>
        <v>1.9886363636363535E-2</v>
      </c>
      <c r="H137" s="480">
        <f t="shared" si="36"/>
        <v>5.8495821727019504E-2</v>
      </c>
      <c r="I137" s="480">
        <f t="shared" si="36"/>
        <v>2.1052631578947434E-2</v>
      </c>
      <c r="J137" s="483">
        <f t="shared" si="36"/>
        <v>1.5463917525773141E-2</v>
      </c>
    </row>
    <row r="138" spans="2:10">
      <c r="B138" s="452" t="s">
        <v>42</v>
      </c>
      <c r="C138" s="244"/>
      <c r="D138" s="480"/>
      <c r="E138" s="480">
        <f t="shared" si="36"/>
        <v>0.11573916012290875</v>
      </c>
      <c r="F138" s="480">
        <f t="shared" si="36"/>
        <v>5.8598531211750293E-2</v>
      </c>
      <c r="G138" s="480">
        <f t="shared" si="36"/>
        <v>-6.879606879606881E-2</v>
      </c>
      <c r="H138" s="480">
        <f t="shared" si="36"/>
        <v>4.7493403693931402E-2</v>
      </c>
      <c r="I138" s="480">
        <f t="shared" si="36"/>
        <v>8.6679508075270473E-2</v>
      </c>
      <c r="J138" s="483">
        <f t="shared" si="36"/>
        <v>-5.5085901281701655E-2</v>
      </c>
    </row>
    <row r="139" spans="2:10">
      <c r="B139" s="209" t="s">
        <v>43</v>
      </c>
      <c r="D139" s="480"/>
      <c r="E139" s="480">
        <f t="shared" ref="E139:J143" si="37">E25/D25-1</f>
        <v>-3.4765142150803507E-2</v>
      </c>
      <c r="F139" s="480">
        <f t="shared" si="37"/>
        <v>-5.4426124539779241E-3</v>
      </c>
      <c r="G139" s="480">
        <f t="shared" si="37"/>
        <v>0.26798647996137137</v>
      </c>
      <c r="H139" s="480">
        <f t="shared" si="37"/>
        <v>3.3384107641533323E-2</v>
      </c>
      <c r="I139" s="480">
        <f t="shared" si="37"/>
        <v>-6.9156123326372665E-2</v>
      </c>
      <c r="J139" s="483">
        <f t="shared" si="37"/>
        <v>-2.1245711269464285E-2</v>
      </c>
    </row>
    <row r="140" spans="2:10">
      <c r="B140" s="209" t="s">
        <v>44</v>
      </c>
      <c r="D140" s="480"/>
      <c r="E140" s="480">
        <f t="shared" si="37"/>
        <v>-0.21368243243243246</v>
      </c>
      <c r="F140" s="480">
        <f t="shared" si="37"/>
        <v>-3.6519871106337254E-2</v>
      </c>
      <c r="G140" s="480">
        <f t="shared" si="37"/>
        <v>-3.6789297658862852E-2</v>
      </c>
      <c r="H140" s="480">
        <f t="shared" si="37"/>
        <v>-6.365740740740744E-2</v>
      </c>
      <c r="I140" s="480">
        <f t="shared" si="37"/>
        <v>-0.19159456118665019</v>
      </c>
      <c r="J140" s="483">
        <f t="shared" si="37"/>
        <v>2.2935779816513735E-2</v>
      </c>
    </row>
    <row r="141" spans="2:10">
      <c r="B141" s="209" t="s">
        <v>45</v>
      </c>
      <c r="D141" s="480"/>
      <c r="E141" s="480">
        <f t="shared" si="37"/>
        <v>0.15949367088607591</v>
      </c>
      <c r="F141" s="480">
        <f t="shared" si="37"/>
        <v>0.11572052401746724</v>
      </c>
      <c r="G141" s="480">
        <f t="shared" si="37"/>
        <v>0.41487279843444225</v>
      </c>
      <c r="H141" s="480">
        <f t="shared" si="37"/>
        <v>-4.0110650069156262E-2</v>
      </c>
      <c r="I141" s="480">
        <f t="shared" si="37"/>
        <v>-6.7723342939481235E-2</v>
      </c>
      <c r="J141" s="483">
        <f t="shared" si="37"/>
        <v>-0.42194744976816079</v>
      </c>
    </row>
    <row r="142" spans="2:10">
      <c r="B142" s="209" t="s">
        <v>46</v>
      </c>
      <c r="D142" s="480"/>
      <c r="E142" s="480">
        <f t="shared" si="37"/>
        <v>9.6989966555183882E-2</v>
      </c>
      <c r="F142" s="480">
        <f t="shared" si="37"/>
        <v>0.58536585365853666</v>
      </c>
      <c r="G142" s="480">
        <f t="shared" si="37"/>
        <v>0.38076923076923075</v>
      </c>
      <c r="H142" s="480">
        <f t="shared" si="37"/>
        <v>-5.1532033426183843E-2</v>
      </c>
      <c r="I142" s="480">
        <f t="shared" si="37"/>
        <v>0.17327459618208518</v>
      </c>
      <c r="J142" s="483">
        <f t="shared" si="37"/>
        <v>7.6345431789737184E-2</v>
      </c>
    </row>
    <row r="143" spans="2:10">
      <c r="B143" s="209" t="s">
        <v>47</v>
      </c>
      <c r="D143" s="480"/>
      <c r="E143" s="480">
        <f t="shared" si="37"/>
        <v>4.9180327868852514E-2</v>
      </c>
      <c r="F143" s="480">
        <f t="shared" si="37"/>
        <v>-0.546875</v>
      </c>
      <c r="G143" s="480">
        <f t="shared" si="37"/>
        <v>-3.4482758620689613E-2</v>
      </c>
      <c r="H143" s="480">
        <f t="shared" si="37"/>
        <v>-7.1428571428571397E-2</v>
      </c>
      <c r="I143" s="480">
        <f t="shared" si="37"/>
        <v>8.9230769230769234</v>
      </c>
      <c r="J143" s="483">
        <f t="shared" si="37"/>
        <v>-0.89922480620155043</v>
      </c>
    </row>
    <row r="144" spans="2:10">
      <c r="B144" s="209"/>
      <c r="D144" s="480"/>
      <c r="E144" s="480"/>
      <c r="F144" s="480"/>
      <c r="G144" s="480"/>
      <c r="H144" s="480"/>
      <c r="I144" s="480"/>
      <c r="J144" s="483"/>
    </row>
    <row r="145" spans="2:10">
      <c r="B145" s="209"/>
      <c r="D145" s="480"/>
      <c r="E145" s="480"/>
      <c r="F145" s="480"/>
      <c r="G145" s="480"/>
      <c r="H145" s="480"/>
      <c r="I145" s="480"/>
      <c r="J145" s="483"/>
    </row>
    <row r="146" spans="2:10">
      <c r="B146" s="209" t="s">
        <v>1562</v>
      </c>
      <c r="D146" s="480"/>
      <c r="E146" s="480"/>
      <c r="F146" s="480"/>
      <c r="G146" s="480"/>
      <c r="H146" s="480"/>
      <c r="I146" s="480"/>
      <c r="J146" s="483"/>
    </row>
    <row r="147" spans="2:10">
      <c r="B147" s="209" t="s">
        <v>55</v>
      </c>
      <c r="D147" s="480"/>
      <c r="E147" s="480">
        <f t="shared" ref="E147:J148" si="38">E33/D33-1</f>
        <v>0</v>
      </c>
      <c r="F147" s="480">
        <f t="shared" si="38"/>
        <v>0</v>
      </c>
      <c r="G147" s="480">
        <f t="shared" si="38"/>
        <v>0</v>
      </c>
      <c r="H147" s="480">
        <f t="shared" si="38"/>
        <v>0</v>
      </c>
      <c r="I147" s="480">
        <f t="shared" si="38"/>
        <v>0</v>
      </c>
      <c r="J147" s="483">
        <f t="shared" si="38"/>
        <v>0</v>
      </c>
    </row>
    <row r="148" spans="2:10">
      <c r="B148" s="209" t="s">
        <v>56</v>
      </c>
      <c r="D148" s="480"/>
      <c r="E148" s="480">
        <f t="shared" si="38"/>
        <v>-7.7441077441077422E-2</v>
      </c>
      <c r="F148" s="480">
        <f t="shared" si="38"/>
        <v>1.4598540145985384E-2</v>
      </c>
      <c r="G148" s="480">
        <f t="shared" si="38"/>
        <v>0.18165467625899279</v>
      </c>
      <c r="H148" s="480">
        <f t="shared" si="38"/>
        <v>-7.9147640791476404E-2</v>
      </c>
      <c r="I148" s="480">
        <f t="shared" si="38"/>
        <v>0.12231404958677694</v>
      </c>
      <c r="J148" s="483">
        <f t="shared" si="38"/>
        <v>0.29307805596465397</v>
      </c>
    </row>
    <row r="149" spans="2:10">
      <c r="B149" s="209" t="s">
        <v>57</v>
      </c>
      <c r="D149" s="480"/>
      <c r="G149" s="480"/>
      <c r="J149" s="210"/>
    </row>
    <row r="150" spans="2:10">
      <c r="B150" s="209" t="s">
        <v>58</v>
      </c>
      <c r="D150" s="480"/>
      <c r="E150" s="480">
        <f t="shared" ref="E150:J156" si="39">E35/D35-1</f>
        <v>0.20316301703163009</v>
      </c>
      <c r="F150" s="480">
        <f t="shared" si="39"/>
        <v>0.12588473205257844</v>
      </c>
      <c r="G150" s="480">
        <f t="shared" si="39"/>
        <v>9.9910193084867593E-2</v>
      </c>
      <c r="H150" s="480">
        <f t="shared" si="39"/>
        <v>5.7971014492753659E-2</v>
      </c>
      <c r="I150" s="480">
        <f t="shared" si="39"/>
        <v>-8.8751688211460289E-3</v>
      </c>
      <c r="J150" s="483">
        <f t="shared" si="39"/>
        <v>1.6546622542339851E-2</v>
      </c>
    </row>
    <row r="151" spans="2:10">
      <c r="B151" s="209" t="s">
        <v>59</v>
      </c>
      <c r="D151" s="480"/>
      <c r="E151" s="480">
        <f t="shared" si="39"/>
        <v>3.0854567516033882E-2</v>
      </c>
      <c r="F151" s="480">
        <f t="shared" si="39"/>
        <v>0.12426433495880285</v>
      </c>
      <c r="G151" s="480">
        <f t="shared" si="39"/>
        <v>0.13176787316781335</v>
      </c>
      <c r="H151" s="480">
        <f t="shared" si="39"/>
        <v>3.8456455662746025E-2</v>
      </c>
      <c r="I151" s="480">
        <f t="shared" si="39"/>
        <v>4.3649783659964303E-2</v>
      </c>
      <c r="J151" s="483">
        <f t="shared" si="39"/>
        <v>2.0363370320692686E-2</v>
      </c>
    </row>
    <row r="152" spans="2:10">
      <c r="B152" s="209" t="s">
        <v>60</v>
      </c>
      <c r="D152" s="480"/>
      <c r="E152" s="480">
        <f t="shared" si="39"/>
        <v>0.13018156903048994</v>
      </c>
      <c r="F152" s="480">
        <f t="shared" si="39"/>
        <v>-1.5156107911488137E-3</v>
      </c>
      <c r="G152" s="480">
        <f t="shared" si="39"/>
        <v>-3.703703703703709E-2</v>
      </c>
      <c r="H152" s="480">
        <f t="shared" si="39"/>
        <v>2.1122320302648268E-2</v>
      </c>
      <c r="I152" s="480">
        <f t="shared" si="39"/>
        <v>0.13275702377276932</v>
      </c>
      <c r="J152" s="483">
        <f t="shared" si="39"/>
        <v>-2.3712183156173294E-2</v>
      </c>
    </row>
    <row r="153" spans="2:10">
      <c r="B153" s="452" t="s">
        <v>61</v>
      </c>
      <c r="C153" s="244"/>
      <c r="D153" s="480"/>
      <c r="E153" s="480">
        <f t="shared" si="39"/>
        <v>-1.4562798092209857</v>
      </c>
      <c r="F153" s="480">
        <f t="shared" si="39"/>
        <v>-0.88501742160278751</v>
      </c>
      <c r="G153" s="480">
        <f t="shared" si="39"/>
        <v>-19.969696969696969</v>
      </c>
      <c r="H153" s="480">
        <f t="shared" si="39"/>
        <v>-0.17891373801916932</v>
      </c>
      <c r="I153" s="480">
        <f t="shared" si="39"/>
        <v>6.4202334630350189E-2</v>
      </c>
      <c r="J153" s="483">
        <f t="shared" si="39"/>
        <v>0.67276051188299824</v>
      </c>
    </row>
    <row r="154" spans="2:10">
      <c r="B154" s="209" t="s">
        <v>62</v>
      </c>
      <c r="D154" s="480"/>
      <c r="E154" s="480">
        <f t="shared" si="39"/>
        <v>-4.743083003952564E-2</v>
      </c>
      <c r="F154" s="480">
        <f t="shared" si="39"/>
        <v>-5.8091286307053958E-2</v>
      </c>
      <c r="G154" s="480">
        <f t="shared" si="39"/>
        <v>7.0484581497797461E-2</v>
      </c>
      <c r="H154" s="480">
        <f t="shared" si="39"/>
        <v>-8.2304526748971152E-2</v>
      </c>
      <c r="I154" s="480">
        <f t="shared" si="39"/>
        <v>-0.31390134529147984</v>
      </c>
      <c r="J154" s="483">
        <f t="shared" si="39"/>
        <v>0</v>
      </c>
    </row>
    <row r="155" spans="2:10">
      <c r="B155" s="452" t="s">
        <v>63</v>
      </c>
      <c r="C155" s="244"/>
      <c r="D155" s="480"/>
      <c r="E155" s="480">
        <f t="shared" si="39"/>
        <v>-1.0521541950113378</v>
      </c>
      <c r="F155" s="480">
        <f t="shared" si="39"/>
        <v>-5.2173913043478262</v>
      </c>
      <c r="G155" s="480">
        <f t="shared" si="39"/>
        <v>3.4793814432989691</v>
      </c>
      <c r="H155" s="480">
        <f t="shared" si="39"/>
        <v>-0.15189873417721522</v>
      </c>
      <c r="I155" s="480">
        <f t="shared" si="39"/>
        <v>-5.0203527815468107E-2</v>
      </c>
      <c r="J155" s="483">
        <f t="shared" si="39"/>
        <v>0.5257142857142858</v>
      </c>
    </row>
    <row r="156" spans="2:10" ht="17" thickBot="1">
      <c r="B156" s="272" t="s">
        <v>64</v>
      </c>
      <c r="C156" s="198"/>
      <c r="D156" s="484"/>
      <c r="E156" s="484">
        <f t="shared" si="39"/>
        <v>-4.1779420500297038E-2</v>
      </c>
      <c r="F156" s="484">
        <f t="shared" si="39"/>
        <v>5.2693208430913296E-2</v>
      </c>
      <c r="G156" s="484">
        <f t="shared" si="39"/>
        <v>0.14656808218281747</v>
      </c>
      <c r="H156" s="484">
        <f t="shared" si="39"/>
        <v>1.791930605489922E-2</v>
      </c>
      <c r="I156" s="484">
        <f t="shared" si="39"/>
        <v>7.4564108314179034E-3</v>
      </c>
      <c r="J156" s="487">
        <f t="shared" si="39"/>
        <v>-3.4835837506956069E-2</v>
      </c>
    </row>
    <row r="162" spans="5:10">
      <c r="E162" s="494"/>
      <c r="F162" s="494"/>
      <c r="G162" s="494"/>
      <c r="H162" s="494"/>
      <c r="I162" s="494"/>
      <c r="J162" s="494"/>
    </row>
    <row r="164" spans="5:10">
      <c r="E164" s="494"/>
      <c r="F164" s="494"/>
      <c r="G164" s="494"/>
      <c r="H164" s="494"/>
      <c r="I164" s="494"/>
      <c r="J164" s="494"/>
    </row>
    <row r="165" spans="5:10">
      <c r="E165" s="494"/>
      <c r="F165" s="494"/>
      <c r="G165" s="494"/>
      <c r="H165" s="494"/>
      <c r="I165" s="494"/>
      <c r="J165" s="494"/>
    </row>
    <row r="166" spans="5:10">
      <c r="E166" s="494"/>
      <c r="F166" s="494"/>
      <c r="G166" s="494"/>
      <c r="H166" s="494"/>
      <c r="I166" s="494"/>
      <c r="J166" s="494"/>
    </row>
    <row r="167" spans="5:10">
      <c r="E167" s="494"/>
      <c r="F167" s="494"/>
      <c r="G167" s="494"/>
      <c r="H167" s="494"/>
      <c r="I167" s="494"/>
      <c r="J167" s="494"/>
    </row>
    <row r="168" spans="5:10">
      <c r="E168" s="494"/>
      <c r="F168" s="494"/>
      <c r="G168" s="494"/>
      <c r="H168" s="494"/>
      <c r="I168" s="494"/>
      <c r="J168" s="494"/>
    </row>
    <row r="169" spans="5:10">
      <c r="E169" s="494"/>
      <c r="F169" s="494"/>
      <c r="G169" s="494"/>
      <c r="H169" s="494"/>
      <c r="I169" s="494"/>
      <c r="J169" s="494"/>
    </row>
    <row r="170" spans="5:10">
      <c r="E170" s="494"/>
      <c r="F170" s="494"/>
      <c r="G170" s="494"/>
      <c r="H170" s="494"/>
      <c r="I170" s="494"/>
      <c r="J170" s="494"/>
    </row>
    <row r="171" spans="5:10">
      <c r="E171" s="494"/>
      <c r="F171" s="494"/>
      <c r="G171" s="494"/>
      <c r="H171" s="494"/>
      <c r="I171" s="494"/>
      <c r="J171" s="494"/>
    </row>
    <row r="172" spans="5:10">
      <c r="E172" s="494"/>
      <c r="F172" s="494"/>
      <c r="G172" s="494"/>
      <c r="H172" s="494"/>
      <c r="I172" s="494"/>
      <c r="J172" s="494"/>
    </row>
    <row r="173" spans="5:10">
      <c r="E173" s="494"/>
      <c r="F173" s="494"/>
      <c r="G173" s="494"/>
      <c r="H173" s="494"/>
      <c r="I173" s="494"/>
      <c r="J173" s="494"/>
    </row>
    <row r="174" spans="5:10">
      <c r="E174" s="494"/>
      <c r="F174" s="494"/>
      <c r="G174" s="494"/>
      <c r="H174" s="494"/>
      <c r="I174" s="494"/>
      <c r="J174" s="494"/>
    </row>
    <row r="175" spans="5:10">
      <c r="E175" s="494"/>
      <c r="F175" s="494"/>
      <c r="G175" s="494"/>
      <c r="H175" s="494"/>
      <c r="I175" s="494"/>
      <c r="J175" s="494"/>
    </row>
    <row r="176" spans="5:10">
      <c r="E176" s="494"/>
      <c r="F176" s="494"/>
      <c r="G176" s="494"/>
      <c r="H176" s="494"/>
      <c r="I176" s="494"/>
      <c r="J176" s="494"/>
    </row>
    <row r="177" spans="5:10">
      <c r="E177" s="494"/>
      <c r="F177" s="494"/>
      <c r="G177" s="494"/>
      <c r="H177" s="494"/>
      <c r="I177" s="494"/>
      <c r="J177" s="494"/>
    </row>
    <row r="178" spans="5:10">
      <c r="E178" s="494"/>
      <c r="F178" s="494"/>
      <c r="G178" s="494"/>
      <c r="H178" s="494"/>
      <c r="I178" s="494"/>
      <c r="J178" s="494"/>
    </row>
    <row r="179" spans="5:10">
      <c r="E179" s="494"/>
      <c r="F179" s="494"/>
      <c r="G179" s="494"/>
      <c r="H179" s="494"/>
      <c r="I179" s="494"/>
      <c r="J179" s="494"/>
    </row>
    <row r="180" spans="5:10">
      <c r="E180" s="494"/>
      <c r="F180" s="494"/>
      <c r="G180" s="494"/>
      <c r="H180" s="494"/>
      <c r="I180" s="494"/>
      <c r="J180" s="494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410D-C561-804A-BB84-43C60B4ED47F}">
  <dimension ref="B2:Q7"/>
  <sheetViews>
    <sheetView topLeftCell="D1" workbookViewId="0">
      <selection activeCell="G4" sqref="G4"/>
    </sheetView>
  </sheetViews>
  <sheetFormatPr baseColWidth="10" defaultRowHeight="16"/>
  <sheetData>
    <row r="2" spans="2:17" ht="17" thickBot="1"/>
    <row r="3" spans="2:17" ht="18" thickBot="1">
      <c r="B3" s="659" t="s">
        <v>1598</v>
      </c>
      <c r="C3" s="435"/>
      <c r="D3" s="435"/>
      <c r="E3" s="435"/>
      <c r="F3" s="435"/>
      <c r="G3" s="435"/>
      <c r="H3" s="435"/>
      <c r="I3" s="435"/>
      <c r="J3" s="435"/>
      <c r="K3" s="435"/>
      <c r="L3" s="208" t="s">
        <v>178</v>
      </c>
      <c r="M3" s="208" t="s">
        <v>179</v>
      </c>
      <c r="N3" s="208" t="s">
        <v>180</v>
      </c>
      <c r="O3" s="208" t="s">
        <v>181</v>
      </c>
      <c r="P3" s="208" t="s">
        <v>182</v>
      </c>
      <c r="Q3" s="187" t="s">
        <v>183</v>
      </c>
    </row>
    <row r="4" spans="2:17" ht="17">
      <c r="B4" s="660" t="s">
        <v>1599</v>
      </c>
      <c r="C4" s="284"/>
      <c r="E4" s="202">
        <f>(BS!D10-BS!C10) + (BS!D6-BS!C6) + (BS!D7-BS!C7) - (BS!D21-BS!C21)</f>
        <v>19186</v>
      </c>
      <c r="F4" s="202">
        <f>(BS!E10-BS!D10) + (BS!E6-BS!D6) + (BS!E7-BS!D7) - (BS!E21-BS!D21)</f>
        <v>-685</v>
      </c>
      <c r="G4" s="202">
        <f>(BS!F10-BS!E10) + (BS!F6-BS!E6) + (BS!F7-BS!E7) - (BS!F21-BS!E21)</f>
        <v>336</v>
      </c>
      <c r="H4" s="202">
        <f>(BS!G10-BS!F10) + (BS!G6-BS!F6) + (BS!G7-BS!F7) - (BS!G21-BS!F21)</f>
        <v>298</v>
      </c>
      <c r="I4" s="202">
        <f>(BS!H10-BS!G10) + (BS!H6-BS!G6) + (BS!H7-BS!G7) - (BS!H21-BS!G21)</f>
        <v>-1</v>
      </c>
      <c r="J4" s="202">
        <f>(BS!I10-BS!H10) + (BS!I6-BS!H6) + (BS!I7-BS!H7) - (BS!I21-BS!H21)</f>
        <v>151</v>
      </c>
      <c r="K4" s="202">
        <f>(BS!J10-BS!I10) + (BS!J6-BS!I6) + (BS!J7-BS!I7) - (BS!J21-BS!I21)</f>
        <v>303</v>
      </c>
      <c r="L4" s="202">
        <f>(BS!L10-BS!J10) + (BS!L6-BS!J6) + (BS!L7-BS!J7) - (BS!L21-BS!J21)</f>
        <v>310.24565474999895</v>
      </c>
      <c r="M4" s="202">
        <f>(BS!M10-BS!L10) + (BS!M6-BS!L6) + (BS!M7-BS!L7) - (BS!M21-BS!L21)</f>
        <v>441.38706911750046</v>
      </c>
      <c r="N4" s="202">
        <f>(BS!N10-BS!M10) + (BS!N6-BS!M6) + (BS!N7-BS!M7) - (BS!N21-BS!M21)</f>
        <v>442.51068497189908</v>
      </c>
      <c r="O4" s="202">
        <f>(BS!O10-BS!N10) + (BS!O6-BS!N6) + (BS!O7-BS!N7) - (BS!O21-BS!N21)</f>
        <v>458.31838454305466</v>
      </c>
      <c r="P4" s="202">
        <f>(BS!P10-BS!O10) + (BS!P6-BS!O6) + (BS!P7-BS!O7) - (BS!P21-BS!O21)</f>
        <v>474.7427213078015</v>
      </c>
      <c r="Q4" s="268">
        <f>(BS!Q10-BS!P10) + (BS!Q6-BS!P6) + (BS!Q7-BS!P7) - (BS!Q21-BS!P21)</f>
        <v>496.81561277139599</v>
      </c>
    </row>
    <row r="5" spans="2:17" ht="17">
      <c r="B5" s="660" t="s">
        <v>1600</v>
      </c>
      <c r="C5" s="284"/>
      <c r="E5" s="205">
        <f>E4/IS!E23</f>
        <v>13.60709219858156</v>
      </c>
      <c r="F5" s="205">
        <f>F4/IS!F23</f>
        <v>-0.31757070004636068</v>
      </c>
      <c r="G5" s="205">
        <f>G4/IS!G23</f>
        <v>0.14285714285714285</v>
      </c>
      <c r="H5" s="205">
        <f>H4/IS!H23</f>
        <v>0.16427783902976847</v>
      </c>
      <c r="I5" s="205">
        <f>I4/IS!I23</f>
        <v>-5.1706308169596695E-4</v>
      </c>
      <c r="J5" s="205">
        <f>J4/IS!J23</f>
        <v>8.5600907029478451E-2</v>
      </c>
      <c r="K5" s="205">
        <f>K4/IS!K23</f>
        <v>0.24143426294820716</v>
      </c>
      <c r="L5" s="205">
        <f>L4/IS!M23</f>
        <v>0.12296852926541127</v>
      </c>
      <c r="M5" s="205">
        <f>M4/IS!N23</f>
        <v>0.15970288454499237</v>
      </c>
      <c r="N5" s="205">
        <f>N4/IS!O23</f>
        <v>0.1544435567545763</v>
      </c>
      <c r="O5" s="205">
        <f>O4/IS!P23</f>
        <v>0.15428868313725852</v>
      </c>
      <c r="P5" s="205">
        <f>P4/IS!Q23</f>
        <v>0.1541393659620465</v>
      </c>
      <c r="Q5" s="271">
        <f>Q4/IS!R23</f>
        <v>0.15468616807922489</v>
      </c>
    </row>
    <row r="6" spans="2:17" ht="17">
      <c r="B6" s="660" t="s">
        <v>321</v>
      </c>
      <c r="C6" s="284"/>
      <c r="E6" s="663">
        <f>IS!E23/AVERAGE(BS!D17+BS!C17)</f>
        <v>9.3063164147581021E-2</v>
      </c>
      <c r="F6" s="663">
        <f>IS!F23/AVERAGE(BS!E17+BS!D17)</f>
        <v>7.2702147022144323E-2</v>
      </c>
      <c r="G6" s="663">
        <f>IS!G23/AVERAGE(BS!F17+BS!E17)</f>
        <v>7.8923526056172616E-2</v>
      </c>
      <c r="H6" s="663">
        <f>IS!H23/AVERAGE(BS!G17+BS!F17)</f>
        <v>5.5294763153081752E-2</v>
      </c>
      <c r="I6" s="663">
        <f>IS!I23/AVERAGE(BS!H17+BS!G17)</f>
        <v>5.4694570135746606E-2</v>
      </c>
      <c r="J6" s="663">
        <f>IS!J23/AVERAGE(BS!I17+BS!H17)</f>
        <v>4.9264110369480828E-2</v>
      </c>
      <c r="K6" s="663">
        <f>IS!K23/AVERAGE(BS!J17+BS!I17)</f>
        <v>3.5538313416775213E-2</v>
      </c>
      <c r="L6" s="663">
        <f>IS!M23/AVERAGE(BS!L17+BS!J17)</f>
        <v>7.2640489570543851E-2</v>
      </c>
      <c r="M6" s="663">
        <f>IS!N23/AVERAGE(BS!M17+BS!L17)</f>
        <v>7.8128415379737151E-2</v>
      </c>
      <c r="N6" s="663">
        <f>IS!O23/AVERAGE(BS!N17+BS!M17)</f>
        <v>7.832736818985947E-2</v>
      </c>
      <c r="O6" s="663">
        <f>IS!P23/AVERAGE(BS!O17+BS!N17)</f>
        <v>7.8535707186151868E-2</v>
      </c>
      <c r="P6" s="663">
        <f>IS!Q23/AVERAGE(BS!P17+BS!O17)</f>
        <v>7.8703699897753263E-2</v>
      </c>
      <c r="Q6" s="664">
        <f>IS!R23/AVERAGE(BS!Q17+BS!P17)</f>
        <v>7.9173919841355578E-2</v>
      </c>
    </row>
    <row r="7" spans="2:17" ht="18" thickBot="1">
      <c r="B7" s="661" t="s">
        <v>1601</v>
      </c>
      <c r="C7" s="662"/>
      <c r="D7" s="665"/>
      <c r="E7" s="484"/>
      <c r="F7" s="484">
        <f t="shared" ref="F7:K7" si="0">E6*E5</f>
        <v>1.2663190548478649</v>
      </c>
      <c r="G7" s="484">
        <f t="shared" si="0"/>
        <v>-2.3088071724695809E-2</v>
      </c>
      <c r="H7" s="484">
        <f t="shared" si="0"/>
        <v>1.1274789436596088E-2</v>
      </c>
      <c r="I7" s="484">
        <f t="shared" si="0"/>
        <v>9.0837042004511381E-3</v>
      </c>
      <c r="J7" s="484">
        <f t="shared" si="0"/>
        <v>-2.8280542986425341E-5</v>
      </c>
      <c r="K7" s="484">
        <f t="shared" si="0"/>
        <v>4.2170525316278934E-3</v>
      </c>
      <c r="L7" s="273"/>
      <c r="M7" s="484">
        <f>L6*L5</f>
        <v>8.9324941676092243E-3</v>
      </c>
      <c r="N7" s="484">
        <f>M6*M5</f>
        <v>1.247733330107337E-2</v>
      </c>
      <c r="O7" s="484">
        <f>N6*N5</f>
        <v>1.2097157334467156E-2</v>
      </c>
      <c r="P7" s="484">
        <f>O6*O5</f>
        <v>1.2117170841004702E-2</v>
      </c>
      <c r="Q7" s="487">
        <f>P6*P5</f>
        <v>1.2131338401106872E-2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B3DA-E8EC-F84B-8671-3D2EE0E35DF3}">
  <dimension ref="B1:J58"/>
  <sheetViews>
    <sheetView showGridLines="0" topLeftCell="A25" workbookViewId="0">
      <selection activeCell="H57" sqref="H57"/>
    </sheetView>
  </sheetViews>
  <sheetFormatPr baseColWidth="10" defaultRowHeight="16"/>
  <cols>
    <col min="1" max="1" width="10.625" style="184"/>
    <col min="2" max="2" width="35.75" style="184" bestFit="1" customWidth="1"/>
    <col min="3" max="16384" width="10.625" style="184"/>
  </cols>
  <sheetData>
    <row r="1" spans="2:8" ht="17" thickBot="1"/>
    <row r="2" spans="2:8" ht="17" thickBot="1">
      <c r="B2" s="186" t="s">
        <v>1572</v>
      </c>
      <c r="C2" s="208" t="s">
        <v>178</v>
      </c>
      <c r="D2" s="208" t="s">
        <v>179</v>
      </c>
      <c r="E2" s="208" t="s">
        <v>180</v>
      </c>
      <c r="F2" s="208" t="s">
        <v>181</v>
      </c>
      <c r="G2" s="208" t="s">
        <v>182</v>
      </c>
      <c r="H2" s="187" t="s">
        <v>183</v>
      </c>
    </row>
    <row r="3" spans="2:8">
      <c r="B3" s="209"/>
      <c r="C3" s="620"/>
      <c r="D3" s="620"/>
      <c r="E3" s="620"/>
      <c r="F3" s="620"/>
      <c r="G3" s="620"/>
      <c r="H3" s="621"/>
    </row>
    <row r="4" spans="2:8">
      <c r="B4" s="209" t="s">
        <v>365</v>
      </c>
      <c r="C4" s="493">
        <f>IS!M23</f>
        <v>2522.9679219825002</v>
      </c>
      <c r="D4" s="493">
        <f>IS!N23</f>
        <v>2763.8014828288869</v>
      </c>
      <c r="E4" s="493">
        <f>IS!O23</f>
        <v>2865.1935650192613</v>
      </c>
      <c r="F4" s="493">
        <f>IS!P23</f>
        <v>2970.5249615444886</v>
      </c>
      <c r="G4" s="493">
        <f>IS!Q23</f>
        <v>3079.957662630432</v>
      </c>
      <c r="H4" s="542">
        <f>IS!R23</f>
        <v>3211.7649492548308</v>
      </c>
    </row>
    <row r="5" spans="2:8">
      <c r="B5" s="209"/>
      <c r="H5" s="210"/>
    </row>
    <row r="6" spans="2:8">
      <c r="B6" s="209"/>
      <c r="H6" s="210"/>
    </row>
    <row r="7" spans="2:8">
      <c r="B7" s="192" t="s">
        <v>26</v>
      </c>
      <c r="C7" s="500"/>
      <c r="D7" s="500"/>
      <c r="E7" s="500"/>
      <c r="F7" s="500"/>
      <c r="G7" s="500"/>
      <c r="H7" s="193"/>
    </row>
    <row r="8" spans="2:8">
      <c r="B8" s="209" t="s">
        <v>27</v>
      </c>
      <c r="C8" s="196">
        <f>BS!J6-BS!L6</f>
        <v>139.68450000000007</v>
      </c>
      <c r="D8" s="196">
        <f>BS!L6-BS!M6</f>
        <v>-77.04571749999991</v>
      </c>
      <c r="E8" s="196">
        <f>BS!M6-BS!N6</f>
        <v>-73.591709900000296</v>
      </c>
      <c r="F8" s="196">
        <f>BS!N6-BS!O6</f>
        <v>-76.450916176000192</v>
      </c>
      <c r="G8" s="196">
        <f>BS!O6-BS!P6</f>
        <v>-79.427697093440202</v>
      </c>
      <c r="H8" s="267">
        <f>BS!P6-BS!Q6</f>
        <v>-95.667466240177419</v>
      </c>
    </row>
    <row r="9" spans="2:8">
      <c r="B9" s="209" t="s">
        <v>28</v>
      </c>
      <c r="C9" s="196">
        <f>BS!J7-BS!L7</f>
        <v>117.81325337500039</v>
      </c>
      <c r="D9" s="196">
        <f>BS!L7-BS!M7</f>
        <v>-55.915225561250281</v>
      </c>
      <c r="E9" s="196">
        <f>BS!M7-BS!N7</f>
        <v>-67.226026993650066</v>
      </c>
      <c r="F9" s="196">
        <f>BS!N7-BS!O7</f>
        <v>-69.83791192677586</v>
      </c>
      <c r="G9" s="196">
        <f>BS!O7-BS!P7</f>
        <v>-72.557201294857578</v>
      </c>
      <c r="H9" s="267">
        <f>BS!P7-BS!Q7</f>
        <v>-87.39223041040259</v>
      </c>
    </row>
    <row r="10" spans="2:8">
      <c r="B10" s="209" t="s">
        <v>29</v>
      </c>
      <c r="C10" s="196">
        <f>BS!J8-BS!L8</f>
        <v>-78.594649999999888</v>
      </c>
      <c r="D10" s="196">
        <f>BS!L8-BS!M8</f>
        <v>-23.113715250000041</v>
      </c>
      <c r="E10" s="196">
        <f>BS!M8-BS!N8</f>
        <v>-22.077512970000043</v>
      </c>
      <c r="F10" s="196">
        <f>BS!N8-BS!O8</f>
        <v>-22.935274852800035</v>
      </c>
      <c r="G10" s="196">
        <f>BS!O8-BS!P8</f>
        <v>-23.82830912803206</v>
      </c>
      <c r="H10" s="267">
        <f>BS!P8-BS!Q8</f>
        <v>-28.700239872053317</v>
      </c>
    </row>
    <row r="11" spans="2:8">
      <c r="B11" s="209" t="s">
        <v>30</v>
      </c>
      <c r="C11" s="196"/>
      <c r="D11" s="196"/>
      <c r="E11" s="196"/>
      <c r="F11" s="196"/>
      <c r="G11" s="196"/>
      <c r="H11" s="267"/>
    </row>
    <row r="12" spans="2:8">
      <c r="B12" s="209" t="s">
        <v>361</v>
      </c>
      <c r="C12" s="196">
        <f>BS!J10-BS!L10</f>
        <v>-399.06309999999939</v>
      </c>
      <c r="D12" s="196">
        <f>BS!L10-BS!M10</f>
        <v>-414.47224350000033</v>
      </c>
      <c r="E12" s="196">
        <f>BS!M10-BS!N10</f>
        <v>-429.19058547999884</v>
      </c>
      <c r="F12" s="196">
        <f>BS!N10-BS!O10</f>
        <v>-444.48076871519879</v>
      </c>
      <c r="G12" s="196">
        <f>BS!O10-BS!P10</f>
        <v>-460.36630813388911</v>
      </c>
      <c r="H12" s="267">
        <f>BS!P10-BS!Q10</f>
        <v>-479.49980138192404</v>
      </c>
    </row>
    <row r="13" spans="2:8">
      <c r="B13" s="209" t="s">
        <v>362</v>
      </c>
      <c r="C13" s="196">
        <f>BS!J11-BS!L11</f>
        <v>296.53722899999957</v>
      </c>
      <c r="D13" s="196">
        <f>BS!L11-BS!M11</f>
        <v>244.53862366499925</v>
      </c>
      <c r="E13" s="196">
        <f>BS!M11-BS!N11</f>
        <v>253.22244543319903</v>
      </c>
      <c r="F13" s="196">
        <f>BS!N11-BS!O11</f>
        <v>262.24365354196743</v>
      </c>
      <c r="G13" s="196">
        <f>BS!O11-BS!P11</f>
        <v>271.61612179899566</v>
      </c>
      <c r="H13" s="267">
        <f>BS!P11-BS!Q11</f>
        <v>282.90488281533544</v>
      </c>
    </row>
    <row r="14" spans="2:8">
      <c r="B14" s="622" t="s">
        <v>360</v>
      </c>
      <c r="C14" s="614"/>
      <c r="D14" s="614"/>
      <c r="E14" s="614"/>
      <c r="F14" s="614"/>
      <c r="G14" s="614"/>
      <c r="H14" s="623"/>
    </row>
    <row r="15" spans="2:8">
      <c r="B15" s="209" t="s">
        <v>32</v>
      </c>
      <c r="C15" s="196">
        <f>BS!J13-BS!L13</f>
        <v>-56</v>
      </c>
      <c r="D15" s="196">
        <f>BS!L13-BS!M13</f>
        <v>0</v>
      </c>
      <c r="E15" s="196">
        <f>BS!M13-BS!N13</f>
        <v>0</v>
      </c>
      <c r="F15" s="196">
        <f>BS!N13-BS!O13</f>
        <v>0</v>
      </c>
      <c r="G15" s="196">
        <f>BS!O13-BS!P13</f>
        <v>0</v>
      </c>
      <c r="H15" s="267">
        <f>BS!P13-BS!Q13</f>
        <v>0</v>
      </c>
    </row>
    <row r="16" spans="2:8">
      <c r="B16" s="209" t="s">
        <v>33</v>
      </c>
      <c r="C16" s="196">
        <f>BS!J14-BS!L14</f>
        <v>27</v>
      </c>
      <c r="D16" s="196">
        <f>BS!L14-BS!M14</f>
        <v>0</v>
      </c>
      <c r="E16" s="196">
        <f>BS!M14-BS!N14</f>
        <v>0</v>
      </c>
      <c r="F16" s="196">
        <f>BS!N14-BS!O14</f>
        <v>0</v>
      </c>
      <c r="G16" s="196">
        <f>BS!O14-BS!P14</f>
        <v>0</v>
      </c>
      <c r="H16" s="267">
        <f>BS!P14-BS!Q14</f>
        <v>0</v>
      </c>
    </row>
    <row r="17" spans="2:10">
      <c r="B17" s="209" t="s">
        <v>34</v>
      </c>
      <c r="C17" s="196">
        <f>BS!J15-BS!L15</f>
        <v>100</v>
      </c>
      <c r="D17" s="196">
        <f>BS!L15-BS!M15</f>
        <v>0</v>
      </c>
      <c r="E17" s="196">
        <f>BS!M15-BS!N15</f>
        <v>0</v>
      </c>
      <c r="F17" s="196">
        <f>BS!N15-BS!O15</f>
        <v>0</v>
      </c>
      <c r="G17" s="196">
        <f>BS!O15-BS!P15</f>
        <v>0</v>
      </c>
      <c r="H17" s="267">
        <f>BS!P15-BS!Q15</f>
        <v>0</v>
      </c>
    </row>
    <row r="18" spans="2:10">
      <c r="B18" s="209" t="s">
        <v>35</v>
      </c>
      <c r="C18" s="196">
        <f>BS!J16-BS!L16</f>
        <v>-57.189299999999776</v>
      </c>
      <c r="D18" s="196">
        <f>BS!L16-BS!M16</f>
        <v>-46.227430500000082</v>
      </c>
      <c r="E18" s="196">
        <f>BS!M16-BS!N16</f>
        <v>-44.155025940000087</v>
      </c>
      <c r="F18" s="196">
        <f>BS!N16-BS!O16</f>
        <v>-45.87054970560007</v>
      </c>
      <c r="G18" s="196">
        <f>BS!O16-BS!P16</f>
        <v>-47.656618256064121</v>
      </c>
      <c r="H18" s="267">
        <f>BS!P16-BS!Q16</f>
        <v>-57.400479744106633</v>
      </c>
    </row>
    <row r="19" spans="2:10">
      <c r="B19" s="624" t="s">
        <v>36</v>
      </c>
      <c r="C19" s="615"/>
      <c r="D19" s="616"/>
      <c r="E19" s="616"/>
      <c r="F19" s="616"/>
      <c r="G19" s="616"/>
      <c r="H19" s="240"/>
    </row>
    <row r="20" spans="2:10">
      <c r="B20" s="209"/>
      <c r="H20" s="210"/>
    </row>
    <row r="21" spans="2:10">
      <c r="B21" s="209"/>
      <c r="H21" s="210"/>
    </row>
    <row r="22" spans="2:10">
      <c r="B22" s="209"/>
      <c r="H22" s="210"/>
    </row>
    <row r="23" spans="2:10">
      <c r="B23" s="265" t="s">
        <v>38</v>
      </c>
      <c r="C23" s="194">
        <f>BS!L20-BS!J20</f>
        <v>-1</v>
      </c>
      <c r="D23" s="194">
        <f>BS!M20-BS!L20</f>
        <v>-7</v>
      </c>
      <c r="E23" s="194">
        <f>BS!N20-BS!M20</f>
        <v>-156</v>
      </c>
      <c r="F23" s="194">
        <f>BS!O20-BS!N20</f>
        <v>198</v>
      </c>
      <c r="G23" s="194">
        <f>BS!P20-BS!O20</f>
        <v>97</v>
      </c>
      <c r="H23" s="266">
        <f>BS!Q20-BS!P20</f>
        <v>-132.60000000000002</v>
      </c>
    </row>
    <row r="24" spans="2:10">
      <c r="B24" s="209" t="s">
        <v>39</v>
      </c>
      <c r="C24" s="196">
        <f>BS!L21-BS!J21</f>
        <v>-168.68030812500001</v>
      </c>
      <c r="D24" s="196">
        <f>BS!M21-BS!L21</f>
        <v>106.04611744375006</v>
      </c>
      <c r="E24" s="196">
        <f>BS!N21-BS!M21</f>
        <v>127.49763740175013</v>
      </c>
      <c r="F24" s="196">
        <f>BS!O21-BS!N21</f>
        <v>132.45121227492018</v>
      </c>
      <c r="G24" s="196">
        <f>BS!P21-BS!O21</f>
        <v>137.60848521438538</v>
      </c>
      <c r="H24" s="267">
        <f>BS!Q21-BS!P21</f>
        <v>165.74388526110806</v>
      </c>
    </row>
    <row r="25" spans="2:10">
      <c r="B25" s="209" t="s">
        <v>40</v>
      </c>
      <c r="C25" s="196">
        <f>BS!L22-BS!J22</f>
        <v>-42.537519299999985</v>
      </c>
      <c r="D25" s="196">
        <f>BS!M22-BS!L22</f>
        <v>87.785890519499844</v>
      </c>
      <c r="E25" s="196">
        <f>BS!N22-BS!M22</f>
        <v>83.850394260060057</v>
      </c>
      <c r="F25" s="196">
        <f>BS!O22-BS!N22</f>
        <v>87.108173890934722</v>
      </c>
      <c r="G25" s="196">
        <f>BS!P22-BS!O22</f>
        <v>90.499918068265742</v>
      </c>
      <c r="H25" s="267">
        <f>BS!Q22-BS!P22</f>
        <v>109.00351103405819</v>
      </c>
    </row>
    <row r="26" spans="2:10">
      <c r="B26" s="209" t="s">
        <v>41</v>
      </c>
      <c r="C26" s="196">
        <f>BS!L23-BS!J23</f>
        <v>110.59358439650009</v>
      </c>
      <c r="D26" s="196">
        <f>BS!M23-BS!L23</f>
        <v>48.166712169277275</v>
      </c>
      <c r="E26" s="196">
        <f>BS!N23-BS!M23</f>
        <v>20.278416438074942</v>
      </c>
      <c r="F26" s="196">
        <f>BS!O23-BS!N23</f>
        <v>21.066279305045441</v>
      </c>
      <c r="G26" s="196">
        <f>BS!P23-BS!O23</f>
        <v>21.886540217188667</v>
      </c>
      <c r="H26" s="267">
        <f>BS!Q23-BS!P23</f>
        <v>26.36145732487978</v>
      </c>
    </row>
    <row r="27" spans="2:10">
      <c r="B27" s="622" t="s">
        <v>42</v>
      </c>
      <c r="C27" s="614"/>
      <c r="D27" s="614"/>
      <c r="E27" s="614"/>
      <c r="F27" s="614"/>
      <c r="G27" s="614"/>
      <c r="H27" s="623"/>
    </row>
    <row r="28" spans="2:10">
      <c r="B28" s="209" t="s">
        <v>43</v>
      </c>
      <c r="C28" s="196">
        <f>BS!L25-BS!J25</f>
        <v>1</v>
      </c>
      <c r="D28" s="196">
        <f>BS!M25-BS!L25</f>
        <v>7</v>
      </c>
      <c r="E28" s="196">
        <f>BS!N25-BS!M25</f>
        <v>156</v>
      </c>
      <c r="F28" s="196">
        <f>BS!O25-BS!N25</f>
        <v>-198</v>
      </c>
      <c r="G28" s="196">
        <f>BS!P25-BS!O25</f>
        <v>-97</v>
      </c>
      <c r="H28" s="267">
        <f>BS!Q25-BS!P25</f>
        <v>132.60000000000036</v>
      </c>
      <c r="J28" s="202"/>
    </row>
    <row r="29" spans="2:10">
      <c r="B29" s="209" t="s">
        <v>44</v>
      </c>
      <c r="C29" s="196">
        <f>BS!L26-BS!J26</f>
        <v>-62.743338480000034</v>
      </c>
      <c r="D29" s="196">
        <f>BS!M26-BS!L26</f>
        <v>23.409570805200019</v>
      </c>
      <c r="E29" s="196">
        <f>BS!N26-BS!M26</f>
        <v>22.360105136016045</v>
      </c>
      <c r="F29" s="196">
        <f>BS!O26-BS!N26</f>
        <v>23.228846370915903</v>
      </c>
      <c r="G29" s="196">
        <f>BS!P26-BS!O26</f>
        <v>24.133311484870887</v>
      </c>
      <c r="H29" s="267">
        <f>BS!Q26-BS!P26</f>
        <v>29.067602942415533</v>
      </c>
    </row>
    <row r="30" spans="2:10">
      <c r="B30" s="209" t="s">
        <v>45</v>
      </c>
      <c r="C30" s="196">
        <f>BS!L27-BS!J27</f>
        <v>-19</v>
      </c>
      <c r="D30" s="196">
        <f>BS!M27-BS!L27</f>
        <v>0</v>
      </c>
      <c r="E30" s="196">
        <f>BS!N27-BS!M27</f>
        <v>0</v>
      </c>
      <c r="F30" s="196">
        <f>BS!O27-BS!N27</f>
        <v>0</v>
      </c>
      <c r="G30" s="196">
        <f>BS!P27-BS!O27</f>
        <v>0</v>
      </c>
      <c r="H30" s="267">
        <f>BS!Q27-BS!P27</f>
        <v>0</v>
      </c>
    </row>
    <row r="31" spans="2:10">
      <c r="B31" s="209" t="s">
        <v>46</v>
      </c>
      <c r="C31" s="196">
        <f>BS!L28-BS!J28</f>
        <v>-19.972174500000051</v>
      </c>
      <c r="D31" s="196">
        <f>BS!M28-BS!L28</f>
        <v>32.436247067499949</v>
      </c>
      <c r="E31" s="196">
        <f>BS!N28-BS!M28</f>
        <v>30.982109867900135</v>
      </c>
      <c r="F31" s="196">
        <f>BS!O28-BS!N28</f>
        <v>32.185835710095944</v>
      </c>
      <c r="G31" s="196">
        <f>BS!P28-BS!O28</f>
        <v>33.439060476338454</v>
      </c>
      <c r="H31" s="267">
        <f>BS!Q28-BS!P28</f>
        <v>40.27600328711469</v>
      </c>
    </row>
    <row r="32" spans="2:10">
      <c r="B32" s="446" t="s">
        <v>47</v>
      </c>
      <c r="C32" s="448">
        <f>BS!L29-BS!J29</f>
        <v>0</v>
      </c>
      <c r="D32" s="448">
        <f>BS!M29-BS!L29</f>
        <v>0</v>
      </c>
      <c r="E32" s="448">
        <f>BS!N29-BS!M29</f>
        <v>0</v>
      </c>
      <c r="F32" s="448">
        <f>BS!O29-BS!N29</f>
        <v>0</v>
      </c>
      <c r="G32" s="448">
        <f>BS!P29-BS!O29</f>
        <v>0</v>
      </c>
      <c r="H32" s="451">
        <f>BS!Q29-BS!P29</f>
        <v>0</v>
      </c>
    </row>
    <row r="33" spans="2:8">
      <c r="B33" s="209"/>
      <c r="C33" s="196"/>
      <c r="D33" s="196"/>
      <c r="E33" s="196"/>
      <c r="F33" s="196"/>
      <c r="G33" s="196"/>
      <c r="H33" s="267"/>
    </row>
    <row r="34" spans="2:8">
      <c r="B34" s="265" t="s">
        <v>55</v>
      </c>
      <c r="C34" s="191">
        <f>BS!L33-BS!J33</f>
        <v>0</v>
      </c>
      <c r="D34" s="191">
        <f>BS!M33-BS!L33</f>
        <v>0</v>
      </c>
      <c r="E34" s="191">
        <f>BS!N33-BS!M33</f>
        <v>0</v>
      </c>
      <c r="F34" s="191">
        <f>BS!O33-BS!N33</f>
        <v>0</v>
      </c>
      <c r="G34" s="191">
        <f>BS!P33-BS!O33</f>
        <v>0</v>
      </c>
      <c r="H34" s="512">
        <f>BS!Q33-BS!P33</f>
        <v>0</v>
      </c>
    </row>
    <row r="35" spans="2:8">
      <c r="B35" s="209" t="s">
        <v>56</v>
      </c>
      <c r="C35" s="184">
        <f>BS!L34-BS!J34</f>
        <v>-34</v>
      </c>
      <c r="D35" s="184">
        <f>BS!M34-BS!L34</f>
        <v>0</v>
      </c>
      <c r="E35" s="184">
        <f>BS!N34-BS!M34</f>
        <v>0</v>
      </c>
      <c r="F35" s="184">
        <f>BS!O34-BS!N34</f>
        <v>0</v>
      </c>
      <c r="G35" s="184">
        <f>BS!P34-BS!O34</f>
        <v>0</v>
      </c>
      <c r="H35" s="210">
        <f>BS!Q34-BS!P34</f>
        <v>0</v>
      </c>
    </row>
    <row r="36" spans="2:8">
      <c r="B36" s="209" t="s">
        <v>58</v>
      </c>
      <c r="C36" s="184">
        <f>BS!L35-BS!J35</f>
        <v>-252</v>
      </c>
      <c r="D36" s="184">
        <f>BS!M35-BS!L35</f>
        <v>-252</v>
      </c>
      <c r="E36" s="184">
        <f>BS!N35-BS!M35</f>
        <v>-252</v>
      </c>
      <c r="F36" s="184">
        <f>BS!O35-BS!N35</f>
        <v>-252</v>
      </c>
      <c r="G36" s="184">
        <f>BS!P35-BS!O35</f>
        <v>-252</v>
      </c>
      <c r="H36" s="210">
        <f>BS!Q35-BS!P35</f>
        <v>-252</v>
      </c>
    </row>
    <row r="37" spans="2:8">
      <c r="B37" s="188" t="s">
        <v>59</v>
      </c>
      <c r="C37" s="498"/>
      <c r="D37" s="498"/>
      <c r="E37" s="498"/>
      <c r="F37" s="498"/>
      <c r="G37" s="498"/>
      <c r="H37" s="189"/>
    </row>
    <row r="38" spans="2:8">
      <c r="B38" s="209" t="s">
        <v>60</v>
      </c>
      <c r="C38" s="184">
        <f>BS!L37-BS!J37</f>
        <v>22</v>
      </c>
      <c r="D38" s="184">
        <f>BS!M37-BS!L37</f>
        <v>0</v>
      </c>
      <c r="E38" s="184">
        <f>BS!N37-BS!M37</f>
        <v>0</v>
      </c>
      <c r="F38" s="184">
        <f>BS!O37-BS!N37</f>
        <v>0</v>
      </c>
      <c r="G38" s="184">
        <f>BS!P37-BS!O37</f>
        <v>0</v>
      </c>
      <c r="H38" s="210">
        <f>BS!Q37-BS!P37</f>
        <v>0</v>
      </c>
    </row>
    <row r="39" spans="2:8" s="244" customFormat="1">
      <c r="B39" s="622" t="s">
        <v>61</v>
      </c>
      <c r="C39" s="617"/>
      <c r="D39" s="617"/>
      <c r="E39" s="617"/>
      <c r="F39" s="617"/>
      <c r="G39" s="617"/>
      <c r="H39" s="625"/>
    </row>
    <row r="40" spans="2:8">
      <c r="B40" s="209" t="s">
        <v>62</v>
      </c>
      <c r="C40" s="184">
        <f>BS!L39-BS!J39</f>
        <v>6</v>
      </c>
      <c r="D40" s="184">
        <f>BS!M39-BS!L39</f>
        <v>0</v>
      </c>
      <c r="E40" s="184">
        <f>BS!N39-BS!M39</f>
        <v>0</v>
      </c>
      <c r="F40" s="184">
        <f>BS!O39-BS!N39</f>
        <v>0</v>
      </c>
      <c r="G40" s="184">
        <f>BS!P39-BS!O39</f>
        <v>0</v>
      </c>
      <c r="H40" s="210">
        <f>BS!Q39-BS!P39</f>
        <v>0</v>
      </c>
    </row>
    <row r="41" spans="2:8" s="244" customFormat="1">
      <c r="B41" s="622" t="s">
        <v>63</v>
      </c>
      <c r="C41" s="617"/>
      <c r="D41" s="617"/>
      <c r="E41" s="617"/>
      <c r="F41" s="617"/>
      <c r="G41" s="617"/>
      <c r="H41" s="625"/>
    </row>
    <row r="42" spans="2:8">
      <c r="B42" s="624" t="s">
        <v>64</v>
      </c>
      <c r="C42" s="616"/>
      <c r="D42" s="616"/>
      <c r="E42" s="616"/>
      <c r="F42" s="616"/>
      <c r="G42" s="616"/>
      <c r="H42" s="240"/>
    </row>
    <row r="43" spans="2:8">
      <c r="B43" s="209"/>
      <c r="H43" s="210"/>
    </row>
    <row r="44" spans="2:8">
      <c r="B44" s="209" t="s">
        <v>366</v>
      </c>
      <c r="C44" s="493">
        <f>BS!L65</f>
        <v>2018.3743375860004</v>
      </c>
      <c r="D44" s="493">
        <f>BS!M65</f>
        <v>2211.0411862631095</v>
      </c>
      <c r="E44" s="493">
        <f>BS!N65</f>
        <v>2292.1548520154092</v>
      </c>
      <c r="F44" s="493">
        <f>BS!O65</f>
        <v>2376.419969235591</v>
      </c>
      <c r="G44" s="493">
        <f>BS!P65</f>
        <v>2463.9661301043457</v>
      </c>
      <c r="H44" s="542">
        <f>BS!Q65</f>
        <v>2569.4119594038648</v>
      </c>
    </row>
    <row r="45" spans="2:8">
      <c r="B45" s="209"/>
      <c r="H45" s="210"/>
    </row>
    <row r="46" spans="2:8">
      <c r="B46" s="209" t="s">
        <v>367</v>
      </c>
      <c r="C46" s="202">
        <f t="shared" ref="C46:H46" si="0">C4+SUM(C8:C40)-C44</f>
        <v>134.44176076300073</v>
      </c>
      <c r="D46" s="202">
        <f t="shared" si="0"/>
        <v>226.36912592475301</v>
      </c>
      <c r="E46" s="202">
        <f t="shared" si="0"/>
        <v>222.98896025720296</v>
      </c>
      <c r="F46" s="202">
        <f t="shared" si="0"/>
        <v>240.8135720264022</v>
      </c>
      <c r="G46" s="202">
        <f t="shared" si="0"/>
        <v>259.33883587984792</v>
      </c>
      <c r="H46" s="268">
        <f t="shared" si="0"/>
        <v>295.05011486721378</v>
      </c>
    </row>
    <row r="47" spans="2:8">
      <c r="B47" s="209"/>
      <c r="H47" s="210"/>
    </row>
    <row r="48" spans="2:8">
      <c r="B48" s="265" t="s">
        <v>368</v>
      </c>
      <c r="C48" s="537">
        <f>BS!J5</f>
        <v>1093</v>
      </c>
      <c r="D48" s="537">
        <f>C49</f>
        <v>1227.4417607630007</v>
      </c>
      <c r="E48" s="537">
        <f t="shared" ref="E48:H48" si="1">D49</f>
        <v>1453.8108866877537</v>
      </c>
      <c r="F48" s="537">
        <f t="shared" si="1"/>
        <v>1676.7998469449567</v>
      </c>
      <c r="G48" s="537">
        <f t="shared" si="1"/>
        <v>1917.6134189713589</v>
      </c>
      <c r="H48" s="544">
        <f t="shared" si="1"/>
        <v>2176.9522548512068</v>
      </c>
    </row>
    <row r="49" spans="2:8">
      <c r="B49" s="446" t="s">
        <v>369</v>
      </c>
      <c r="C49" s="618">
        <f>C48+C46</f>
        <v>1227.4417607630007</v>
      </c>
      <c r="D49" s="618">
        <f>D48+D46</f>
        <v>1453.8108866877537</v>
      </c>
      <c r="E49" s="618">
        <f t="shared" ref="E49:H49" si="2">E48+E46</f>
        <v>1676.7998469449567</v>
      </c>
      <c r="F49" s="618">
        <f t="shared" si="2"/>
        <v>1917.6134189713589</v>
      </c>
      <c r="G49" s="618">
        <f t="shared" si="2"/>
        <v>2176.9522548512068</v>
      </c>
      <c r="H49" s="626">
        <f t="shared" si="2"/>
        <v>2472.0023697184206</v>
      </c>
    </row>
    <row r="50" spans="2:8">
      <c r="B50" s="209"/>
      <c r="H50" s="210"/>
    </row>
    <row r="51" spans="2:8">
      <c r="B51" s="540" t="s">
        <v>370</v>
      </c>
      <c r="C51" s="619">
        <f>BS!L17-BS!L41</f>
        <v>0</v>
      </c>
      <c r="D51" s="619">
        <f>BS!M17-BS!M41</f>
        <v>0</v>
      </c>
      <c r="E51" s="619">
        <f>BS!N17-BS!N41</f>
        <v>0</v>
      </c>
      <c r="F51" s="619">
        <f>BS!O17-BS!O41</f>
        <v>0</v>
      </c>
      <c r="G51" s="619">
        <f>BS!P17-BS!P41</f>
        <v>0</v>
      </c>
      <c r="H51" s="627">
        <f>BS!Q17-BS!Q41</f>
        <v>0</v>
      </c>
    </row>
    <row r="52" spans="2:8" ht="17" thickBot="1">
      <c r="B52" s="628"/>
      <c r="C52" s="503"/>
      <c r="D52" s="503"/>
      <c r="E52" s="503"/>
      <c r="F52" s="503"/>
      <c r="G52" s="503"/>
      <c r="H52" s="629"/>
    </row>
    <row r="53" spans="2:8" ht="17" thickBot="1">
      <c r="B53" s="272" t="s">
        <v>1516</v>
      </c>
      <c r="C53" s="630">
        <f>C46+C44</f>
        <v>2152.8160983490011</v>
      </c>
      <c r="D53" s="630">
        <f t="shared" ref="D53:H53" si="3">D46+D44</f>
        <v>2437.4103121878625</v>
      </c>
      <c r="E53" s="630">
        <f t="shared" si="3"/>
        <v>2515.1438122726122</v>
      </c>
      <c r="F53" s="630">
        <f t="shared" si="3"/>
        <v>2617.2335412619932</v>
      </c>
      <c r="G53" s="630">
        <f t="shared" si="3"/>
        <v>2723.3049659841936</v>
      </c>
      <c r="H53" s="631">
        <f t="shared" si="3"/>
        <v>2864.4620742710786</v>
      </c>
    </row>
    <row r="55" spans="2:8">
      <c r="C55" s="202"/>
      <c r="D55" s="202"/>
      <c r="E55" s="202"/>
      <c r="F55" s="202"/>
      <c r="G55" s="202"/>
      <c r="H55" s="202"/>
    </row>
    <row r="56" spans="2:8">
      <c r="B56" s="184" t="s">
        <v>1573</v>
      </c>
      <c r="C56" s="202">
        <f>SUM(C8:C18)</f>
        <v>90.187932375000969</v>
      </c>
      <c r="D56" s="202">
        <f t="shared" ref="D56:H56" si="4">SUM(D8:D18)</f>
        <v>-372.2357086462514</v>
      </c>
      <c r="E56" s="202">
        <f t="shared" si="4"/>
        <v>-383.01841585045031</v>
      </c>
      <c r="F56" s="202">
        <f t="shared" si="4"/>
        <v>-397.33176783440751</v>
      </c>
      <c r="G56" s="202">
        <f t="shared" si="4"/>
        <v>-412.2200121072874</v>
      </c>
      <c r="H56" s="202">
        <f t="shared" si="4"/>
        <v>-465.75533483332856</v>
      </c>
    </row>
    <row r="57" spans="2:8">
      <c r="B57" s="184" t="s">
        <v>1522</v>
      </c>
      <c r="C57" s="202">
        <f t="shared" ref="C57:H57" si="5">SUM(C23:C32)</f>
        <v>-202.33975600849999</v>
      </c>
      <c r="D57" s="202">
        <f t="shared" si="5"/>
        <v>297.84453800522715</v>
      </c>
      <c r="E57" s="202">
        <f t="shared" si="5"/>
        <v>284.9686631038013</v>
      </c>
      <c r="F57" s="202">
        <f t="shared" si="5"/>
        <v>296.04034755191219</v>
      </c>
      <c r="G57" s="202">
        <f t="shared" si="5"/>
        <v>307.56731546104913</v>
      </c>
      <c r="H57" s="202">
        <f t="shared" si="5"/>
        <v>370.4524598495766</v>
      </c>
    </row>
    <row r="58" spans="2:8">
      <c r="C58" s="202"/>
      <c r="D58" s="202"/>
      <c r="E58" s="202"/>
      <c r="F58" s="202"/>
      <c r="G58" s="202"/>
      <c r="H58" s="202"/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C413-4AAB-A54C-8BE6-A1E24BA0D2FC}">
  <dimension ref="B2:L7"/>
  <sheetViews>
    <sheetView workbookViewId="0">
      <selection activeCell="D16" sqref="D16"/>
    </sheetView>
  </sheetViews>
  <sheetFormatPr baseColWidth="10" defaultRowHeight="16"/>
  <sheetData>
    <row r="2" spans="2:12" ht="17">
      <c r="B2" s="184" t="s">
        <v>48</v>
      </c>
      <c r="C2" s="184"/>
      <c r="D2" s="184"/>
      <c r="E2" s="184"/>
      <c r="F2" s="184"/>
      <c r="G2" s="184"/>
      <c r="H2" s="184"/>
      <c r="I2" s="488">
        <v>0</v>
      </c>
      <c r="J2" s="184">
        <v>0</v>
      </c>
      <c r="K2" s="184">
        <v>0</v>
      </c>
      <c r="L2" s="531">
        <v>0</v>
      </c>
    </row>
    <row r="3" spans="2:12" ht="17">
      <c r="B3" s="184" t="s">
        <v>49</v>
      </c>
      <c r="C3" s="184"/>
      <c r="D3" s="184"/>
      <c r="E3" s="184"/>
      <c r="F3" s="184"/>
      <c r="G3" s="184"/>
      <c r="H3" s="184"/>
      <c r="I3" s="488">
        <v>0</v>
      </c>
      <c r="J3" s="184">
        <v>0</v>
      </c>
      <c r="K3" s="184">
        <v>0</v>
      </c>
      <c r="L3" s="530">
        <v>0</v>
      </c>
    </row>
    <row r="4" spans="2:12" ht="17">
      <c r="B4" s="184" t="s">
        <v>50</v>
      </c>
      <c r="C4" s="184"/>
      <c r="D4" s="184"/>
      <c r="E4" s="184"/>
      <c r="F4" s="184"/>
      <c r="G4" s="184"/>
      <c r="H4" s="184"/>
      <c r="I4" s="488">
        <v>20000000</v>
      </c>
      <c r="J4" s="184">
        <v>20000000</v>
      </c>
      <c r="K4" s="195">
        <v>20000000</v>
      </c>
      <c r="L4" s="531">
        <v>20000</v>
      </c>
    </row>
    <row r="5" spans="2:12" ht="17">
      <c r="B5" s="184" t="s">
        <v>51</v>
      </c>
      <c r="C5" s="184"/>
      <c r="D5" s="184"/>
      <c r="E5" s="184"/>
      <c r="F5" s="184"/>
      <c r="G5" s="184"/>
      <c r="H5" s="184"/>
      <c r="I5" s="488">
        <v>1200000000</v>
      </c>
      <c r="J5" s="184">
        <v>1200000000</v>
      </c>
      <c r="K5" s="184">
        <v>1200000000</v>
      </c>
      <c r="L5" s="531"/>
    </row>
    <row r="6" spans="2:12" ht="17">
      <c r="B6" s="184" t="s">
        <v>52</v>
      </c>
      <c r="C6" s="184"/>
      <c r="D6" s="184"/>
      <c r="E6" s="184"/>
      <c r="F6" s="184"/>
      <c r="G6" s="184"/>
      <c r="H6" s="184"/>
      <c r="I6" s="488">
        <v>378600000</v>
      </c>
      <c r="J6" s="184">
        <v>378600000</v>
      </c>
      <c r="K6" s="184">
        <v>378600000</v>
      </c>
      <c r="L6" s="532"/>
    </row>
    <row r="7" spans="2:12" ht="17">
      <c r="B7" s="184" t="s">
        <v>53</v>
      </c>
      <c r="C7" s="184"/>
      <c r="D7" s="184"/>
      <c r="E7" s="184"/>
      <c r="F7" s="184"/>
      <c r="G7" s="184"/>
      <c r="H7" s="184"/>
      <c r="I7" s="490">
        <v>1.25</v>
      </c>
      <c r="J7" s="184">
        <v>1.25</v>
      </c>
      <c r="K7" s="184">
        <v>1.25</v>
      </c>
      <c r="L7" s="53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FFAC-575A-0347-833D-7699DDF729C5}">
  <dimension ref="A2:K57"/>
  <sheetViews>
    <sheetView workbookViewId="0">
      <selection activeCell="F26" sqref="F26"/>
    </sheetView>
  </sheetViews>
  <sheetFormatPr baseColWidth="10" defaultRowHeight="17"/>
  <cols>
    <col min="1" max="16384" width="10.625" style="177"/>
  </cols>
  <sheetData>
    <row r="2" spans="1:11">
      <c r="B2" s="491" t="s">
        <v>350</v>
      </c>
      <c r="C2" s="495"/>
      <c r="D2" s="495"/>
      <c r="E2" s="379"/>
      <c r="F2" s="379"/>
      <c r="G2" s="495"/>
      <c r="H2" s="379"/>
      <c r="I2" s="379"/>
      <c r="J2" s="379"/>
      <c r="K2" s="495"/>
    </row>
    <row r="3" spans="1:11">
      <c r="A3" s="180"/>
      <c r="B3" s="491" t="s">
        <v>351</v>
      </c>
      <c r="C3" s="495"/>
      <c r="D3" s="495"/>
      <c r="E3" s="379">
        <v>173</v>
      </c>
      <c r="F3" s="379">
        <v>169</v>
      </c>
      <c r="G3" s="379">
        <v>165</v>
      </c>
      <c r="H3" s="495">
        <v>174</v>
      </c>
      <c r="I3" s="495">
        <v>169</v>
      </c>
      <c r="J3" s="495">
        <v>156</v>
      </c>
      <c r="K3" s="495">
        <v>149</v>
      </c>
    </row>
    <row r="4" spans="1:11">
      <c r="A4" s="180"/>
      <c r="B4" s="491" t="s">
        <v>352</v>
      </c>
      <c r="C4" s="495"/>
      <c r="D4" s="495"/>
      <c r="E4" s="496">
        <v>2830</v>
      </c>
      <c r="F4" s="496">
        <v>2787</v>
      </c>
      <c r="G4" s="496">
        <v>2877</v>
      </c>
      <c r="H4" s="497">
        <v>2932</v>
      </c>
      <c r="I4" s="497">
        <v>2993</v>
      </c>
      <c r="J4" s="497">
        <v>3062</v>
      </c>
      <c r="K4" s="497">
        <v>3067</v>
      </c>
    </row>
    <row r="5" spans="1:11">
      <c r="A5" s="180"/>
      <c r="B5" s="491" t="s">
        <v>353</v>
      </c>
      <c r="C5" s="495"/>
      <c r="D5" s="495"/>
      <c r="E5" s="496">
        <v>14612</v>
      </c>
      <c r="F5" s="496">
        <v>14059</v>
      </c>
      <c r="G5" s="496">
        <v>13946</v>
      </c>
      <c r="H5" s="497">
        <v>14382</v>
      </c>
      <c r="I5" s="497">
        <v>14606</v>
      </c>
      <c r="J5" s="497">
        <v>14655</v>
      </c>
      <c r="K5" s="497">
        <v>15132</v>
      </c>
    </row>
    <row r="6" spans="1:11">
      <c r="A6" s="180"/>
      <c r="B6" s="491" t="s">
        <v>354</v>
      </c>
      <c r="C6" s="495"/>
      <c r="D6" s="495"/>
      <c r="E6" s="379">
        <v>300</v>
      </c>
      <c r="F6" s="379">
        <v>699</v>
      </c>
      <c r="G6" s="379">
        <v>851</v>
      </c>
      <c r="H6" s="495">
        <v>845</v>
      </c>
      <c r="I6" s="495">
        <v>760</v>
      </c>
      <c r="J6" s="495">
        <v>676</v>
      </c>
      <c r="K6" s="495">
        <v>803</v>
      </c>
    </row>
    <row r="7" spans="1:11">
      <c r="A7" s="180"/>
      <c r="B7" s="492" t="s">
        <v>359</v>
      </c>
      <c r="C7" s="379"/>
      <c r="D7" s="379"/>
      <c r="E7" s="496">
        <f t="shared" ref="E7:K7" si="0">SUM(E3:E6)</f>
        <v>17915</v>
      </c>
      <c r="F7" s="496">
        <f t="shared" si="0"/>
        <v>17714</v>
      </c>
      <c r="G7" s="496">
        <f t="shared" si="0"/>
        <v>17839</v>
      </c>
      <c r="H7" s="496">
        <f t="shared" si="0"/>
        <v>18333</v>
      </c>
      <c r="I7" s="496">
        <f t="shared" si="0"/>
        <v>18528</v>
      </c>
      <c r="J7" s="496">
        <f t="shared" si="0"/>
        <v>18549</v>
      </c>
      <c r="K7" s="496">
        <f t="shared" si="0"/>
        <v>19151</v>
      </c>
    </row>
    <row r="8" spans="1:11">
      <c r="A8" s="182"/>
      <c r="B8" s="491" t="s">
        <v>355</v>
      </c>
      <c r="C8" s="495"/>
      <c r="D8" s="495"/>
      <c r="E8" s="496">
        <v>-10479</v>
      </c>
      <c r="F8" s="496">
        <v>-10555</v>
      </c>
      <c r="G8" s="496">
        <v>-10389</v>
      </c>
      <c r="H8" s="497">
        <v>-10291</v>
      </c>
      <c r="I8" s="497">
        <v>-10431</v>
      </c>
      <c r="J8" s="497">
        <v>-10664</v>
      </c>
      <c r="K8" s="497">
        <v>-11238</v>
      </c>
    </row>
    <row r="9" spans="1:11">
      <c r="A9" s="180"/>
      <c r="B9" s="491" t="s">
        <v>115</v>
      </c>
      <c r="C9" s="495"/>
      <c r="D9" s="495"/>
      <c r="E9" s="496">
        <f t="shared" ref="E9:K9" si="1">E8+E7</f>
        <v>7436</v>
      </c>
      <c r="F9" s="496">
        <f t="shared" si="1"/>
        <v>7159</v>
      </c>
      <c r="G9" s="496">
        <f t="shared" si="1"/>
        <v>7450</v>
      </c>
      <c r="H9" s="496">
        <f t="shared" si="1"/>
        <v>8042</v>
      </c>
      <c r="I9" s="496">
        <f t="shared" si="1"/>
        <v>8097</v>
      </c>
      <c r="J9" s="496">
        <f t="shared" si="1"/>
        <v>7885</v>
      </c>
      <c r="K9" s="496">
        <f t="shared" si="1"/>
        <v>7913</v>
      </c>
    </row>
    <row r="10" spans="1:11">
      <c r="A10" s="180"/>
      <c r="B10" s="183"/>
      <c r="C10" s="183"/>
      <c r="D10" s="183"/>
      <c r="E10" s="180"/>
      <c r="F10" s="180"/>
      <c r="G10" s="180"/>
      <c r="H10" s="180"/>
    </row>
    <row r="13" spans="1:11">
      <c r="B13" s="178"/>
    </row>
    <row r="14" spans="1:11">
      <c r="A14" s="179"/>
      <c r="B14" s="178"/>
      <c r="D14" s="178"/>
    </row>
    <row r="15" spans="1:11">
      <c r="A15" s="180"/>
      <c r="F15" s="180"/>
    </row>
    <row r="16" spans="1:11">
      <c r="A16" s="180"/>
    </row>
    <row r="17" spans="1:6">
      <c r="A17" s="180"/>
    </row>
    <row r="18" spans="1:6">
      <c r="A18" s="180"/>
    </row>
    <row r="20" spans="1:6">
      <c r="A20" s="180"/>
    </row>
    <row r="21" spans="1:6">
      <c r="A21" s="180"/>
      <c r="F21" s="180"/>
    </row>
    <row r="22" spans="1:6">
      <c r="A22" s="180"/>
    </row>
    <row r="48" spans="3:3">
      <c r="C48" s="181"/>
    </row>
    <row r="50" spans="3:4">
      <c r="C50" s="181"/>
    </row>
    <row r="54" spans="3:4">
      <c r="C54" s="181"/>
    </row>
    <row r="57" spans="3:4">
      <c r="D57" s="181"/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772E-1F89-0A43-A849-E6D2C19B5820}">
  <dimension ref="A1:AD59"/>
  <sheetViews>
    <sheetView tabSelected="1" topLeftCell="A19" zoomScale="125" workbookViewId="0">
      <selection activeCell="I33" sqref="I33"/>
    </sheetView>
  </sheetViews>
  <sheetFormatPr baseColWidth="10" defaultRowHeight="14" outlineLevelRow="1"/>
  <cols>
    <col min="1" max="1" width="23.75" style="32" bestFit="1" customWidth="1"/>
    <col min="2" max="2" width="7.25" style="36" bestFit="1" customWidth="1"/>
    <col min="3" max="4" width="8.875" style="32" customWidth="1"/>
    <col min="5" max="5" width="8" style="32" customWidth="1"/>
    <col min="6" max="6" width="8.125" style="32" bestFit="1" customWidth="1"/>
    <col min="7" max="8" width="7.375" style="32" customWidth="1"/>
    <col min="9" max="9" width="8.625" style="32" customWidth="1"/>
    <col min="10" max="10" width="7.375" style="32" customWidth="1"/>
    <col min="11" max="11" width="7.125" style="32" bestFit="1" customWidth="1"/>
    <col min="12" max="12" width="8.625" style="32" customWidth="1"/>
    <col min="13" max="13" width="7" style="32" bestFit="1" customWidth="1"/>
    <col min="14" max="14" width="8.625" style="32" customWidth="1"/>
    <col min="15" max="16" width="7" style="32" customWidth="1"/>
    <col min="17" max="17" width="7" style="32" bestFit="1" customWidth="1"/>
    <col min="18" max="16384" width="10.625" style="32"/>
  </cols>
  <sheetData>
    <row r="1" spans="1:30">
      <c r="C1" s="32" t="s">
        <v>268</v>
      </c>
    </row>
    <row r="2" spans="1:30">
      <c r="A2" s="37" t="s">
        <v>269</v>
      </c>
      <c r="B2" s="38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1:30">
      <c r="A3" s="39" t="s">
        <v>270</v>
      </c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30">
      <c r="A4" s="42" t="s">
        <v>271</v>
      </c>
      <c r="B4" s="43"/>
      <c r="C4" s="44" t="s">
        <v>272</v>
      </c>
      <c r="D4" s="45" t="s">
        <v>273</v>
      </c>
      <c r="E4" s="45" t="s">
        <v>274</v>
      </c>
      <c r="F4" s="45" t="s">
        <v>275</v>
      </c>
      <c r="G4" s="45" t="s">
        <v>115</v>
      </c>
      <c r="H4" s="45"/>
      <c r="I4" s="45" t="s">
        <v>276</v>
      </c>
      <c r="J4" s="46" t="s">
        <v>277</v>
      </c>
      <c r="K4" s="46"/>
      <c r="L4" s="47" t="s">
        <v>278</v>
      </c>
    </row>
    <row r="5" spans="1:30">
      <c r="A5" s="48" t="s">
        <v>279</v>
      </c>
      <c r="B5" s="48" t="s">
        <v>280</v>
      </c>
      <c r="C5" s="49" t="s">
        <v>138</v>
      </c>
      <c r="D5" s="50" t="s">
        <v>281</v>
      </c>
      <c r="E5" s="50" t="s">
        <v>282</v>
      </c>
      <c r="F5" s="50" t="s">
        <v>283</v>
      </c>
      <c r="G5" s="50" t="s">
        <v>284</v>
      </c>
      <c r="H5" s="50" t="s">
        <v>285</v>
      </c>
      <c r="I5" s="50" t="s">
        <v>286</v>
      </c>
      <c r="J5" s="51" t="s">
        <v>286</v>
      </c>
      <c r="K5" s="51" t="s">
        <v>209</v>
      </c>
      <c r="L5" s="48" t="s">
        <v>287</v>
      </c>
    </row>
    <row r="6" spans="1:30" s="33" customFormat="1">
      <c r="A6" s="52" t="e" cm="1" vm="1">
        <f t="array" aca="1" ref="A6" ca="1">IF($B6="","",_xll.RDP.Data($B6,"DSPLY_NAME"))</f>
        <v>#VALUE!</v>
      </c>
      <c r="B6" s="53" t="s">
        <v>253</v>
      </c>
      <c r="C6" s="54" t="e" vm="1">
        <f ca="1">IF(B6="","",_xll.RDP.Data($B6,"TR.PriceClose","Curn=#1",,$C$1))</f>
        <v>#VALUE!</v>
      </c>
      <c r="D6" s="55" t="e" vm="1">
        <f ca="1">IF($B6="","",_xll.RDP.Data($B6,"MAX(TR.PriceHigh(SDate=0D,EDate=0D-364C))/*52 Week High*/","Curn=#1",,$C$1))</f>
        <v>#VALUE!</v>
      </c>
      <c r="E6" s="56" t="e" vm="1">
        <f ca="1">IF(B6="","",_xll.RDP.Data($B6,"TR.CompanySharesOutstanding(SDate=0)/*# Shares Outstanding*/")/1000000)</f>
        <v>#VALUE!</v>
      </c>
      <c r="F6" s="57" t="e" vm="1">
        <f t="shared" ref="F6:F13" ca="1" si="0">IF(B6="","",C6*E6)</f>
        <v>#VALUE!</v>
      </c>
      <c r="G6" s="57" t="e" cm="1" vm="1">
        <f t="array" aca="1" ref="G6" ca="1">IF($B6="","",_xll.RDP.Data($B6,"TR.TotalDebtOutstanding","Curn=#1",,$C$1)/1000000)</f>
        <v>#VALUE!</v>
      </c>
      <c r="H6" s="57" t="e" vm="1">
        <f ca="1">IF($B6="","",_xll.RDP.Data($B6,"TR.CashandEquivalents","Curn=#1",,$C$1)/1000000)</f>
        <v>#VALUE!</v>
      </c>
      <c r="I6" s="58" t="e" vm="1">
        <f t="shared" ref="I6:I13" ca="1" si="1">IF(B6="","",F6+G6-H6)</f>
        <v>#VALUE!</v>
      </c>
      <c r="J6" s="57" t="e" cm="1" vm="1">
        <f t="array" aca="1" ref="J6" ca="1">IF($B6="","",_xll.RDP.Data($B6,"TR.TotalEquity","Curn=#1",,$C$1)/1000000)</f>
        <v>#VALUE!</v>
      </c>
      <c r="K6" s="59" t="e" vm="1">
        <f ca="1">IF($B6="","",_xll.RDP.Data($B6,"TR.BetaFiveYear/*Beta 5 Year Monthly*//*Beta 5 Year Monthly*/"))</f>
        <v>#VALUE!</v>
      </c>
      <c r="L6" s="60" t="e" vm="1">
        <f ca="1">IF(B6="","",_xll.RDP.Data($B6,"TR.PriceTargetMean","Curn=#1",,$C$1))</f>
        <v>#VALUE!</v>
      </c>
      <c r="M6" s="61"/>
    </row>
    <row r="7" spans="1:30" s="33" customFormat="1">
      <c r="A7" s="52" t="e" cm="1" vm="1">
        <f t="array" aca="1" ref="A7" ca="1">IF($B7="","",_xll.RDP.Data($B7,"DSPLY_NAME"))</f>
        <v>#VALUE!</v>
      </c>
      <c r="B7" s="53" t="s">
        <v>338</v>
      </c>
      <c r="C7" s="62" t="e" vm="1">
        <f ca="1">IF(B7="","",_xll.RDP.Data($B7,"TR.PriceClose","Curn=#1",,$C$1))</f>
        <v>#VALUE!</v>
      </c>
      <c r="D7" s="63" t="e" vm="1">
        <f ca="1">IF($B7="","",_xll.RDP.Data($B7,"MAX(TR.PriceHigh(SDate=0D,EDate=0D-364C))/*52 Week High*/","Curn=#1",,$C$1))</f>
        <v>#VALUE!</v>
      </c>
      <c r="E7" s="56" t="e" vm="1">
        <f ca="1">IF(B7="","",_xll.RDP.Data($B7,"TR.CompanySharesOutstanding(SDate=0)/*# Shares Outstanding*/")/1000000)</f>
        <v>#VALUE!</v>
      </c>
      <c r="F7" s="58" t="e" vm="1">
        <f t="shared" ca="1" si="0"/>
        <v>#VALUE!</v>
      </c>
      <c r="G7" s="58" t="e" cm="1" vm="1">
        <f t="array" aca="1" ref="G7" ca="1">IF($B7="","",_xll.RDP.Data($B7,"TR.TotalDebtOutstanding","Curn=#1",,$C$1)/1000000)</f>
        <v>#VALUE!</v>
      </c>
      <c r="H7" s="58" t="e" vm="1">
        <f ca="1">IF($B7="","",_xll.RDP.Data($B7,"TR.CashandEquivalents","Curn=#1",,$C$1)/1000000)</f>
        <v>#VALUE!</v>
      </c>
      <c r="I7" s="58" t="e" vm="1">
        <f t="shared" ca="1" si="1"/>
        <v>#VALUE!</v>
      </c>
      <c r="J7" s="58" t="e" cm="1" vm="1">
        <f t="array" aca="1" ref="J7" ca="1">IF($B7="","",_xll.RDP.Data($B7,"TR.TotalEquity","Curn=#1",,$C$1)/1000000)</f>
        <v>#VALUE!</v>
      </c>
      <c r="K7" s="64" t="e" vm="1">
        <f ca="1">IF($B7="","",_xll.RDP.Data($B7,"TR.BetaFiveYear/*Beta 5 Year Monthly*//*Beta 5 Year Monthly*/"))</f>
        <v>#VALUE!</v>
      </c>
      <c r="L7" s="65" t="e" vm="1">
        <f ca="1">IF(B7="","",_xll.RDP.Data($B7,"TR.PriceTargetMean","Curn=#1",,$C$1))</f>
        <v>#VALUE!</v>
      </c>
      <c r="M7" s="61"/>
    </row>
    <row r="8" spans="1:30" s="33" customFormat="1">
      <c r="A8" s="52" t="e" cm="1" vm="1">
        <f t="array" aca="1" ref="A8" ca="1">IF($B8="","",_xll.RDP.Data($B8,"DSPLY_NAME"))</f>
        <v>#VALUE!</v>
      </c>
      <c r="B8" s="53" t="s">
        <v>373</v>
      </c>
      <c r="C8" s="62" t="e" vm="1">
        <f ca="1">IF(B8="","",_xll.RDP.Data($B8,"TR.PriceClose","Curn=#1",,$C$1))</f>
        <v>#VALUE!</v>
      </c>
      <c r="D8" s="63" t="e" vm="1">
        <f ca="1">IF($B8="","",_xll.RDP.Data($B8,"MAX(TR.PriceHigh(SDate=0D,EDate=0D-364C))/*52 Week High*/","Curn=#1",,$C$1))</f>
        <v>#VALUE!</v>
      </c>
      <c r="E8" s="56" t="e" vm="1">
        <f ca="1">IF(B8="","",_xll.RDP.Data($B8,"TR.CompanySharesOutstanding(SDate=0)/*# Shares Outstanding*/")/1000000)</f>
        <v>#VALUE!</v>
      </c>
      <c r="F8" s="58" t="e" vm="1">
        <f t="shared" ca="1" si="0"/>
        <v>#VALUE!</v>
      </c>
      <c r="G8" s="58" t="e" cm="1" vm="1">
        <f t="array" aca="1" ref="G8" ca="1">IF($B8="","",_xll.RDP.Data($B8,"TR.TotalDebtOutstanding","Curn=#1",,$C$1)/1000000)</f>
        <v>#VALUE!</v>
      </c>
      <c r="H8" s="58" t="e" vm="1">
        <f ca="1">IF($B8="","",_xll.RDP.Data($B8,"TR.CashandEquivalents","Curn=#1",,$C$1)/1000000)</f>
        <v>#VALUE!</v>
      </c>
      <c r="I8" s="58" t="e" vm="1">
        <f t="shared" ca="1" si="1"/>
        <v>#VALUE!</v>
      </c>
      <c r="J8" s="58" t="e" cm="1" vm="1">
        <f t="array" aca="1" ref="J8" ca="1">IF($B8="","",_xll.RDP.Data($B8,"TR.TotalEquity","Curn=#1",,$C$1)/1000000)</f>
        <v>#VALUE!</v>
      </c>
      <c r="K8" s="64" t="e" vm="1">
        <f ca="1">IF($B8="","",_xll.RDP.Data($B8,"TR.BetaFiveYear/*Beta 5 Year Monthly*//*Beta 5 Year Monthly*/"))</f>
        <v>#VALUE!</v>
      </c>
      <c r="L8" s="65" t="e" vm="1">
        <f ca="1">IF(B8="","",_xll.RDP.Data($B8,"TR.PriceTargetMean","Curn=#1",,$C$1))</f>
        <v>#VALUE!</v>
      </c>
      <c r="M8" s="61"/>
    </row>
    <row r="9" spans="1:30" s="33" customFormat="1">
      <c r="A9" s="52" t="e" cm="1" vm="1">
        <f t="array" aca="1" ref="A9" ca="1">IF($B9="","",_xll.RDP.Data($B9,"DSPLY_NAME"))</f>
        <v>#VALUE!</v>
      </c>
      <c r="B9" s="53" t="s">
        <v>1607</v>
      </c>
      <c r="C9" s="62" t="e" vm="1">
        <f ca="1">IF(B9="","",_xll.RDP.Data($B9,"TR.PriceClose","Curn=#1",,$C$1))</f>
        <v>#VALUE!</v>
      </c>
      <c r="D9" s="63" t="e" vm="1">
        <f ca="1">IF($B9="","",_xll.RDP.Data($B9,"MAX(TR.PriceHigh(SDate=0D,EDate=0D-364C))/*52 Week High*/","Curn=#1",,$C$1))</f>
        <v>#VALUE!</v>
      </c>
      <c r="E9" s="56" t="e" vm="1">
        <f ca="1">IF(B9="","",_xll.RDP.Data($B9,"TR.CompanySharesOutstanding(SDate=0)/*# Shares Outstanding*/")/1000000)</f>
        <v>#VALUE!</v>
      </c>
      <c r="F9" s="58" t="e" vm="1">
        <f t="shared" ca="1" si="0"/>
        <v>#VALUE!</v>
      </c>
      <c r="G9" s="58" t="e" cm="1" vm="1">
        <f t="array" aca="1" ref="G9" ca="1">IF($B9="","",_xll.RDP.Data($B9,"TR.TotalDebtOutstanding","Curn=#1",,$C$1)/1000000)</f>
        <v>#VALUE!</v>
      </c>
      <c r="H9" s="58" t="e" vm="1">
        <f ca="1">IF($B9="","",_xll.RDP.Data($B9,"TR.CashandEquivalents","Curn=#1",,$C$1)/1000000)</f>
        <v>#VALUE!</v>
      </c>
      <c r="I9" s="58" t="e" vm="1">
        <f t="shared" ca="1" si="1"/>
        <v>#VALUE!</v>
      </c>
      <c r="J9" s="58" t="e" cm="1" vm="1">
        <f t="array" aca="1" ref="J9" ca="1">IF($B9="","",_xll.RDP.Data($B9,"TR.TotalEquity","Curn=#1",,$C$1)/1000000)</f>
        <v>#VALUE!</v>
      </c>
      <c r="K9" s="64" t="e" vm="1">
        <f ca="1">IF($B9="","",_xll.RDP.Data($B9,"TR.BetaFiveYear/*Beta 5 Year Monthly*//*Beta 5 Year Monthly*/"))</f>
        <v>#VALUE!</v>
      </c>
      <c r="L9" s="65" t="e" vm="1">
        <f ca="1">IF(B9="","",_xll.RDP.Data($B9,"TR.PriceTargetMean","Curn=#1",,$C$1))</f>
        <v>#VALUE!</v>
      </c>
      <c r="M9" s="61"/>
    </row>
    <row r="10" spans="1:30" s="33" customFormat="1">
      <c r="A10" s="52" t="e" cm="1" vm="1">
        <f t="array" aca="1" ref="A10" ca="1">IF($B10="","",_xll.RDP.Data($B10,"DSPLY_NAME"))</f>
        <v>#VALUE!</v>
      </c>
      <c r="B10" s="173" t="s">
        <v>1606</v>
      </c>
      <c r="C10" s="62" t="e" vm="1">
        <f ca="1">IF(B10="","",_xll.RDP.Data($B10,"TR.PriceClose","Curn=#1",,$C$1))</f>
        <v>#VALUE!</v>
      </c>
      <c r="D10" s="63" t="e" vm="1">
        <f ca="1">IF($B10="","",_xll.RDP.Data($B10,"MAX(TR.PriceHigh(SDate=0D,EDate=0D-364C))/*52 Week High*/","Curn=#1",,$C$1))</f>
        <v>#VALUE!</v>
      </c>
      <c r="E10" s="56" t="e" vm="1">
        <f ca="1">IF(B10="","",_xll.RDP.Data($B10,"TR.CompanySharesOutstanding(SDate=0)/*# Shares Outstanding*/")/1000000)</f>
        <v>#VALUE!</v>
      </c>
      <c r="F10" s="58" t="e" vm="1">
        <f t="shared" ca="1" si="0"/>
        <v>#VALUE!</v>
      </c>
      <c r="G10" s="58" t="e" cm="1" vm="1">
        <f t="array" aca="1" ref="G10" ca="1">IF($B10="","",_xll.RDP.Data($B10,"TR.TotalDebtOutstanding","Curn=#1",,$C$1)/1000000)</f>
        <v>#VALUE!</v>
      </c>
      <c r="H10" s="58" t="e" vm="1">
        <f ca="1">IF($B10="","",_xll.RDP.Data($B10,"TR.CashandEquivalents","Curn=#1",,$C$1)/1000000)</f>
        <v>#VALUE!</v>
      </c>
      <c r="I10" s="58" t="e" vm="1">
        <f t="shared" ca="1" si="1"/>
        <v>#VALUE!</v>
      </c>
      <c r="J10" s="58" t="e" cm="1" vm="1">
        <f t="array" aca="1" ref="J10" ca="1">IF($B10="","",_xll.RDP.Data($B10,"TR.TotalEquity","Curn=#1",,$C$1)/1000000)</f>
        <v>#VALUE!</v>
      </c>
      <c r="K10" s="64" t="e" vm="1">
        <f ca="1">IF($B10="","",_xll.RDP.Data($B10,"TR.BetaFiveYear/*Beta 5 Year Monthly*//*Beta 5 Year Monthly*/"))</f>
        <v>#VALUE!</v>
      </c>
      <c r="L10" s="65" t="e" vm="1">
        <f ca="1">IF(B10="","",_xll.RDP.Data($B10,"TR.PriceTargetMean","Curn=#1",,$C$1))</f>
        <v>#VALUE!</v>
      </c>
      <c r="M10" s="61"/>
    </row>
    <row r="11" spans="1:30" s="33" customFormat="1">
      <c r="A11" s="52" t="e" cm="1" vm="1">
        <f t="array" aca="1" ref="A11" ca="1">IF($B11="","",_xll.RDP.Data($B11,"DSPLY_NAME"))</f>
        <v>#VALUE!</v>
      </c>
      <c r="B11" s="66" t="s">
        <v>1608</v>
      </c>
      <c r="C11" s="62" t="e" vm="1">
        <f ca="1">IF(B11="","",_xll.RDP.Data($B11,"TR.PriceClose","Curn=#1",,$C$1))</f>
        <v>#VALUE!</v>
      </c>
      <c r="D11" s="63" t="e" vm="1">
        <f ca="1">IF($B11="","",_xll.RDP.Data($B11,"MAX(TR.PriceHigh(SDate=0D,EDate=0D-364C))/*52 Week High*/","Curn=#1",,$C$1))</f>
        <v>#VALUE!</v>
      </c>
      <c r="E11" s="56" t="e" vm="1">
        <f ca="1">IF(B11="","",_xll.RDP.Data($B11,"TR.CompanySharesOutstanding(SDate=0)/*# Shares Outstanding*/")/1000000)</f>
        <v>#VALUE!</v>
      </c>
      <c r="F11" s="58" t="e" vm="1">
        <f t="shared" ca="1" si="0"/>
        <v>#VALUE!</v>
      </c>
      <c r="G11" s="58" t="e" cm="1" vm="1">
        <f t="array" aca="1" ref="G11" ca="1">IF($B11="","",_xll.RDP.Data($B11,"TR.TotalDebtOutstanding","Curn=#1",,$C$1)/1000000)</f>
        <v>#VALUE!</v>
      </c>
      <c r="H11" s="58" t="e" vm="1">
        <f ca="1">IF($B11="","",_xll.RDP.Data($B11,"TR.CashandEquivalents","Curn=#1",,$C$1)/1000000)</f>
        <v>#VALUE!</v>
      </c>
      <c r="I11" s="58" t="e" vm="1">
        <f t="shared" ca="1" si="1"/>
        <v>#VALUE!</v>
      </c>
      <c r="J11" s="58" t="e" cm="1" vm="1">
        <f t="array" aca="1" ref="J11" ca="1">IF($B11="","",_xll.RDP.Data($B11,"TR.TotalEquity","Curn=#1",,$C$1)/1000000)</f>
        <v>#VALUE!</v>
      </c>
      <c r="K11" s="64" t="e" vm="1">
        <f ca="1">IF($B11="","",_xll.RDP.Data($B11,"TR.BetaFiveYear/*Beta 5 Year Monthly*//*Beta 5 Year Monthly*/"))</f>
        <v>#VALUE!</v>
      </c>
      <c r="L11" s="65" t="e" vm="1">
        <f ca="1">IF(B11="","",_xll.RDP.Data($B11,"TR.PriceTargetMean","Curn=#1",,$C$1))</f>
        <v>#VALUE!</v>
      </c>
      <c r="M11" s="61"/>
    </row>
    <row r="12" spans="1:30" s="33" customFormat="1">
      <c r="A12" s="52" t="e" cm="1" vm="1">
        <f t="array" aca="1" ref="A12" ca="1">IF($B12="","",_xll.RDP.Data($B12,"DSPLY_NAME"))</f>
        <v>#VALUE!</v>
      </c>
      <c r="B12" s="66" t="s">
        <v>372</v>
      </c>
      <c r="C12" s="62" t="e" vm="1">
        <f ca="1">IF(B12="","",_xll.RDP.Data($B12,"TR.PriceClose","Curn=#1",,$C$1))</f>
        <v>#VALUE!</v>
      </c>
      <c r="D12" s="63" t="e" vm="1">
        <f ca="1">IF($B12="","",_xll.RDP.Data($B12,"MAX(TR.PriceHigh(SDate=0D,EDate=0D-364C))/*52 Week High*/","Curn=#1",,$C$1))</f>
        <v>#VALUE!</v>
      </c>
      <c r="E12" s="56" t="e" vm="1">
        <f ca="1">IF(B12="","",_xll.RDP.Data($B12,"TR.CompanySharesOutstanding(SDate=0)/*# Shares Outstanding*/")/1000000)</f>
        <v>#VALUE!</v>
      </c>
      <c r="F12" s="58" t="e" vm="1">
        <f t="shared" ca="1" si="0"/>
        <v>#VALUE!</v>
      </c>
      <c r="G12" s="58" t="e" cm="1" vm="1">
        <f t="array" aca="1" ref="G12" ca="1">IF($B12="","",_xll.RDP.Data($B12,"TR.TotalDebtOutstanding","Curn=#1",,$C$1)/1000000)</f>
        <v>#VALUE!</v>
      </c>
      <c r="H12" s="58" t="e" vm="1">
        <f ca="1">IF($B12="","",_xll.RDP.Data($B12,"TR.CashandEquivalents","Curn=#1",,$C$1)/1000000)</f>
        <v>#VALUE!</v>
      </c>
      <c r="I12" s="58" t="e" vm="1">
        <f t="shared" ca="1" si="1"/>
        <v>#VALUE!</v>
      </c>
      <c r="J12" s="58" t="e" cm="1" vm="1">
        <f t="array" aca="1" ref="J12" ca="1">IF($B12="","",_xll.RDP.Data($B12,"TR.TotalEquity","Curn=#1",,$C$1)/1000000)</f>
        <v>#VALUE!</v>
      </c>
      <c r="K12" s="64" t="e" vm="1">
        <f ca="1">IF($B12="","",_xll.RDP.Data($B12,"TR.BetaFiveYear/*Beta 5 Year Monthly*//*Beta 5 Year Monthly*/"))</f>
        <v>#VALUE!</v>
      </c>
      <c r="L12" s="65" t="e" vm="1">
        <f ca="1">IF(B12="","",_xll.RDP.Data($B12,"TR.PriceTargetMean","Curn=#1",,$C$1))</f>
        <v>#VALUE!</v>
      </c>
      <c r="M12" s="61"/>
    </row>
    <row r="13" spans="1:30" s="34" customFormat="1">
      <c r="A13" s="67" t="e" cm="1" vm="1">
        <f t="array" aca="1" ref="A13" ca="1">IF($B13="","",_xll.RDP.Data($B13,"DSPLY_NAME"))</f>
        <v>#VALUE!</v>
      </c>
      <c r="B13" s="68" t="s">
        <v>1609</v>
      </c>
      <c r="C13" s="69" t="e" vm="1">
        <f ca="1">IF(B13="","",_xll.RDP.Data($B13,"TR.PriceClose","Curn=#1",,$C$1))</f>
        <v>#VALUE!</v>
      </c>
      <c r="D13" s="70" t="e" vm="1">
        <f ca="1">IF($B13="","",_xll.RDP.Data($B13,"MAX(TR.PriceHigh(SDate=0D,EDate=0D-364C))/*52 Week High*/","Curn=#1",,$C$1))</f>
        <v>#VALUE!</v>
      </c>
      <c r="E13" s="71" t="e" vm="1">
        <f ca="1">IF(B13="","",_xll.RDP.Data($B13,"TR.CompanySharesOutstanding(SDate=0)/*# Shares Outstanding*/")/1000000)</f>
        <v>#VALUE!</v>
      </c>
      <c r="F13" s="72" t="e" vm="1">
        <f t="shared" ca="1" si="0"/>
        <v>#VALUE!</v>
      </c>
      <c r="G13" s="72" t="e" cm="1" vm="1">
        <f t="array" aca="1" ref="G13" ca="1">IF($B13="","",_xll.RDP.Data($B13,"TR.TotalDebtOutstanding","Curn=#1",,$C$1)/1000000)</f>
        <v>#VALUE!</v>
      </c>
      <c r="H13" s="72" t="e" vm="1">
        <f ca="1">IF($B13="","",_xll.RDP.Data($B13,"TR.CashandEquivalents","Curn=#1",,$C$1)/1000000)</f>
        <v>#VALUE!</v>
      </c>
      <c r="I13" s="72" t="e" vm="1">
        <f t="shared" ca="1" si="1"/>
        <v>#VALUE!</v>
      </c>
      <c r="J13" s="72" t="e" cm="1" vm="1">
        <f t="array" aca="1" ref="J13" ca="1">IF($B13="","",_xll.RDP.Data($B13,"TR.TotalEquity","Curn=#1",,$C$1)/1000000)</f>
        <v>#VALUE!</v>
      </c>
      <c r="K13" s="73" t="e" vm="1">
        <f ca="1">IF($B13="","",_xll.RDP.Data($B13,"TR.BetaFiveYear/*Beta 5 Year Monthly*//*Beta 5 Year Monthly*/"))</f>
        <v>#VALUE!</v>
      </c>
      <c r="L13" s="74" t="e" vm="1">
        <f ca="1">IF(B13="","",_xll.RDP.Data($B13,"TR.PriceTargetMean","Curn=#1",,$C$1))</f>
        <v>#VALUE!</v>
      </c>
      <c r="M13" s="61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</row>
    <row r="14" spans="1:30">
      <c r="C14" s="32" t="s">
        <v>327</v>
      </c>
      <c r="D14" s="32" t="s">
        <v>327</v>
      </c>
      <c r="E14" s="32" t="s">
        <v>327</v>
      </c>
      <c r="F14" s="32" t="s">
        <v>327</v>
      </c>
      <c r="G14" s="32" t="s">
        <v>327</v>
      </c>
      <c r="H14" s="32" t="s">
        <v>327</v>
      </c>
      <c r="I14" s="32" t="s">
        <v>327</v>
      </c>
      <c r="J14" s="32" t="s">
        <v>327</v>
      </c>
      <c r="K14" s="32" t="s">
        <v>327</v>
      </c>
      <c r="L14" s="32" t="s">
        <v>327</v>
      </c>
    </row>
    <row r="15" spans="1:30" ht="16">
      <c r="A15" s="39" t="s">
        <v>288</v>
      </c>
      <c r="B15" s="75"/>
      <c r="C15" s="39" t="s">
        <v>289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76"/>
      <c r="Q15" s="41"/>
    </row>
    <row r="16" spans="1:30">
      <c r="A16" s="42"/>
      <c r="B16" s="43"/>
      <c r="C16" s="77" t="s">
        <v>290</v>
      </c>
      <c r="D16" s="78"/>
      <c r="E16" s="78"/>
      <c r="F16" s="79"/>
      <c r="G16" s="77" t="s">
        <v>291</v>
      </c>
      <c r="H16" s="78"/>
      <c r="I16" s="78"/>
      <c r="J16" s="79"/>
      <c r="K16" s="78" t="s">
        <v>292</v>
      </c>
      <c r="L16" s="78"/>
      <c r="M16" s="79"/>
      <c r="N16" s="77" t="s">
        <v>328</v>
      </c>
      <c r="O16" s="78"/>
      <c r="P16" s="79"/>
      <c r="Q16" s="47" t="s">
        <v>293</v>
      </c>
    </row>
    <row r="17" spans="1:18">
      <c r="A17" s="48" t="s">
        <v>279</v>
      </c>
      <c r="B17" s="48" t="s">
        <v>280</v>
      </c>
      <c r="C17" s="80" t="s">
        <v>294</v>
      </c>
      <c r="D17" s="81" t="s">
        <v>295</v>
      </c>
      <c r="E17" s="81" t="s">
        <v>296</v>
      </c>
      <c r="F17" s="82" t="s">
        <v>297</v>
      </c>
      <c r="G17" s="80" t="s">
        <v>294</v>
      </c>
      <c r="H17" s="81" t="s">
        <v>295</v>
      </c>
      <c r="I17" s="81" t="s">
        <v>296</v>
      </c>
      <c r="J17" s="82" t="s">
        <v>297</v>
      </c>
      <c r="K17" s="80" t="s">
        <v>294</v>
      </c>
      <c r="L17" s="81" t="s">
        <v>295</v>
      </c>
      <c r="M17" s="82" t="s">
        <v>296</v>
      </c>
      <c r="N17" s="80" t="s">
        <v>294</v>
      </c>
      <c r="O17" s="81" t="s">
        <v>295</v>
      </c>
      <c r="P17" s="82" t="s">
        <v>296</v>
      </c>
      <c r="Q17" s="48" t="s">
        <v>298</v>
      </c>
    </row>
    <row r="18" spans="1:18">
      <c r="A18" s="83" t="e" vm="1">
        <f t="shared" ref="A18:A25" ca="1" si="2">A6</f>
        <v>#VALUE!</v>
      </c>
      <c r="B18" s="84" t="str">
        <f t="shared" ref="B18:B25" si="3">IF(B6="","",B6)</f>
        <v>KMB</v>
      </c>
      <c r="C18" s="85" t="e" cm="1" vm="1">
        <f t="array" aca="1" ref="C18" ca="1">IF($B18="","",_xll.RDP.Data($B18,"TR.Revenue","Curn=#1",,$C$1)/1000000)</f>
        <v>#VALUE!</v>
      </c>
      <c r="D18" s="85" t="e" cm="1" vm="1">
        <f t="array" aca="1" ref="D18" ca="1">IF($B18="","",_xll.RDP.Data($B18,"TR.RevenueMean","Period=FY1 Frq=D SDate=1D Curn=#1",,$C$1)/1000000)</f>
        <v>#VALUE!</v>
      </c>
      <c r="E18" s="85" t="e" cm="1" vm="1">
        <f t="array" aca="1" ref="E18" ca="1">IF($B18="","",_xll.RDP.Data($B18,"TR.RevenueMean","Period=FY2 Frq=D SDate=1D Curn=#1",,$C$1)/1000000)</f>
        <v>#VALUE!</v>
      </c>
      <c r="F18" s="86" t="e" cm="1" vm="1">
        <f t="array" aca="1" ref="F18" ca="1">IF($B18="","",_xll.RDP.Data($B18,"TR.RevenueMean","Period=FY3 Frq=D SDate=1D Curn=#1",,$C$1)/1000000)</f>
        <v>#VALUE!</v>
      </c>
      <c r="G18" s="87" t="e" vm="1">
        <f ca="1">IF($B18="","",_xll.RDP.Data($B18,"TR.EPSMean","Period=FY0 Frq=D SDate=1D Curn=#1",,$C$1))</f>
        <v>#VALUE!</v>
      </c>
      <c r="H18" s="87" t="e" vm="1">
        <f ca="1">IF($B18="","",_xll.RDP.Data($B18,"TR.EPSMean","Period=FY1 Frq=D SDate=1D Curn=#1",,$C$1))</f>
        <v>#VALUE!</v>
      </c>
      <c r="I18" s="87" t="e" vm="1">
        <f ca="1">IF($B18="","",_xll.RDP.Data($B18,"TR.EPSMean","Period=FY2 Frq=D SDate=1D Curn=#1",,$C$1))</f>
        <v>#VALUE!</v>
      </c>
      <c r="J18" s="88" t="e" vm="1">
        <f ca="1">IF($B18="","",_xll.RDP.Data($B18,"TR.EPSMean","Period=FY3 Frq=D SDate=1D Curn=#1",,$C$1))</f>
        <v>#VALUE!</v>
      </c>
      <c r="K18" s="89" t="e" cm="1" vm="1">
        <f t="array" aca="1" ref="K18" ca="1">IF($B18="","",_xll.RDP.Data($B18,"TR.EBITMean","Period=FY0 Frq=D SDate=1D Curn=#1",,$C$1)/1000000)</f>
        <v>#VALUE!</v>
      </c>
      <c r="L18" s="89" t="e" cm="1" vm="1">
        <f t="array" aca="1" ref="L18" ca="1">IF($B18="","",_xll.RDP.Data($B18,"TR.EBITMean","Period=FY1 Frq=D SDate=1D Curn=#1",,$C$1)/1000000)</f>
        <v>#VALUE!</v>
      </c>
      <c r="M18" s="90" t="e" cm="1" vm="1">
        <f t="array" aca="1" ref="M18" ca="1">IF($B18="","",_xll.RDP.Data($B18,"TR.EBITMean","Period=FY2 Frq=D SDate=1D Curn=#1",,$C$1)/1000000)</f>
        <v>#VALUE!</v>
      </c>
      <c r="N18" s="91" t="e" cm="1" vm="1">
        <f t="array" aca="1" ref="N18" ca="1">IF($B18="","",_xll.RDP.Data($B18,"TR.EBITDAMean","Period=FY0 Frq=D SDate=1D Curn=#1",,$C$1)/1000000)</f>
        <v>#VALUE!</v>
      </c>
      <c r="O18" s="89" t="e" cm="1" vm="1">
        <f t="array" aca="1" ref="O18" ca="1">IF($B18="","",_xll.RDP.Data($B18,"TR.EBITDAMean","Period=FY1 Frq=D SDate=1D Curn=#1",,$C$1)/1000000)</f>
        <v>#VALUE!</v>
      </c>
      <c r="P18" s="90" t="e" cm="1" vm="1">
        <f t="array" aca="1" ref="P18" ca="1">IF($B18="","",_xll.RDP.Data($B18,"TR.EBITDAMean","Period=FY2 Frq=D SDate=1D Curn=#1",,$C$1)/1000000)</f>
        <v>#VALUE!</v>
      </c>
      <c r="Q18" s="92" t="e" cm="1" vm="1">
        <f t="array" aca="1" ref="Q18" ca="1">IF($B18="","",_xll.RDP.Data($B18,"TR.LTGMean",,)/100)</f>
        <v>#VALUE!</v>
      </c>
    </row>
    <row r="19" spans="1:18">
      <c r="A19" s="83" t="e" vm="1">
        <f t="shared" ca="1" si="2"/>
        <v>#VALUE!</v>
      </c>
      <c r="B19" s="84" t="str">
        <f t="shared" si="3"/>
        <v>PG</v>
      </c>
      <c r="C19" s="85" t="e" cm="1" vm="1">
        <f t="array" aca="1" ref="C19" ca="1">IF($B19="","",_xll.RDP.Data($B19,"TR.Revenue","Curn=#1",,$C$1)/1000000)</f>
        <v>#VALUE!</v>
      </c>
      <c r="D19" s="85" t="e" cm="1" vm="1">
        <f t="array" aca="1" ref="D19" ca="1">IF($B19="","",_xll.RDP.Data($B19,"TR.RevenueMean","Period=FY1 Frq=D SDate=1D Curn=#1",,$C$1)/1000000)</f>
        <v>#VALUE!</v>
      </c>
      <c r="E19" s="85" t="e" cm="1" vm="1">
        <f t="array" aca="1" ref="E19" ca="1">IF($B19="","",_xll.RDP.Data($B19,"TR.RevenueMean","Period=FY2 Frq=D SDate=1D Curn=#1",,$C$1)/1000000)</f>
        <v>#VALUE!</v>
      </c>
      <c r="F19" s="93" t="e" cm="1" vm="1">
        <f t="array" aca="1" ref="F19" ca="1">IF($B19="","",_xll.RDP.Data($B19,"TR.RevenueMean","Period=FY3 Frq=D SDate=1D Curn=#1",,$C$1)/1000000)</f>
        <v>#VALUE!</v>
      </c>
      <c r="G19" s="87" t="e" vm="1">
        <f ca="1">IF($B19="","",_xll.RDP.Data($B19,"TR.EPSMean","Period=FY0 Frq=D SDate=1D Curn=#1",,$C$1))</f>
        <v>#VALUE!</v>
      </c>
      <c r="H19" s="87" t="e" vm="1">
        <f ca="1">IF($B19="","",_xll.RDP.Data($B19,"TR.EPSMean","Period=FY1 Frq=D SDate=1D Curn=#1",,$C$1))</f>
        <v>#VALUE!</v>
      </c>
      <c r="I19" s="87" t="e" vm="1">
        <f ca="1">IF($B19="","",_xll.RDP.Data($B19,"TR.EPSMean","Period=FY2 Frq=D SDate=1D Curn=#1",,$C$1))</f>
        <v>#VALUE!</v>
      </c>
      <c r="J19" s="88" t="e" vm="1">
        <f ca="1">IF($B19="","",_xll.RDP.Data($B19,"TR.EPSMean","Period=FY3 Frq=D SDate=1D Curn=#1",,$C$1))</f>
        <v>#VALUE!</v>
      </c>
      <c r="K19" s="89" t="e" cm="1" vm="1">
        <f t="array" aca="1" ref="K19" ca="1">IF($B19="","",_xll.RDP.Data($B19,"TR.EBITMean","Period=FY0 Frq=D SDate=1D Curn=#1",,$C$1)/1000000)</f>
        <v>#VALUE!</v>
      </c>
      <c r="L19" s="89" t="e" cm="1" vm="1">
        <f t="array" aca="1" ref="L19" ca="1">IF($B19="","",_xll.RDP.Data($B19,"TR.EBITMean","Period=FY1 Frq=D SDate=1D Curn=#1",,$C$1)/1000000)</f>
        <v>#VALUE!</v>
      </c>
      <c r="M19" s="90" t="e" cm="1" vm="1">
        <f t="array" aca="1" ref="M19" ca="1">IF($B19="","",_xll.RDP.Data($B19,"TR.EBITMean","Period=FY2 Frq=D SDate=1D Curn=#1",,$C$1)/1000000)</f>
        <v>#VALUE!</v>
      </c>
      <c r="N19" s="91" t="e" cm="1" vm="1">
        <f t="array" aca="1" ref="N19" ca="1">IF($B19="","",_xll.RDP.Data($B19,"TR.EBITDAMean","Period=FY0 Frq=D SDate=1D Curn=#1",,$C$1)/1000000)</f>
        <v>#VALUE!</v>
      </c>
      <c r="O19" s="89" t="e" cm="1" vm="1">
        <f t="array" aca="1" ref="O19" ca="1">IF($B19="","",_xll.RDP.Data($B19,"TR.EBITDAMean","Period=FY1 Frq=D SDate=1D Curn=#1",,$C$1)/1000000)</f>
        <v>#VALUE!</v>
      </c>
      <c r="P19" s="90" t="e" cm="1" vm="1">
        <f t="array" aca="1" ref="P19" ca="1">IF($B19="","",_xll.RDP.Data($B19,"TR.EBITDAMean","Period=FY2 Frq=D SDate=1D Curn=#1",,$C$1)/1000000)</f>
        <v>#VALUE!</v>
      </c>
      <c r="Q19" s="92" t="e" cm="1" vm="1">
        <f t="array" aca="1" ref="Q19" ca="1">IF($B19="","",_xll.RDP.Data($B19,"TR.LTGMean",,)/100)</f>
        <v>#VALUE!</v>
      </c>
    </row>
    <row r="20" spans="1:18">
      <c r="A20" s="83" t="e" vm="1">
        <f t="shared" ca="1" si="2"/>
        <v>#VALUE!</v>
      </c>
      <c r="B20" s="84" t="str">
        <f t="shared" si="3"/>
        <v>HSY</v>
      </c>
      <c r="C20" s="85" t="e" cm="1" vm="1">
        <f t="array" aca="1" ref="C20" ca="1">IF($B20="","",_xll.RDP.Data($B20,"TR.Revenue","Curn=#1",,$C$1)/1000000)</f>
        <v>#VALUE!</v>
      </c>
      <c r="D20" s="85" t="e" cm="1" vm="1">
        <f t="array" aca="1" ref="D20" ca="1">IF($B20="","",_xll.RDP.Data($B20,"TR.RevenueMean","Period=FY1 Frq=D SDate=1D Curn=#1",,$C$1)/1000000)</f>
        <v>#VALUE!</v>
      </c>
      <c r="E20" s="85" t="e" cm="1" vm="1">
        <f t="array" aca="1" ref="E20" ca="1">IF($B20="","",_xll.RDP.Data($B20,"TR.RevenueMean","Period=FY2 Frq=D SDate=1D Curn=#1",,$C$1)/1000000)</f>
        <v>#VALUE!</v>
      </c>
      <c r="F20" s="93" t="e" cm="1" vm="1">
        <f t="array" aca="1" ref="F20" ca="1">IF($B20="","",_xll.RDP.Data($B20,"TR.RevenueMean","Period=FY3 Frq=D SDate=1D Curn=#1",,$C$1)/1000000)</f>
        <v>#VALUE!</v>
      </c>
      <c r="G20" s="87" t="e" vm="1">
        <f ca="1">IF($B20="","",_xll.RDP.Data($B20,"TR.EPSMean","Period=FY0 Frq=D SDate=1D Curn=#1",,$C$1))</f>
        <v>#VALUE!</v>
      </c>
      <c r="H20" s="87" t="e" vm="1">
        <f ca="1">IF($B20="","",_xll.RDP.Data($B20,"TR.EPSMean","Period=FY1 Frq=D SDate=1D Curn=#1",,$C$1))</f>
        <v>#VALUE!</v>
      </c>
      <c r="I20" s="87" t="e" vm="1">
        <f ca="1">IF($B20="","",_xll.RDP.Data($B20,"TR.EPSMean","Period=FY2 Frq=D SDate=1D Curn=#1",,$C$1))</f>
        <v>#VALUE!</v>
      </c>
      <c r="J20" s="88" t="e" vm="1">
        <f ca="1">IF($B20="","",_xll.RDP.Data($B20,"TR.EPSMean","Period=FY3 Frq=D SDate=1D Curn=#1",,$C$1))</f>
        <v>#VALUE!</v>
      </c>
      <c r="K20" s="89" t="e" cm="1" vm="1">
        <f t="array" aca="1" ref="K20" ca="1">IF($B20="","",_xll.RDP.Data($B20,"TR.EBITMean","Period=FY0 Frq=D SDate=1D Curn=#1",,$C$1)/1000000)</f>
        <v>#VALUE!</v>
      </c>
      <c r="L20" s="89" t="e" cm="1" vm="1">
        <f t="array" aca="1" ref="L20" ca="1">IF($B20="","",_xll.RDP.Data($B20,"TR.EBITMean","Period=FY1 Frq=D SDate=1D Curn=#1",,$C$1)/1000000)</f>
        <v>#VALUE!</v>
      </c>
      <c r="M20" s="90" t="e" cm="1" vm="1">
        <f t="array" aca="1" ref="M20" ca="1">IF($B20="","",_xll.RDP.Data($B20,"TR.EBITMean","Period=FY2 Frq=D SDate=1D Curn=#1",,$C$1)/1000000)</f>
        <v>#VALUE!</v>
      </c>
      <c r="N20" s="91" t="e" cm="1" vm="1">
        <f t="array" aca="1" ref="N20" ca="1">IF($B20="","",_xll.RDP.Data($B20,"TR.EBITDAMean","Period=FY0 Frq=D SDate=1D Curn=#1",,$C$1)/1000000)</f>
        <v>#VALUE!</v>
      </c>
      <c r="O20" s="89" t="e" cm="1" vm="1">
        <f t="array" aca="1" ref="O20" ca="1">IF($B20="","",_xll.RDP.Data($B20,"TR.EBITDAMean","Period=FY1 Frq=D SDate=1D Curn=#1",,$C$1)/1000000)</f>
        <v>#VALUE!</v>
      </c>
      <c r="P20" s="90" t="e" cm="1" vm="1">
        <f t="array" aca="1" ref="P20" ca="1">IF($B20="","",_xll.RDP.Data($B20,"TR.EBITDAMean","Period=FY2 Frq=D SDate=1D Curn=#1",,$C$1)/1000000)</f>
        <v>#VALUE!</v>
      </c>
      <c r="Q20" s="92" t="e" cm="1" vm="1">
        <f t="array" aca="1" ref="Q20" ca="1">IF($B20="","",_xll.RDP.Data($B20,"TR.LTGMean",,)/100)</f>
        <v>#VALUE!</v>
      </c>
    </row>
    <row r="21" spans="1:18">
      <c r="A21" s="83" t="e" vm="1">
        <f t="shared" ca="1" si="2"/>
        <v>#VALUE!</v>
      </c>
      <c r="B21" s="84" t="str">
        <f t="shared" si="3"/>
        <v>MDLZ.O</v>
      </c>
      <c r="C21" s="85" t="e" cm="1" vm="1">
        <f t="array" aca="1" ref="C21" ca="1">IF($B21="","",_xll.RDP.Data($B21,"TR.Revenue","Curn=#1",,$C$1)/1000000)</f>
        <v>#VALUE!</v>
      </c>
      <c r="D21" s="85" t="e" cm="1" vm="1">
        <f t="array" aca="1" ref="D21" ca="1">IF($B21="","",_xll.RDP.Data($B21,"TR.RevenueMean","Period=FY1 Frq=D SDate=1D Curn=#1",,$C$1)/1000000)</f>
        <v>#VALUE!</v>
      </c>
      <c r="E21" s="85" t="e" cm="1" vm="1">
        <f t="array" aca="1" ref="E21" ca="1">IF($B21="","",_xll.RDP.Data($B21,"TR.RevenueMean","Period=FY2 Frq=D SDate=1D Curn=#1",,$C$1)/1000000)</f>
        <v>#VALUE!</v>
      </c>
      <c r="F21" s="93" t="e" cm="1" vm="1">
        <f t="array" aca="1" ref="F21" ca="1">IF($B21="","",_xll.RDP.Data($B21,"TR.RevenueMean","Period=FY3 Frq=D SDate=1D Curn=#1",,$C$1)/1000000)</f>
        <v>#VALUE!</v>
      </c>
      <c r="G21" s="87" t="e" vm="1">
        <f ca="1">IF($B21="","",_xll.RDP.Data($B21,"TR.EPSMean","Period=FY0 Frq=D SDate=1D Curn=#1",,$C$1))</f>
        <v>#VALUE!</v>
      </c>
      <c r="H21" s="87" t="e" vm="1">
        <f ca="1">IF($B21="","",_xll.RDP.Data($B21,"TR.EPSMean","Period=FY1 Frq=D SDate=1D Curn=#1",,$C$1))</f>
        <v>#VALUE!</v>
      </c>
      <c r="I21" s="87" t="e" vm="1">
        <f ca="1">IF($B21="","",_xll.RDP.Data($B21,"TR.EPSMean","Period=FY2 Frq=D SDate=1D Curn=#1",,$C$1))</f>
        <v>#VALUE!</v>
      </c>
      <c r="J21" s="88" t="e" vm="1">
        <f ca="1">IF($B21="","",_xll.RDP.Data($B21,"TR.EPSMean","Period=FY3 Frq=D SDate=1D Curn=#1",,$C$1))</f>
        <v>#VALUE!</v>
      </c>
      <c r="K21" s="89" t="e" cm="1" vm="1">
        <f t="array" aca="1" ref="K21" ca="1">IF($B21="","",_xll.RDP.Data($B21,"TR.EBITMean","Period=FY0 Frq=D SDate=1D Curn=#1",,$C$1)/1000000)</f>
        <v>#VALUE!</v>
      </c>
      <c r="L21" s="89" t="e" cm="1" vm="1">
        <f t="array" aca="1" ref="L21" ca="1">IF($B21="","",_xll.RDP.Data($B21,"TR.EBITMean","Period=FY1 Frq=D SDate=1D Curn=#1",,$C$1)/1000000)</f>
        <v>#VALUE!</v>
      </c>
      <c r="M21" s="90" t="e" cm="1" vm="1">
        <f t="array" aca="1" ref="M21" ca="1">IF($B21="","",_xll.RDP.Data($B21,"TR.EBITMean","Period=FY2 Frq=D SDate=1D Curn=#1",,$C$1)/1000000)</f>
        <v>#VALUE!</v>
      </c>
      <c r="N21" s="91" t="e" cm="1" vm="1">
        <f t="array" aca="1" ref="N21" ca="1">IF($B21="","",_xll.RDP.Data($B21,"TR.EBITDAMean","Period=FY0 Frq=D SDate=1D Curn=#1",,$C$1)/1000000)</f>
        <v>#VALUE!</v>
      </c>
      <c r="O21" s="89" t="e" cm="1" vm="1">
        <f t="array" aca="1" ref="O21" ca="1">IF($B21="","",_xll.RDP.Data($B21,"TR.EBITDAMean","Period=FY1 Frq=D SDate=1D Curn=#1",,$C$1)/1000000)</f>
        <v>#VALUE!</v>
      </c>
      <c r="P21" s="90" t="e" cm="1" vm="1">
        <f t="array" aca="1" ref="P21" ca="1">IF($B21="","",_xll.RDP.Data($B21,"TR.EBITDAMean","Period=FY2 Frq=D SDate=1D Curn=#1",,$C$1)/1000000)</f>
        <v>#VALUE!</v>
      </c>
      <c r="Q21" s="92" t="e" cm="1" vm="1">
        <f t="array" aca="1" ref="Q21" ca="1">IF($B21="","",_xll.RDP.Data($B21,"TR.LTGMean",,)/100)</f>
        <v>#VALUE!</v>
      </c>
    </row>
    <row r="22" spans="1:18">
      <c r="A22" s="83" t="e" vm="1">
        <f t="shared" ca="1" si="2"/>
        <v>#VALUE!</v>
      </c>
      <c r="B22" s="84" t="str">
        <f t="shared" si="3"/>
        <v>PEP.O</v>
      </c>
      <c r="C22" s="94" t="e" cm="1" vm="1">
        <f t="array" aca="1" ref="C22" ca="1">IF($B22="","",_xll.RDP.Data($B22,"TR.Revenue","Curn=#1",,$C$1)/1000000)</f>
        <v>#VALUE!</v>
      </c>
      <c r="D22" s="85" t="e" cm="1" vm="1">
        <f t="array" aca="1" ref="D22" ca="1">IF($B22="","",_xll.RDP.Data($B22,"TR.RevenueMean","Period=FY1 Frq=D SDate=1D Curn=#1",,$C$1)/1000000)</f>
        <v>#VALUE!</v>
      </c>
      <c r="E22" s="85" t="e" cm="1" vm="1">
        <f t="array" aca="1" ref="E22" ca="1">IF($B22="","",_xll.RDP.Data($B22,"TR.RevenueMean","Period=FY2 Frq=D SDate=1D Curn=#1",,$C$1)/1000000)</f>
        <v>#VALUE!</v>
      </c>
      <c r="F22" s="93" t="e" cm="1" vm="1">
        <f t="array" aca="1" ref="F22" ca="1">IF($B22="","",_xll.RDP.Data($B22,"TR.RevenueMean","Period=FY3 Frq=D SDate=1D Curn=#1",,$C$1)/1000000)</f>
        <v>#VALUE!</v>
      </c>
      <c r="G22" s="95" t="e" vm="1">
        <f ca="1">IF($B22="","",_xll.RDP.Data($B22,"TR.EPSMean","Period=FY0 Frq=D SDate=1D Curn=#1",,$C$1))</f>
        <v>#VALUE!</v>
      </c>
      <c r="H22" s="87" t="e" vm="1">
        <f ca="1">IF($B22="","",_xll.RDP.Data($B22,"TR.EPSMean","Period=FY1 Frq=D SDate=1D Curn=#1",,$C$1))</f>
        <v>#VALUE!</v>
      </c>
      <c r="I22" s="87" t="e" vm="1">
        <f ca="1">IF($B22="","",_xll.RDP.Data($B22,"TR.EPSMean","Period=FY2 Frq=D SDate=1D Curn=#1",,$C$1))</f>
        <v>#VALUE!</v>
      </c>
      <c r="J22" s="88" t="e" vm="1">
        <f ca="1">IF($B22="","",_xll.RDP.Data($B22,"TR.EPSMean","Period=FY3 Frq=D SDate=1D Curn=#1",,$C$1))</f>
        <v>#VALUE!</v>
      </c>
      <c r="K22" s="89" t="e" cm="1" vm="1">
        <f t="array" aca="1" ref="K22" ca="1">IF($B22="","",_xll.RDP.Data($B22,"TR.EBITMean","Period=FY0 Frq=D SDate=1D Curn=#1",,$C$1)/1000000)</f>
        <v>#VALUE!</v>
      </c>
      <c r="L22" s="89" t="e" cm="1" vm="1">
        <f t="array" aca="1" ref="L22" ca="1">IF($B22="","",_xll.RDP.Data($B22,"TR.EBITMean","Period=FY1 Frq=D SDate=1D Curn=#1",,$C$1)/1000000)</f>
        <v>#VALUE!</v>
      </c>
      <c r="M22" s="90" t="e" cm="1" vm="1">
        <f t="array" aca="1" ref="M22" ca="1">IF($B22="","",_xll.RDP.Data($B22,"TR.EBITMean","Period=FY2 Frq=D SDate=1D Curn=#1",,$C$1)/1000000)</f>
        <v>#VALUE!</v>
      </c>
      <c r="N22" s="94" t="e" cm="1" vm="1">
        <f t="array" aca="1" ref="N22" ca="1">IF($B22="","",_xll.RDP.Data($B22,"TR.EBITDAMean","Period=FY0 Frq=D SDate=1D Curn=#1",,$C$1)/1000000)</f>
        <v>#VALUE!</v>
      </c>
      <c r="O22" s="85" t="e" cm="1" vm="1">
        <f t="array" aca="1" ref="O22" ca="1">IF($B22="","",_xll.RDP.Data($B22,"TR.EBITDAMean","Period=FY1 Frq=D SDate=1D Curn=#1",,$C$1)/1000000)</f>
        <v>#VALUE!</v>
      </c>
      <c r="P22" s="93" t="e" cm="1" vm="1">
        <f t="array" aca="1" ref="P22" ca="1">IF($B22="","",_xll.RDP.Data($B22,"TR.EBITDAMean","Period=FY2 Frq=D SDate=1D Curn=#1",,$C$1)/1000000)</f>
        <v>#VALUE!</v>
      </c>
      <c r="Q22" s="92" t="e" cm="1" vm="1">
        <f t="array" aca="1" ref="Q22" ca="1">IF($B22="","",_xll.RDP.Data($B22,"TR.LTGMean",,)/100)</f>
        <v>#VALUE!</v>
      </c>
    </row>
    <row r="23" spans="1:18">
      <c r="A23" s="83" t="e" vm="1">
        <f t="shared" ca="1" si="2"/>
        <v>#VALUE!</v>
      </c>
      <c r="B23" s="84" t="str">
        <f t="shared" si="3"/>
        <v>KO</v>
      </c>
      <c r="C23" s="94" t="e" cm="1" vm="1">
        <f t="array" aca="1" ref="C23" ca="1">IF($B23="","",_xll.RDP.Data($B23,"TR.Revenue","Curn=#1",,$C$1)/1000000)</f>
        <v>#VALUE!</v>
      </c>
      <c r="D23" s="85" t="e" cm="1" vm="1">
        <f t="array" aca="1" ref="D23" ca="1">IF($B23="","",_xll.RDP.Data($B23,"TR.RevenueMean","Period=FY1 Frq=D SDate=1D Curn=#1",,$C$1)/1000000)</f>
        <v>#VALUE!</v>
      </c>
      <c r="E23" s="85" t="e" cm="1" vm="1">
        <f t="array" aca="1" ref="E23" ca="1">IF($B23="","",_xll.RDP.Data($B23,"TR.RevenueMean","Period=FY2 Frq=D SDate=1D Curn=#1",,$C$1)/1000000)</f>
        <v>#VALUE!</v>
      </c>
      <c r="F23" s="93" t="e" cm="1" vm="1">
        <f t="array" aca="1" ref="F23" ca="1">IF($B23="","",_xll.RDP.Data($B23,"TR.RevenueMean","Period=FY3 Frq=D SDate=1D Curn=#1",,$C$1)/1000000)</f>
        <v>#VALUE!</v>
      </c>
      <c r="G23" s="95" t="e" vm="1">
        <f ca="1">IF($B23="","",_xll.RDP.Data($B23,"TR.EPSMean","Period=FY0 Frq=D SDate=1D Curn=#1",,$C$1))</f>
        <v>#VALUE!</v>
      </c>
      <c r="H23" s="87" t="e" vm="1">
        <f ca="1">IF($B23="","",_xll.RDP.Data($B23,"TR.EPSMean","Period=FY1 Frq=D SDate=1D Curn=#1",,$C$1))</f>
        <v>#VALUE!</v>
      </c>
      <c r="I23" s="87" t="e" vm="1">
        <f ca="1">IF($B23="","",_xll.RDP.Data($B23,"TR.EPSMean","Period=FY2 Frq=D SDate=1D Curn=#1",,$C$1))</f>
        <v>#VALUE!</v>
      </c>
      <c r="J23" s="88" t="e" vm="1">
        <f ca="1">IF($B23="","",_xll.RDP.Data($B23,"TR.EPSMean","Period=FY3 Frq=D SDate=1D Curn=#1",,$C$1))</f>
        <v>#VALUE!</v>
      </c>
      <c r="K23" s="85" t="e" cm="1" vm="1">
        <f t="array" aca="1" ref="K23" ca="1">IF($B23="","",_xll.RDP.Data($B23,"TR.EBITMean","Period=FY0 Frq=D SDate=1D Curn=#1",,$C$1)/1000000)</f>
        <v>#VALUE!</v>
      </c>
      <c r="L23" s="85" t="e" cm="1" vm="1">
        <f t="array" aca="1" ref="L23" ca="1">IF($B23="","",_xll.RDP.Data($B23,"TR.EBITMean","Period=FY1 Frq=D SDate=1D Curn=#1",,$C$1)/1000000)</f>
        <v>#VALUE!</v>
      </c>
      <c r="M23" s="93" t="e" cm="1" vm="1">
        <f t="array" aca="1" ref="M23" ca="1">IF($B23="","",_xll.RDP.Data($B23,"TR.EBITMean","Period=FY2 Frq=D SDate=1D Curn=#1",,$C$1)/1000000)</f>
        <v>#VALUE!</v>
      </c>
      <c r="N23" s="94" t="e" cm="1" vm="1">
        <f t="array" aca="1" ref="N23" ca="1">IF($B23="","",_xll.RDP.Data($B23,"TR.EBITDAMean","Period=FY0 Frq=D SDate=1D Curn=#1",,$C$1)/1000000)</f>
        <v>#VALUE!</v>
      </c>
      <c r="O23" s="85" t="e" cm="1" vm="1">
        <f t="array" aca="1" ref="O23" ca="1">IF($B23="","",_xll.RDP.Data($B23,"TR.EBITDAMean","Period=FY1 Frq=D SDate=1D Curn=#1",,$C$1)/1000000)</f>
        <v>#VALUE!</v>
      </c>
      <c r="P23" s="93" t="e" cm="1" vm="1">
        <f t="array" aca="1" ref="P23" ca="1">IF($B23="","",_xll.RDP.Data($B23,"TR.EBITDAMean","Period=FY2 Frq=D SDate=1D Curn=#1",,$C$1)/1000000)</f>
        <v>#VALUE!</v>
      </c>
      <c r="Q23" s="92" t="e" cm="1" vm="1">
        <f t="array" aca="1" ref="Q23" ca="1">IF($B23="","",_xll.RDP.Data($B23,"TR.LTGMean",,)/100)</f>
        <v>#VALUE!</v>
      </c>
      <c r="R23" s="96"/>
    </row>
    <row r="24" spans="1:18">
      <c r="A24" s="83" t="e" vm="1">
        <f t="shared" ca="1" si="2"/>
        <v>#VALUE!</v>
      </c>
      <c r="B24" s="84" t="str">
        <f t="shared" si="3"/>
        <v>ACI</v>
      </c>
      <c r="C24" s="94" t="e" cm="1" vm="1">
        <f t="array" aca="1" ref="C24" ca="1">IF($B24="","",_xll.RDP.Data($B24,"TR.Revenue","Curn=#1",,$C$1)/1000000)</f>
        <v>#VALUE!</v>
      </c>
      <c r="D24" s="85" t="e" cm="1" vm="1">
        <f t="array" aca="1" ref="D24" ca="1">IF($B24="","",_xll.RDP.Data($B24,"TR.RevenueMean","Period=FY1 Frq=D SDate=1D Curn=#1",,$C$1)/1000000)</f>
        <v>#VALUE!</v>
      </c>
      <c r="E24" s="85" t="e" cm="1" vm="1">
        <f t="array" aca="1" ref="E24" ca="1">IF($B24="","",_xll.RDP.Data($B24,"TR.RevenueMean","Period=FY2 Frq=D SDate=1D Curn=#1",,$C$1)/1000000)</f>
        <v>#VALUE!</v>
      </c>
      <c r="F24" s="93" t="e" cm="1" vm="1">
        <f t="array" aca="1" ref="F24" ca="1">IF($B24="","",_xll.RDP.Data($B24,"TR.RevenueMean","Period=FY3 Frq=D SDate=1D Curn=#1",,$C$1)/1000000)</f>
        <v>#VALUE!</v>
      </c>
      <c r="G24" s="95" t="e" vm="1">
        <f ca="1">IF($B24="","",_xll.RDP.Data($B24,"TR.EPSMean","Period=FY0 Frq=D SDate=1D Curn=#1",,$C$1))</f>
        <v>#VALUE!</v>
      </c>
      <c r="H24" s="87" t="e" vm="1">
        <f ca="1">IF($B24="","",_xll.RDP.Data($B24,"TR.EPSMean","Period=FY1 Frq=D SDate=1D Curn=#1",,$C$1))</f>
        <v>#VALUE!</v>
      </c>
      <c r="I24" s="87" t="e" vm="1">
        <f ca="1">IF($B24="","",_xll.RDP.Data($B24,"TR.EPSMean","Period=FY2 Frq=D SDate=1D Curn=#1",,$C$1))</f>
        <v>#VALUE!</v>
      </c>
      <c r="J24" s="88" t="e" vm="1">
        <f ca="1">IF($B24="","",_xll.RDP.Data($B24,"TR.EPSMean","Period=FY3 Frq=D SDate=1D Curn=#1",,$C$1))</f>
        <v>#VALUE!</v>
      </c>
      <c r="K24" s="85" t="e" cm="1" vm="1">
        <f t="array" aca="1" ref="K24" ca="1">IF($B24="","",_xll.RDP.Data($B24,"TR.EBITMean","Period=FY0 Frq=D SDate=1D Curn=#1",,$C$1)/1000000)</f>
        <v>#VALUE!</v>
      </c>
      <c r="L24" s="85" t="e" cm="1" vm="1">
        <f t="array" aca="1" ref="L24" ca="1">IF($B24="","",_xll.RDP.Data($B24,"TR.EBITMean","Period=FY1 Frq=D SDate=1D Curn=#1",,$C$1)/1000000)</f>
        <v>#VALUE!</v>
      </c>
      <c r="M24" s="93" t="e" cm="1" vm="1">
        <f t="array" aca="1" ref="M24" ca="1">IF($B24="","",_xll.RDP.Data($B24,"TR.EBITMean","Period=FY2 Frq=D SDate=1D Curn=#1",,$C$1)/1000000)</f>
        <v>#VALUE!</v>
      </c>
      <c r="N24" s="94" t="e" cm="1" vm="1">
        <f t="array" aca="1" ref="N24" ca="1">IF($B24="","",_xll.RDP.Data($B24,"TR.EBITDAMean","Period=FY0 Frq=D SDate=1D Curn=#1",,$C$1)/1000000)</f>
        <v>#VALUE!</v>
      </c>
      <c r="O24" s="85" t="e" cm="1" vm="1">
        <f t="array" aca="1" ref="O24" ca="1">IF($B24="","",_xll.RDP.Data($B24,"TR.EBITDAMean","Period=FY1 Frq=D SDate=1D Curn=#1",,$C$1)/1000000)</f>
        <v>#VALUE!</v>
      </c>
      <c r="P24" s="93" t="e" cm="1" vm="1">
        <f t="array" aca="1" ref="P24" ca="1">IF($B24="","",_xll.RDP.Data($B24,"TR.EBITDAMean","Period=FY2 Frq=D SDate=1D Curn=#1",,$C$1)/1000000)</f>
        <v>#VALUE!</v>
      </c>
      <c r="Q24" s="92" t="e" cm="1" vm="1">
        <f t="array" aca="1" ref="Q24" ca="1">IF($B24="","",_xll.RDP.Data($B24,"TR.LTGMean",,)/100)</f>
        <v>#VALUE!</v>
      </c>
    </row>
    <row r="25" spans="1:18">
      <c r="A25" s="97" t="e" vm="1">
        <f t="shared" ca="1" si="2"/>
        <v>#VALUE!</v>
      </c>
      <c r="B25" s="98" t="str">
        <f t="shared" si="3"/>
        <v>KR</v>
      </c>
      <c r="C25" s="98" t="e" cm="1" vm="1">
        <f t="array" aca="1" ref="C25" ca="1">IF($B25="","",_xll.RDP.Data($B25,"TR.Revenue","Curn=#1",,$C$1)/1000000)</f>
        <v>#VALUE!</v>
      </c>
      <c r="D25" s="99" t="e" cm="1" vm="1">
        <f t="array" aca="1" ref="D25" ca="1">IF($B25="","",_xll.RDP.Data($B25,"TR.RevenueMean","Period=FY1 Frq=D SDate=1D Curn=#1",,$C$1)/1000000)</f>
        <v>#VALUE!</v>
      </c>
      <c r="E25" s="99" t="e" cm="1" vm="1">
        <f t="array" aca="1" ref="E25" ca="1">IF($B25="","",_xll.RDP.Data($B25,"TR.RevenueMean","Period=FY2 Frq=D SDate=1D Curn=#1",,$C$1)/1000000)</f>
        <v>#VALUE!</v>
      </c>
      <c r="F25" s="100" t="e" cm="1" vm="1">
        <f t="array" aca="1" ref="F25" ca="1">IF($B25="","",_xll.RDP.Data($B25,"TR.RevenueMean","Period=FY3 Frq=D SDate=1D Curn=#1",,$C$1)/1000000)</f>
        <v>#VALUE!</v>
      </c>
      <c r="G25" s="101" t="e" vm="1">
        <f ca="1">IF($B25="","",_xll.RDP.Data($B25,"TR.EPSMean","Period=FY0 Frq=D SDate=1D Curn=#1",,$C$1))</f>
        <v>#VALUE!</v>
      </c>
      <c r="H25" s="102" t="e" vm="1">
        <f ca="1">IF($B25="","",_xll.RDP.Data($B25,"TR.EPSMean","Period=FY1 Frq=D SDate=1D Curn=#1",,$C$1))</f>
        <v>#VALUE!</v>
      </c>
      <c r="I25" s="102" t="e" vm="1">
        <f ca="1">IF($B25="","",_xll.RDP.Data($B25,"TR.EPSMean","Period=FY2 Frq=D SDate=1D Curn=#1",,$C$1))</f>
        <v>#VALUE!</v>
      </c>
      <c r="J25" s="103" t="e" vm="1">
        <f ca="1">IF($B25="","",_xll.RDP.Data($B25,"TR.EPSMean","Period=FY3 Frq=D SDate=1D Curn=#1",,$C$1))</f>
        <v>#VALUE!</v>
      </c>
      <c r="K25" s="99" t="e" cm="1" vm="1">
        <f t="array" aca="1" ref="K25" ca="1">IF($B25="","",_xll.RDP.Data($B25,"TR.EBITMean","Period=FY0 Frq=D SDate=1D Curn=#1",,$C$1)/1000000)</f>
        <v>#VALUE!</v>
      </c>
      <c r="L25" s="99" t="e" cm="1" vm="1">
        <f t="array" aca="1" ref="L25" ca="1">IF($B25="","",_xll.RDP.Data($B25,"TR.EBITMean","Period=FY1 Frq=D SDate=1D Curn=#1",,$C$1)/1000000)</f>
        <v>#VALUE!</v>
      </c>
      <c r="M25" s="100" t="e" cm="1" vm="1">
        <f t="array" aca="1" ref="M25" ca="1">IF($B25="","",_xll.RDP.Data($B25,"TR.EBITMean","Period=FY2 Frq=D SDate=1D Curn=#1",,$C$1)/1000000)</f>
        <v>#VALUE!</v>
      </c>
      <c r="N25" s="98" t="e" cm="1" vm="1">
        <f t="array" aca="1" ref="N25" ca="1">IF($B25="","",_xll.RDP.Data($B25,"TR.EBITDAMean","Period=FY0 Frq=D SDate=1D Curn=#1",,$C$1)/1000000)</f>
        <v>#VALUE!</v>
      </c>
      <c r="O25" s="99" t="e" cm="1" vm="1">
        <f t="array" aca="1" ref="O25" ca="1">IF($B25="","",_xll.RDP.Data($B25,"TR.EBITDAMean","Period=FY1 Frq=D SDate=1D Curn=#1",,$C$1)/1000000)</f>
        <v>#VALUE!</v>
      </c>
      <c r="P25" s="100" t="e" cm="1" vm="1">
        <f t="array" aca="1" ref="P25" ca="1">IF($B25="","",_xll.RDP.Data($B25,"TR.EBITDAMean","Period=FY2 Frq=D SDate=1D Curn=#1",,$C$1)/1000000)</f>
        <v>#VALUE!</v>
      </c>
      <c r="Q25" s="104" t="e" cm="1" vm="1">
        <f t="array" aca="1" ref="Q25" ca="1">IF($B25="","",_xll.RDP.Data($B25,"TR.LTGMean",,)/100)</f>
        <v>#VALUE!</v>
      </c>
    </row>
    <row r="27" spans="1:18" ht="16">
      <c r="A27" s="39" t="s">
        <v>299</v>
      </c>
      <c r="B27" s="75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76"/>
      <c r="Q27" s="41"/>
    </row>
    <row r="28" spans="1:18">
      <c r="A28" s="42"/>
      <c r="B28" s="47"/>
      <c r="C28" s="47" t="s">
        <v>272</v>
      </c>
      <c r="D28" s="47" t="s">
        <v>300</v>
      </c>
      <c r="E28" s="77" t="s">
        <v>301</v>
      </c>
      <c r="F28" s="105"/>
      <c r="G28" s="106"/>
      <c r="H28" s="77" t="s">
        <v>302</v>
      </c>
      <c r="I28" s="105"/>
      <c r="J28" s="106"/>
      <c r="K28" s="77" t="s">
        <v>303</v>
      </c>
      <c r="L28" s="105"/>
      <c r="M28" s="106"/>
      <c r="N28" s="77" t="s">
        <v>329</v>
      </c>
      <c r="O28" s="105"/>
      <c r="P28" s="106"/>
    </row>
    <row r="29" spans="1:18">
      <c r="A29" s="48" t="s">
        <v>279</v>
      </c>
      <c r="B29" s="48" t="s">
        <v>280</v>
      </c>
      <c r="C29" s="48" t="s">
        <v>138</v>
      </c>
      <c r="D29" s="48" t="s">
        <v>277</v>
      </c>
      <c r="E29" s="80" t="s">
        <v>295</v>
      </c>
      <c r="F29" s="81" t="s">
        <v>296</v>
      </c>
      <c r="G29" s="82" t="s">
        <v>297</v>
      </c>
      <c r="H29" s="80" t="s">
        <v>295</v>
      </c>
      <c r="I29" s="81" t="s">
        <v>296</v>
      </c>
      <c r="J29" s="82" t="s">
        <v>297</v>
      </c>
      <c r="K29" s="80" t="s">
        <v>295</v>
      </c>
      <c r="L29" s="81" t="s">
        <v>296</v>
      </c>
      <c r="M29" s="82" t="s">
        <v>297</v>
      </c>
      <c r="N29" s="80" t="s">
        <v>294</v>
      </c>
      <c r="O29" s="81" t="s">
        <v>295</v>
      </c>
      <c r="P29" s="82" t="s">
        <v>296</v>
      </c>
    </row>
    <row r="30" spans="1:18">
      <c r="A30" s="83" t="e" vm="1">
        <f t="shared" ref="A30:A37" ca="1" si="4">A6</f>
        <v>#VALUE!</v>
      </c>
      <c r="B30" s="107" t="str">
        <f t="shared" ref="B30:C37" si="5">IF(B6="","",B6)</f>
        <v>KMB</v>
      </c>
      <c r="C30" s="108" t="e" vm="1">
        <f t="shared" ca="1" si="5"/>
        <v>#VALUE!</v>
      </c>
      <c r="D30" s="109" t="e" vm="1">
        <f t="shared" ref="D30:D37" ca="1" si="6">IF(OR(B30="",ISNUMBER(F6)=FALSE,ISNUMBER(J6)=FALSE),"",F6/J6)</f>
        <v>#VALUE!</v>
      </c>
      <c r="E30" s="109" t="e" vm="1">
        <f t="shared" ref="E30:G37" ca="1" si="7">IF(OR($B30="",ISNUMBER($F6)=FALSE,ISNUMBER(D18)=FALSE),"",$F6/D18)</f>
        <v>#VALUE!</v>
      </c>
      <c r="F30" s="110" t="e" vm="1">
        <f t="shared" ca="1" si="7"/>
        <v>#VALUE!</v>
      </c>
      <c r="G30" s="111" t="e" vm="1">
        <f t="shared" ca="1" si="7"/>
        <v>#VALUE!</v>
      </c>
      <c r="H30" s="112" t="e" vm="1">
        <f t="shared" ref="H30:J37" ca="1" si="8">IF(OR($B30="",ISNA(H18)=TRUE),"",$C6/H18)</f>
        <v>#VALUE!</v>
      </c>
      <c r="I30" s="113" t="e" vm="1">
        <f t="shared" ca="1" si="8"/>
        <v>#VALUE!</v>
      </c>
      <c r="J30" s="114" t="e" vm="1">
        <f t="shared" ca="1" si="8"/>
        <v>#VALUE!</v>
      </c>
      <c r="K30" s="112" t="e" vm="1">
        <f t="shared" ref="K30:M30" ca="1" si="9">IF(OR($B30="",H30="",ISNA($Q18)=TRUE),"",H30/$Q18/100)</f>
        <v>#VALUE!</v>
      </c>
      <c r="L30" s="113" t="e" vm="1">
        <f t="shared" ca="1" si="9"/>
        <v>#VALUE!</v>
      </c>
      <c r="M30" s="114" t="e" vm="1">
        <f t="shared" ca="1" si="9"/>
        <v>#VALUE!</v>
      </c>
      <c r="N30" s="113" t="e" vm="1">
        <f t="shared" ref="N30:P37" ca="1" si="10">IF(OR($B30="",ISNA($I6)=TRUE,ISNA(N18)=TRUE),"",$I6/N18)</f>
        <v>#VALUE!</v>
      </c>
      <c r="O30" s="113" t="e" vm="1">
        <f t="shared" ca="1" si="10"/>
        <v>#VALUE!</v>
      </c>
      <c r="P30" s="114" t="e" vm="1">
        <f t="shared" ca="1" si="10"/>
        <v>#VALUE!</v>
      </c>
    </row>
    <row r="31" spans="1:18">
      <c r="A31" s="83" t="e" vm="1">
        <f t="shared" ca="1" si="4"/>
        <v>#VALUE!</v>
      </c>
      <c r="B31" s="107" t="str">
        <f t="shared" si="5"/>
        <v>PG</v>
      </c>
      <c r="C31" s="108" t="e" vm="1">
        <f t="shared" ca="1" si="5"/>
        <v>#VALUE!</v>
      </c>
      <c r="D31" s="109" t="e" vm="1">
        <f t="shared" ca="1" si="6"/>
        <v>#VALUE!</v>
      </c>
      <c r="E31" s="109" t="e" vm="1">
        <f t="shared" ca="1" si="7"/>
        <v>#VALUE!</v>
      </c>
      <c r="F31" s="110" t="e" vm="1">
        <f t="shared" ca="1" si="7"/>
        <v>#VALUE!</v>
      </c>
      <c r="G31" s="111" t="e" vm="1">
        <f t="shared" ca="1" si="7"/>
        <v>#VALUE!</v>
      </c>
      <c r="H31" s="112" t="e" vm="1">
        <f t="shared" ca="1" si="8"/>
        <v>#VALUE!</v>
      </c>
      <c r="I31" s="113" t="e" vm="1">
        <f t="shared" ca="1" si="8"/>
        <v>#VALUE!</v>
      </c>
      <c r="J31" s="114" t="e" vm="1">
        <f t="shared" ca="1" si="8"/>
        <v>#VALUE!</v>
      </c>
      <c r="K31" s="112"/>
      <c r="L31" s="113"/>
      <c r="M31" s="114"/>
      <c r="N31" s="113" t="e" vm="1">
        <f t="shared" ca="1" si="10"/>
        <v>#VALUE!</v>
      </c>
      <c r="O31" s="113" t="e" vm="1">
        <f t="shared" ca="1" si="10"/>
        <v>#VALUE!</v>
      </c>
      <c r="P31" s="114" t="e" vm="1">
        <f t="shared" ca="1" si="10"/>
        <v>#VALUE!</v>
      </c>
    </row>
    <row r="32" spans="1:18">
      <c r="A32" s="83" t="e" vm="1">
        <f t="shared" ca="1" si="4"/>
        <v>#VALUE!</v>
      </c>
      <c r="B32" s="107" t="str">
        <f t="shared" si="5"/>
        <v>HSY</v>
      </c>
      <c r="C32" s="108" t="e" vm="1">
        <f t="shared" ca="1" si="5"/>
        <v>#VALUE!</v>
      </c>
      <c r="D32" s="109" t="e" vm="1">
        <f t="shared" ca="1" si="6"/>
        <v>#VALUE!</v>
      </c>
      <c r="E32" s="109" t="e" vm="1">
        <f t="shared" ca="1" si="7"/>
        <v>#VALUE!</v>
      </c>
      <c r="F32" s="110" t="e" vm="1">
        <f t="shared" ca="1" si="7"/>
        <v>#VALUE!</v>
      </c>
      <c r="G32" s="111" t="e" vm="1">
        <f t="shared" ca="1" si="7"/>
        <v>#VALUE!</v>
      </c>
      <c r="H32" s="112" t="e" vm="1">
        <f t="shared" ca="1" si="8"/>
        <v>#VALUE!</v>
      </c>
      <c r="I32" s="113" t="e" vm="1">
        <f t="shared" ca="1" si="8"/>
        <v>#VALUE!</v>
      </c>
      <c r="J32" s="114" t="e" vm="1">
        <f t="shared" ca="1" si="8"/>
        <v>#VALUE!</v>
      </c>
      <c r="K32" s="112" t="e" vm="1">
        <f t="shared" ref="K32" ca="1" si="11">IF(OR($B32="",H32="",ISNA($Q20)=TRUE),"",H32/$Q20/100)</f>
        <v>#VALUE!</v>
      </c>
      <c r="L32" s="113" t="e" vm="1">
        <f t="shared" ref="L32" ca="1" si="12">IF(OR($B32="",I32="",ISNA($Q20)=TRUE),"",I32/$Q20/100)</f>
        <v>#VALUE!</v>
      </c>
      <c r="M32" s="114" t="e" vm="1">
        <f t="shared" ref="M32" ca="1" si="13">IF(OR($B32="",J32="",ISNA($Q20)=TRUE),"",J32/$Q20/100)</f>
        <v>#VALUE!</v>
      </c>
      <c r="N32" s="113" t="e" vm="1">
        <f t="shared" ca="1" si="10"/>
        <v>#VALUE!</v>
      </c>
      <c r="O32" s="113" t="e" vm="1">
        <f t="shared" ca="1" si="10"/>
        <v>#VALUE!</v>
      </c>
      <c r="P32" s="114" t="e" vm="1">
        <f t="shared" ca="1" si="10"/>
        <v>#VALUE!</v>
      </c>
    </row>
    <row r="33" spans="1:17">
      <c r="A33" s="83" t="e" vm="1">
        <f t="shared" ca="1" si="4"/>
        <v>#VALUE!</v>
      </c>
      <c r="B33" s="107" t="str">
        <f t="shared" si="5"/>
        <v>MDLZ.O</v>
      </c>
      <c r="C33" s="108" t="e" vm="1">
        <f t="shared" ca="1" si="5"/>
        <v>#VALUE!</v>
      </c>
      <c r="D33" s="109" t="e" vm="1">
        <f t="shared" ca="1" si="6"/>
        <v>#VALUE!</v>
      </c>
      <c r="E33" s="109" t="e" vm="1">
        <f t="shared" ca="1" si="7"/>
        <v>#VALUE!</v>
      </c>
      <c r="F33" s="110" t="e" vm="1">
        <f t="shared" ca="1" si="7"/>
        <v>#VALUE!</v>
      </c>
      <c r="G33" s="111" t="e" vm="1">
        <f t="shared" ca="1" si="7"/>
        <v>#VALUE!</v>
      </c>
      <c r="H33" s="112" t="e" vm="1">
        <f t="shared" ca="1" si="8"/>
        <v>#VALUE!</v>
      </c>
      <c r="I33" s="113" t="e" vm="1">
        <f t="shared" ca="1" si="8"/>
        <v>#VALUE!</v>
      </c>
      <c r="J33" s="114" t="e" vm="1">
        <f t="shared" ca="1" si="8"/>
        <v>#VALUE!</v>
      </c>
      <c r="K33" s="112" t="e" vm="1">
        <f t="shared" ref="K33:M34" ca="1" si="14">IF(OR($B33="",H33="",ISNA($Q21)=TRUE),"",H33/$Q21/100)</f>
        <v>#VALUE!</v>
      </c>
      <c r="L33" s="113" t="e" vm="1">
        <f t="shared" ca="1" si="14"/>
        <v>#VALUE!</v>
      </c>
      <c r="M33" s="114" t="e" vm="1">
        <f t="shared" ca="1" si="14"/>
        <v>#VALUE!</v>
      </c>
      <c r="N33" s="113" t="e" vm="1">
        <f t="shared" ca="1" si="10"/>
        <v>#VALUE!</v>
      </c>
      <c r="O33" s="113" t="e" vm="1">
        <f t="shared" ca="1" si="10"/>
        <v>#VALUE!</v>
      </c>
      <c r="P33" s="114" t="e" vm="1">
        <f t="shared" ca="1" si="10"/>
        <v>#VALUE!</v>
      </c>
    </row>
    <row r="34" spans="1:17">
      <c r="A34" s="83" t="e" vm="1">
        <f t="shared" ca="1" si="4"/>
        <v>#VALUE!</v>
      </c>
      <c r="B34" s="107" t="str">
        <f t="shared" si="5"/>
        <v>PEP.O</v>
      </c>
      <c r="C34" s="108" t="e" vm="1">
        <f t="shared" ca="1" si="5"/>
        <v>#VALUE!</v>
      </c>
      <c r="D34" s="109" t="e" vm="1">
        <f t="shared" ref="D34" ca="1" si="15">IF(OR(B34="",ISNUMBER(F10)=FALSE,ISNUMBER(J10)=FALSE),"",F10/J10)</f>
        <v>#VALUE!</v>
      </c>
      <c r="E34" s="109" t="e" vm="1">
        <f t="shared" ref="E34" ca="1" si="16">IF(OR($B34="",ISNUMBER($F10)=FALSE,ISNUMBER(D22)=FALSE),"",$F10/D22)</f>
        <v>#VALUE!</v>
      </c>
      <c r="F34" s="110" t="e" vm="1">
        <f t="shared" ref="F34" ca="1" si="17">IF(OR($B34="",ISNUMBER($F10)=FALSE,ISNUMBER(E22)=FALSE),"",$F10/E22)</f>
        <v>#VALUE!</v>
      </c>
      <c r="G34" s="111" t="e" vm="1">
        <f t="shared" ref="G34" ca="1" si="18">IF(OR($B34="",ISNUMBER($F10)=FALSE,ISNUMBER(F22)=FALSE),"",$F10/F22)</f>
        <v>#VALUE!</v>
      </c>
      <c r="H34" s="112" t="e" vm="1">
        <f t="shared" ca="1" si="8"/>
        <v>#VALUE!</v>
      </c>
      <c r="I34" s="113" t="e" vm="1">
        <f t="shared" ca="1" si="8"/>
        <v>#VALUE!</v>
      </c>
      <c r="J34" s="114" t="e" vm="1">
        <f t="shared" ca="1" si="8"/>
        <v>#VALUE!</v>
      </c>
      <c r="K34" s="112" t="e" vm="1">
        <f t="shared" ca="1" si="14"/>
        <v>#VALUE!</v>
      </c>
      <c r="L34" s="113" t="e" vm="1">
        <f t="shared" ca="1" si="14"/>
        <v>#VALUE!</v>
      </c>
      <c r="M34" s="114" t="e" vm="1">
        <f t="shared" ca="1" si="14"/>
        <v>#VALUE!</v>
      </c>
      <c r="N34" s="113" t="e" vm="1">
        <f t="shared" ca="1" si="10"/>
        <v>#VALUE!</v>
      </c>
      <c r="O34" s="113" t="e" vm="1">
        <f t="shared" ca="1" si="10"/>
        <v>#VALUE!</v>
      </c>
      <c r="P34" s="114" t="e" vm="1">
        <f t="shared" ca="1" si="10"/>
        <v>#VALUE!</v>
      </c>
    </row>
    <row r="35" spans="1:17">
      <c r="A35" s="83" t="e" vm="1">
        <f t="shared" ca="1" si="4"/>
        <v>#VALUE!</v>
      </c>
      <c r="B35" s="107" t="str">
        <f t="shared" si="5"/>
        <v>KO</v>
      </c>
      <c r="C35" s="108" t="e" vm="1">
        <f t="shared" ca="1" si="5"/>
        <v>#VALUE!</v>
      </c>
      <c r="D35" s="109" t="e" vm="1">
        <f t="shared" ca="1" si="6"/>
        <v>#VALUE!</v>
      </c>
      <c r="E35" s="109" t="e" vm="1">
        <f t="shared" ca="1" si="7"/>
        <v>#VALUE!</v>
      </c>
      <c r="F35" s="110" t="e" vm="1">
        <f t="shared" ca="1" si="7"/>
        <v>#VALUE!</v>
      </c>
      <c r="G35" s="111" t="e" vm="1">
        <f t="shared" ca="1" si="7"/>
        <v>#VALUE!</v>
      </c>
      <c r="H35" s="112" t="e" vm="1">
        <f t="shared" ca="1" si="8"/>
        <v>#VALUE!</v>
      </c>
      <c r="I35" s="113" t="e" vm="1">
        <f t="shared" ca="1" si="8"/>
        <v>#VALUE!</v>
      </c>
      <c r="J35" s="114" t="e" vm="1">
        <f t="shared" ca="1" si="8"/>
        <v>#VALUE!</v>
      </c>
      <c r="K35" s="112"/>
      <c r="L35" s="113"/>
      <c r="M35" s="114"/>
      <c r="N35" s="113" t="e" vm="1">
        <f t="shared" ca="1" si="10"/>
        <v>#VALUE!</v>
      </c>
      <c r="O35" s="113" t="e" vm="1">
        <f t="shared" ca="1" si="10"/>
        <v>#VALUE!</v>
      </c>
      <c r="P35" s="114" t="e" vm="1">
        <f t="shared" ca="1" si="10"/>
        <v>#VALUE!</v>
      </c>
    </row>
    <row r="36" spans="1:17">
      <c r="A36" s="83" t="e" vm="1">
        <f t="shared" ca="1" si="4"/>
        <v>#VALUE!</v>
      </c>
      <c r="B36" s="107" t="str">
        <f t="shared" si="5"/>
        <v>ACI</v>
      </c>
      <c r="C36" s="108" t="e" vm="1">
        <f t="shared" ca="1" si="5"/>
        <v>#VALUE!</v>
      </c>
      <c r="D36" s="109" t="e" vm="1">
        <f t="shared" ca="1" si="6"/>
        <v>#VALUE!</v>
      </c>
      <c r="E36" s="109" t="e" vm="1">
        <f t="shared" ca="1" si="7"/>
        <v>#VALUE!</v>
      </c>
      <c r="F36" s="110" t="e" vm="1">
        <f t="shared" ca="1" si="7"/>
        <v>#VALUE!</v>
      </c>
      <c r="G36" s="111" t="e" vm="1">
        <f t="shared" ca="1" si="7"/>
        <v>#VALUE!</v>
      </c>
      <c r="H36" s="112" t="e" vm="1">
        <f t="shared" ca="1" si="8"/>
        <v>#VALUE!</v>
      </c>
      <c r="I36" s="113" t="e" vm="1">
        <f t="shared" ca="1" si="8"/>
        <v>#VALUE!</v>
      </c>
      <c r="J36" s="114" t="e" vm="1">
        <f t="shared" ca="1" si="8"/>
        <v>#VALUE!</v>
      </c>
      <c r="K36" s="112"/>
      <c r="L36" s="113"/>
      <c r="M36" s="114"/>
      <c r="N36" s="112" t="e" vm="1">
        <f t="shared" ca="1" si="10"/>
        <v>#VALUE!</v>
      </c>
      <c r="O36" s="113" t="e" vm="1">
        <f t="shared" ca="1" si="10"/>
        <v>#VALUE!</v>
      </c>
      <c r="P36" s="114" t="e" vm="1">
        <f t="shared" ca="1" si="10"/>
        <v>#VALUE!</v>
      </c>
    </row>
    <row r="37" spans="1:17">
      <c r="A37" s="97" t="e" vm="1">
        <f t="shared" ca="1" si="4"/>
        <v>#VALUE!</v>
      </c>
      <c r="B37" s="115" t="str">
        <f t="shared" si="5"/>
        <v>KR</v>
      </c>
      <c r="C37" s="115" t="e" vm="1">
        <f t="shared" ca="1" si="5"/>
        <v>#VALUE!</v>
      </c>
      <c r="D37" s="116" t="e" vm="1">
        <f t="shared" ca="1" si="6"/>
        <v>#VALUE!</v>
      </c>
      <c r="E37" s="116" t="e" vm="1">
        <f t="shared" ca="1" si="7"/>
        <v>#VALUE!</v>
      </c>
      <c r="F37" s="117" t="e" vm="1">
        <f t="shared" ca="1" si="7"/>
        <v>#VALUE!</v>
      </c>
      <c r="G37" s="118" t="e" vm="1">
        <f t="shared" ca="1" si="7"/>
        <v>#VALUE!</v>
      </c>
      <c r="H37" s="119" t="e" vm="1">
        <f t="shared" ca="1" si="8"/>
        <v>#VALUE!</v>
      </c>
      <c r="I37" s="120" t="e" vm="1">
        <f t="shared" ca="1" si="8"/>
        <v>#VALUE!</v>
      </c>
      <c r="J37" s="121" t="e" vm="1">
        <f t="shared" ca="1" si="8"/>
        <v>#VALUE!</v>
      </c>
      <c r="K37" s="119" t="e" vm="1">
        <f t="shared" ref="K37:M37" ca="1" si="19">IF(OR($B37="",H37="",ISNA($Q25)=TRUE),"",H37/$Q25/100)</f>
        <v>#VALUE!</v>
      </c>
      <c r="L37" s="120" t="e" vm="1">
        <f t="shared" ca="1" si="19"/>
        <v>#VALUE!</v>
      </c>
      <c r="M37" s="121" t="e" vm="1">
        <f t="shared" ca="1" si="19"/>
        <v>#VALUE!</v>
      </c>
      <c r="N37" s="119" t="e" vm="1">
        <f t="shared" ca="1" si="10"/>
        <v>#VALUE!</v>
      </c>
      <c r="O37" s="120" t="e" vm="1">
        <f t="shared" ca="1" si="10"/>
        <v>#VALUE!</v>
      </c>
      <c r="P37" s="121" t="e" vm="1">
        <f t="shared" ca="1" si="10"/>
        <v>#VALUE!</v>
      </c>
    </row>
    <row r="39" spans="1:17">
      <c r="C39" s="122" t="s">
        <v>122</v>
      </c>
      <c r="D39" s="123" t="e" vm="1">
        <f t="shared" ref="D39:J39" ca="1" si="20">AVERAGE(D30:D36)</f>
        <v>#VALUE!</v>
      </c>
      <c r="E39" s="123" t="e" vm="1">
        <f t="shared" ca="1" si="20"/>
        <v>#VALUE!</v>
      </c>
      <c r="F39" s="124" t="e" vm="1">
        <f t="shared" ca="1" si="20"/>
        <v>#VALUE!</v>
      </c>
      <c r="G39" s="125" t="e" vm="1">
        <f t="shared" ca="1" si="20"/>
        <v>#VALUE!</v>
      </c>
      <c r="H39" s="126" t="e" vm="1">
        <f t="shared" ca="1" si="20"/>
        <v>#VALUE!</v>
      </c>
      <c r="I39" s="127" t="e" vm="1">
        <f t="shared" ca="1" si="20"/>
        <v>#VALUE!</v>
      </c>
      <c r="J39" s="128" t="e" vm="1">
        <f t="shared" ca="1" si="20"/>
        <v>#VALUE!</v>
      </c>
      <c r="K39" s="126" t="e" vm="1">
        <f ca="1">AVERAGE(K30,K32:K33)</f>
        <v>#VALUE!</v>
      </c>
      <c r="L39" s="126" t="e" vm="1">
        <f ca="1">AVERAGE(L30,L32:L33)</f>
        <v>#VALUE!</v>
      </c>
      <c r="M39" s="126" t="e" vm="1">
        <f ca="1">AVERAGE(M30,M32:M33)</f>
        <v>#VALUE!</v>
      </c>
      <c r="N39" s="126" t="e" vm="1">
        <f ca="1">AVERAGE(N30:N36)</f>
        <v>#VALUE!</v>
      </c>
      <c r="O39" s="127" t="e" vm="1">
        <f ca="1">AVERAGE(O30:O36)</f>
        <v>#VALUE!</v>
      </c>
      <c r="P39" s="128" t="e" vm="1">
        <f ca="1">AVERAGE(P30:P36)</f>
        <v>#VALUE!</v>
      </c>
    </row>
    <row r="40" spans="1:17">
      <c r="C40" s="122" t="s">
        <v>304</v>
      </c>
      <c r="D40" s="129" t="e" vm="1">
        <f t="shared" ref="D40:J40" ca="1" si="21">MEDIAN(D30:D36)</f>
        <v>#VALUE!</v>
      </c>
      <c r="E40" s="129" t="e" vm="1">
        <f t="shared" ca="1" si="21"/>
        <v>#VALUE!</v>
      </c>
      <c r="F40" s="130" t="e" vm="1">
        <f t="shared" ca="1" si="21"/>
        <v>#VALUE!</v>
      </c>
      <c r="G40" s="131" t="e" vm="1">
        <f t="shared" ca="1" si="21"/>
        <v>#VALUE!</v>
      </c>
      <c r="H40" s="132" t="e" vm="1">
        <f t="shared" ca="1" si="21"/>
        <v>#VALUE!</v>
      </c>
      <c r="I40" s="133" t="e" vm="1">
        <f t="shared" ca="1" si="21"/>
        <v>#VALUE!</v>
      </c>
      <c r="J40" s="134" t="e" vm="1">
        <f t="shared" ca="1" si="21"/>
        <v>#VALUE!</v>
      </c>
      <c r="K40" s="132" t="e" vm="1">
        <f ca="1">MEDIAN(K30,K32:K33)</f>
        <v>#VALUE!</v>
      </c>
      <c r="L40" s="132" t="e" vm="1">
        <f ca="1">MEDIAN(L30,L32:L33)</f>
        <v>#VALUE!</v>
      </c>
      <c r="M40" s="132" t="e" vm="1">
        <f ca="1">MEDIAN(M30,M32:M33)</f>
        <v>#VALUE!</v>
      </c>
      <c r="N40" s="132" t="e" vm="1">
        <f ca="1">MEDIAN(N30:N36)</f>
        <v>#VALUE!</v>
      </c>
      <c r="O40" s="133" t="e" vm="1">
        <f ca="1">MEDIAN(O30:O36)</f>
        <v>#VALUE!</v>
      </c>
      <c r="P40" s="134" t="e" vm="1">
        <f ca="1">MEDIAN(P30:P36)</f>
        <v>#VALUE!</v>
      </c>
    </row>
    <row r="42" spans="1:17">
      <c r="C42" s="122" t="s">
        <v>122</v>
      </c>
      <c r="D42" s="135" t="e" vm="1">
        <f ca="1">D39*$J$13/$E$13</f>
        <v>#VALUE!</v>
      </c>
      <c r="E42" s="135" t="e" vm="1">
        <f t="shared" ref="E42:G43" ca="1" si="22">(E39*D$25)/$E$13</f>
        <v>#VALUE!</v>
      </c>
      <c r="F42" s="136" t="e" vm="1">
        <f t="shared" ca="1" si="22"/>
        <v>#VALUE!</v>
      </c>
      <c r="G42" s="137" t="e" vm="1">
        <f t="shared" ca="1" si="22"/>
        <v>#VALUE!</v>
      </c>
      <c r="H42" s="135" t="e" vm="1">
        <f t="shared" ref="H42:J43" ca="1" si="23">H39*H$25</f>
        <v>#VALUE!</v>
      </c>
      <c r="I42" s="136" t="e" vm="1">
        <f t="shared" ca="1" si="23"/>
        <v>#VALUE!</v>
      </c>
      <c r="J42" s="137" t="e" vm="1">
        <f t="shared" ca="1" si="23"/>
        <v>#VALUE!</v>
      </c>
      <c r="K42" s="135" t="e" vm="1">
        <f t="shared" ref="K42:M43" ca="1" si="24">K39*H$25*$Q$25*100</f>
        <v>#VALUE!</v>
      </c>
      <c r="L42" s="136" t="e" vm="1">
        <f t="shared" ca="1" si="24"/>
        <v>#VALUE!</v>
      </c>
      <c r="M42" s="137" t="e" vm="1">
        <f t="shared" ca="1" si="24"/>
        <v>#VALUE!</v>
      </c>
      <c r="N42" s="135" t="e" vm="1">
        <f t="shared" ref="N42:P43" ca="1" si="25">(N39*N$25-($G$13-$H$13))/$E$13</f>
        <v>#VALUE!</v>
      </c>
      <c r="O42" s="136" t="e" vm="1">
        <f t="shared" ca="1" si="25"/>
        <v>#VALUE!</v>
      </c>
      <c r="P42" s="137" t="e" vm="1">
        <f t="shared" ca="1" si="25"/>
        <v>#VALUE!</v>
      </c>
    </row>
    <row r="43" spans="1:17">
      <c r="C43" s="122" t="s">
        <v>304</v>
      </c>
      <c r="D43" s="138" t="e" vm="1">
        <f ca="1">D40*$J$13/$E$13</f>
        <v>#VALUE!</v>
      </c>
      <c r="E43" s="138" t="e" vm="1">
        <f t="shared" ca="1" si="22"/>
        <v>#VALUE!</v>
      </c>
      <c r="F43" s="139" t="e" vm="1">
        <f t="shared" ca="1" si="22"/>
        <v>#VALUE!</v>
      </c>
      <c r="G43" s="140" t="e" vm="1">
        <f t="shared" ca="1" si="22"/>
        <v>#VALUE!</v>
      </c>
      <c r="H43" s="138" t="e" vm="1">
        <f t="shared" ca="1" si="23"/>
        <v>#VALUE!</v>
      </c>
      <c r="I43" s="139" t="e" vm="1">
        <f t="shared" ca="1" si="23"/>
        <v>#VALUE!</v>
      </c>
      <c r="J43" s="140" t="e" vm="1">
        <f t="shared" ca="1" si="23"/>
        <v>#VALUE!</v>
      </c>
      <c r="K43" s="138" t="e" vm="1">
        <f t="shared" ca="1" si="24"/>
        <v>#VALUE!</v>
      </c>
      <c r="L43" s="139" t="e" vm="1">
        <f t="shared" ca="1" si="24"/>
        <v>#VALUE!</v>
      </c>
      <c r="M43" s="140" t="e" vm="1">
        <f t="shared" ca="1" si="24"/>
        <v>#VALUE!</v>
      </c>
      <c r="N43" s="138" t="e" vm="1">
        <f t="shared" ca="1" si="25"/>
        <v>#VALUE!</v>
      </c>
      <c r="O43" s="139" t="e" vm="1">
        <f t="shared" ca="1" si="25"/>
        <v>#VALUE!</v>
      </c>
      <c r="P43" s="140" t="e" vm="1">
        <f t="shared" ca="1" si="25"/>
        <v>#VALUE!</v>
      </c>
    </row>
    <row r="44" spans="1:17" s="35" customFormat="1">
      <c r="B44" s="141"/>
      <c r="C44" s="32"/>
      <c r="D44" s="142" t="s">
        <v>305</v>
      </c>
      <c r="E44" s="143"/>
      <c r="F44" s="143"/>
      <c r="G44" s="143"/>
      <c r="H44" s="142" t="s">
        <v>306</v>
      </c>
      <c r="I44" s="142" t="s">
        <v>307</v>
      </c>
      <c r="J44" s="142" t="s">
        <v>308</v>
      </c>
      <c r="K44" s="142" t="s">
        <v>309</v>
      </c>
      <c r="L44" s="142" t="s">
        <v>310</v>
      </c>
      <c r="M44" s="142" t="s">
        <v>311</v>
      </c>
      <c r="N44" s="142" t="s">
        <v>330</v>
      </c>
      <c r="O44" s="142" t="s">
        <v>331</v>
      </c>
    </row>
    <row r="45" spans="1:17" ht="16">
      <c r="A45" s="39" t="s">
        <v>312</v>
      </c>
      <c r="B45" s="75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76"/>
      <c r="Q45" s="41"/>
    </row>
    <row r="46" spans="1:17" s="33" customFormat="1" outlineLevel="1">
      <c r="A46" s="144"/>
      <c r="B46" s="145"/>
      <c r="C46" s="146" t="s">
        <v>313</v>
      </c>
      <c r="D46" s="147" t="s">
        <v>314</v>
      </c>
      <c r="E46" s="147" t="s">
        <v>315</v>
      </c>
      <c r="F46" s="147"/>
      <c r="G46" s="148"/>
      <c r="H46" s="146" t="s">
        <v>316</v>
      </c>
      <c r="I46" s="147" t="s">
        <v>317</v>
      </c>
      <c r="J46" s="147" t="s">
        <v>318</v>
      </c>
      <c r="K46" s="146"/>
      <c r="L46" s="148"/>
      <c r="M46" s="146" t="s">
        <v>319</v>
      </c>
      <c r="N46" s="148" t="s">
        <v>332</v>
      </c>
      <c r="O46" s="148" t="s">
        <v>333</v>
      </c>
    </row>
    <row r="47" spans="1:17" s="33" customFormat="1" outlineLevel="1">
      <c r="A47" s="149" t="s">
        <v>279</v>
      </c>
      <c r="B47" s="149" t="s">
        <v>280</v>
      </c>
      <c r="C47" s="150" t="s">
        <v>320</v>
      </c>
      <c r="D47" s="151" t="s">
        <v>320</v>
      </c>
      <c r="E47" s="151" t="s">
        <v>320</v>
      </c>
      <c r="F47" s="151" t="s">
        <v>321</v>
      </c>
      <c r="G47" s="152" t="s">
        <v>322</v>
      </c>
      <c r="H47" s="150" t="s">
        <v>323</v>
      </c>
      <c r="I47" s="151" t="s">
        <v>323</v>
      </c>
      <c r="J47" s="151" t="s">
        <v>323</v>
      </c>
      <c r="K47" s="150" t="s">
        <v>324</v>
      </c>
      <c r="L47" s="152" t="s">
        <v>325</v>
      </c>
      <c r="M47" s="150" t="s">
        <v>326</v>
      </c>
      <c r="N47" s="152" t="s">
        <v>326</v>
      </c>
      <c r="O47" s="152" t="s">
        <v>334</v>
      </c>
      <c r="P47" s="63"/>
    </row>
    <row r="48" spans="1:17" s="33" customFormat="1" outlineLevel="1">
      <c r="A48" s="52" t="e" vm="1">
        <f t="shared" ref="A48:A55" ca="1" si="26">A6</f>
        <v>#VALUE!</v>
      </c>
      <c r="B48" s="153" t="str">
        <f t="shared" ref="B48:B55" si="27">IF(B18="","",B30)</f>
        <v>KMB</v>
      </c>
      <c r="C48" s="154" t="e" cm="1" vm="1">
        <f t="array" aca="1" ref="C48" ca="1">IF($B48="","",_xll.RDP.Data($B48,"TR.GrossMargin")/100)</f>
        <v>#VALUE!</v>
      </c>
      <c r="D48" s="155" t="e" cm="1" vm="1">
        <f t="array" aca="1" ref="D48" ca="1">IF($B48="","",_xll.RDP.Data($B48,"TR.OperatingMarginPercent")/100)</f>
        <v>#VALUE!</v>
      </c>
      <c r="E48" s="155" t="e" cm="1" vm="1">
        <f t="array" aca="1" ref="E48" ca="1">IF($B48="","",_xll.RDP.Data($B48,"TR.NetProfitMargin")/100)</f>
        <v>#VALUE!</v>
      </c>
      <c r="F48" s="155" t="e" cm="1" vm="1">
        <f t="array" aca="1" ref="F48" ca="1">IF($B48="","",_xll.RDP.Data($B48,"TR.ROAActValue")/100)</f>
        <v>#VALUE!</v>
      </c>
      <c r="G48" s="155" t="e" cm="1" vm="1">
        <f t="array" aca="1" ref="G48" ca="1">IF($B48="","",_xll.RDP.Data($B48,"TR.ROEActValue")/100)</f>
        <v>#VALUE!</v>
      </c>
      <c r="H48" s="156" t="e" vm="1">
        <f ca="1">IF($B48="","",_xll.RDP.Data($B48,"TR.AssetTurnover"))</f>
        <v>#VALUE!</v>
      </c>
      <c r="I48" s="157" t="e" vm="1">
        <f ca="1">IF($B48="","",_xll.RDP.Data($B48,"TR.InventoryTurnover"))</f>
        <v>#VALUE!</v>
      </c>
      <c r="J48" s="157" t="e" cm="1" vm="1">
        <f t="array" aca="1" ref="J48" ca="1">IF($B48="","",_xll.RDP.Data($B48,"TR.Revenue")/_xll.RDP.Data($B48,"TR.TotalReceivablesNet"))</f>
        <v>#VALUE!</v>
      </c>
      <c r="K48" s="158" t="e" vm="1">
        <f ca="1">IF($B48="","",_xll.RDP.Data($B48,"TR.TtlDebtToTtlEquityPct"))</f>
        <v>#VALUE!</v>
      </c>
      <c r="L48" s="159" t="e" vm="1">
        <f ca="1">IF($B48="","",_xll.RDP.Data($B48,"TR.LTDebtToTtlCapitalPct"))</f>
        <v>#VALUE!</v>
      </c>
      <c r="M48" s="158" t="e" vm="1">
        <f ca="1">IF($B48="","",_xll.RDP.Data($B48,"TR.QuickRatio"))</f>
        <v>#VALUE!</v>
      </c>
      <c r="N48" s="159" t="e" vm="1">
        <f ca="1">IF($B48="","",_xll.RDP.Data($B48,"TR.CurrentRatio"))</f>
        <v>#VALUE!</v>
      </c>
      <c r="O48" s="176" t="e" cm="1" vm="1">
        <f t="array" aca="1" ref="O48" ca="1">IF($B48="","",_xll.RDP.Data($B48,"TR.EBITDA")/_xll.RDP.Data($B48,"TR.InterestExpense"))</f>
        <v>#VALUE!</v>
      </c>
      <c r="P48" s="63"/>
    </row>
    <row r="49" spans="1:15" s="33" customFormat="1" outlineLevel="1">
      <c r="A49" s="52" t="e" vm="1">
        <f t="shared" ca="1" si="26"/>
        <v>#VALUE!</v>
      </c>
      <c r="B49" s="153" t="str">
        <f t="shared" si="27"/>
        <v>PG</v>
      </c>
      <c r="C49" s="160" t="e" cm="1" vm="1">
        <f t="array" aca="1" ref="C49" ca="1">IF($B49="","",_xll.RDP.Data($B49,"TR.GrossMargin")/100)</f>
        <v>#VALUE!</v>
      </c>
      <c r="D49" s="161" t="e" cm="1" vm="1">
        <f t="array" aca="1" ref="D49" ca="1">IF($B49="","",_xll.RDP.Data($B49,"TR.OperatingMarginPercent")/100)</f>
        <v>#VALUE!</v>
      </c>
      <c r="E49" s="161" t="e" cm="1" vm="1">
        <f t="array" aca="1" ref="E49" ca="1">IF($B49="","",_xll.RDP.Data($B49,"TR.NetProfitMargin")/100)</f>
        <v>#VALUE!</v>
      </c>
      <c r="F49" s="161" t="e" cm="1" vm="1">
        <f t="array" aca="1" ref="F49" ca="1">IF($B49="","",_xll.RDP.Data($B49,"TR.ROAActValue")/100)</f>
        <v>#VALUE!</v>
      </c>
      <c r="G49" s="162" t="e" cm="1" vm="1">
        <f t="array" aca="1" ref="G49" ca="1">IF($B49="","",_xll.RDP.Data($B49,"TR.ROEActValue")/100)</f>
        <v>#VALUE!</v>
      </c>
      <c r="H49" s="158" t="e" vm="1">
        <f ca="1">IF($B49="","",_xll.RDP.Data($B49,"TR.AssetTurnover"))</f>
        <v>#VALUE!</v>
      </c>
      <c r="I49" s="163" t="e" vm="1">
        <f ca="1">IF($B49="","",_xll.RDP.Data($B49,"TR.InventoryTurnover"))</f>
        <v>#VALUE!</v>
      </c>
      <c r="J49" s="163" t="e" cm="1" vm="1">
        <f t="array" aca="1" ref="J49" ca="1">IF($B49="","",_xll.RDP.Data($B49,"TR.Revenue")/_xll.RDP.Data($B49,"TR.TotalReceivablesNet"))</f>
        <v>#VALUE!</v>
      </c>
      <c r="K49" s="158" t="e" vm="1">
        <f ca="1">IF($B49="","",_xll.RDP.Data($B49,"TR.TtlDebtToTtlEquityPct"))</f>
        <v>#VALUE!</v>
      </c>
      <c r="L49" s="159" t="e" vm="1">
        <f ca="1">IF($B49="","",_xll.RDP.Data($B49,"TR.LTDebtToTtlCapitalPct"))</f>
        <v>#VALUE!</v>
      </c>
      <c r="M49" s="158" t="e" vm="1">
        <f ca="1">IF($B49="","",_xll.RDP.Data($B49,"TR.QuickRatio"))</f>
        <v>#VALUE!</v>
      </c>
      <c r="N49" s="159" t="e" vm="1">
        <f ca="1">IF($B49="","",_xll.RDP.Data($B49,"TR.CurrentRatio"))</f>
        <v>#VALUE!</v>
      </c>
      <c r="O49" s="164" t="e" cm="1" vm="1">
        <f t="array" aca="1" ref="O49" ca="1">IF($B49="","",_xll.RDP.Data($B49,"TR.EBITDA")/_xll.RDP.Data($B49,"TR.InterestExpense"))</f>
        <v>#VALUE!</v>
      </c>
    </row>
    <row r="50" spans="1:15" s="33" customFormat="1" outlineLevel="1">
      <c r="A50" s="52" t="e" vm="1">
        <f t="shared" ca="1" si="26"/>
        <v>#VALUE!</v>
      </c>
      <c r="B50" s="153" t="str">
        <f t="shared" si="27"/>
        <v>HSY</v>
      </c>
      <c r="C50" s="160" t="e" cm="1" vm="1">
        <f t="array" aca="1" ref="C50" ca="1">IF($B50="","",_xll.RDP.Data($B50,"TR.GrossMargin")/100)</f>
        <v>#VALUE!</v>
      </c>
      <c r="D50" s="161" t="e" cm="1" vm="1">
        <f t="array" aca="1" ref="D50" ca="1">IF($B50="","",_xll.RDP.Data($B50,"TR.OperatingMarginPercent")/100)</f>
        <v>#VALUE!</v>
      </c>
      <c r="E50" s="161" t="e" cm="1" vm="1">
        <f t="array" aca="1" ref="E50" ca="1">IF($B50="","",_xll.RDP.Data($B50,"TR.NetProfitMargin")/100)</f>
        <v>#VALUE!</v>
      </c>
      <c r="F50" s="161" t="e" cm="1" vm="1">
        <f t="array" aca="1" ref="F50" ca="1">IF($B50="","",_xll.RDP.Data($B50,"TR.ROAActValue")/100)</f>
        <v>#VALUE!</v>
      </c>
      <c r="G50" s="162" t="e" cm="1" vm="1">
        <f t="array" aca="1" ref="G50" ca="1">IF($B50="","",_xll.RDP.Data($B50,"TR.ROEActValue")/100)</f>
        <v>#VALUE!</v>
      </c>
      <c r="H50" s="158" t="e" vm="1">
        <f ca="1">IF($B50="","",_xll.RDP.Data($B50,"TR.AssetTurnover"))</f>
        <v>#VALUE!</v>
      </c>
      <c r="I50" s="163" t="e" vm="1">
        <f ca="1">IF($B50="","",_xll.RDP.Data($B50,"TR.InventoryTurnover"))</f>
        <v>#VALUE!</v>
      </c>
      <c r="J50" s="163" t="e" cm="1" vm="1">
        <f t="array" aca="1" ref="J50" ca="1">IF($B50="","",_xll.RDP.Data($B50,"TR.Revenue")/_xll.RDP.Data($B50,"TR.TotalReceivablesNet"))</f>
        <v>#VALUE!</v>
      </c>
      <c r="K50" s="158" t="e" vm="1">
        <f ca="1">IF($B50="","",_xll.RDP.Data($B50,"TR.TtlDebtToTtlEquityPct"))</f>
        <v>#VALUE!</v>
      </c>
      <c r="L50" s="159" t="e" vm="1">
        <f ca="1">IF($B50="","",_xll.RDP.Data($B50,"TR.LTDebtToTtlCapitalPct"))</f>
        <v>#VALUE!</v>
      </c>
      <c r="M50" s="158" t="e" vm="1">
        <f ca="1">IF($B50="","",_xll.RDP.Data($B50,"TR.QuickRatio"))</f>
        <v>#VALUE!</v>
      </c>
      <c r="N50" s="159" t="e" vm="1">
        <f ca="1">IF($B50="","",_xll.RDP.Data($B50,"TR.CurrentRatio"))</f>
        <v>#VALUE!</v>
      </c>
      <c r="O50" s="164" t="e" cm="1" vm="1">
        <f t="array" aca="1" ref="O50" ca="1">IF($B50="","",_xll.RDP.Data($B50,"TR.EBITDA")/_xll.RDP.Data($B50,"TR.InterestExpense"))</f>
        <v>#VALUE!</v>
      </c>
    </row>
    <row r="51" spans="1:15" s="33" customFormat="1" outlineLevel="1">
      <c r="A51" s="52" t="e" vm="1">
        <f t="shared" ca="1" si="26"/>
        <v>#VALUE!</v>
      </c>
      <c r="B51" s="153" t="str">
        <f t="shared" si="27"/>
        <v>MDLZ.O</v>
      </c>
      <c r="C51" s="160" t="e" cm="1" vm="1">
        <f t="array" aca="1" ref="C51" ca="1">IF($B51="","",_xll.RDP.Data($B51,"TR.GrossMargin")/100)</f>
        <v>#VALUE!</v>
      </c>
      <c r="D51" s="161" t="e" cm="1" vm="1">
        <f t="array" aca="1" ref="D51" ca="1">IF($B51="","",_xll.RDP.Data($B51,"TR.OperatingMarginPercent")/100)</f>
        <v>#VALUE!</v>
      </c>
      <c r="E51" s="161" t="e" cm="1" vm="1">
        <f t="array" aca="1" ref="E51" ca="1">IF($B51="","",_xll.RDP.Data($B51,"TR.NetProfitMargin")/100)</f>
        <v>#VALUE!</v>
      </c>
      <c r="F51" s="161" t="e" cm="1" vm="1">
        <f t="array" aca="1" ref="F51" ca="1">IF($B51="","",_xll.RDP.Data($B51,"TR.ROAActValue")/100)</f>
        <v>#VALUE!</v>
      </c>
      <c r="G51" s="162" t="e" cm="1" vm="1">
        <f t="array" aca="1" ref="G51" ca="1">IF($B51="","",_xll.RDP.Data($B51,"TR.ROEActValue")/100)</f>
        <v>#VALUE!</v>
      </c>
      <c r="H51" s="158" t="e" vm="1">
        <f ca="1">IF($B51="","",_xll.RDP.Data($B51,"TR.AssetTurnover"))</f>
        <v>#VALUE!</v>
      </c>
      <c r="I51" s="163" t="e" vm="1">
        <f ca="1">IF($B51="","",_xll.RDP.Data($B51,"TR.InventoryTurnover"))</f>
        <v>#VALUE!</v>
      </c>
      <c r="J51" s="163" t="e" cm="1" vm="1">
        <f t="array" aca="1" ref="J51" ca="1">IF($B51="","",_xll.RDP.Data($B51,"TR.Revenue")/_xll.RDP.Data($B51,"TR.TotalReceivablesNet"))</f>
        <v>#VALUE!</v>
      </c>
      <c r="K51" s="158" t="e" vm="1">
        <f ca="1">IF($B51="","",_xll.RDP.Data($B51,"TR.TtlDebtToTtlEquityPct"))</f>
        <v>#VALUE!</v>
      </c>
      <c r="L51" s="159" t="e" vm="1">
        <f ca="1">IF($B51="","",_xll.RDP.Data($B51,"TR.LTDebtToTtlCapitalPct"))</f>
        <v>#VALUE!</v>
      </c>
      <c r="M51" s="158" t="e" vm="1">
        <f ca="1">IF($B51="","",_xll.RDP.Data($B51,"TR.QuickRatio"))</f>
        <v>#VALUE!</v>
      </c>
      <c r="N51" s="159" t="e" vm="1">
        <f ca="1">IF($B51="","",_xll.RDP.Data($B51,"TR.CurrentRatio"))</f>
        <v>#VALUE!</v>
      </c>
      <c r="O51" s="164" t="e" cm="1" vm="1">
        <f t="array" aca="1" ref="O51" ca="1">IF($B51="","",_xll.RDP.Data($B51,"TR.EBITDA")/_xll.RDP.Data($B51,"TR.InterestExpense"))</f>
        <v>#VALUE!</v>
      </c>
    </row>
    <row r="52" spans="1:15" s="33" customFormat="1" outlineLevel="1">
      <c r="A52" s="52" t="e" vm="1">
        <f t="shared" ca="1" si="26"/>
        <v>#VALUE!</v>
      </c>
      <c r="B52" s="153" t="str">
        <f t="shared" si="27"/>
        <v>PEP.O</v>
      </c>
      <c r="C52" s="160" t="e" cm="1" vm="1">
        <f t="array" aca="1" ref="C52" ca="1">IF($B52="","",_xll.RDP.Data($B52,"TR.GrossMargin")/100)</f>
        <v>#VALUE!</v>
      </c>
      <c r="D52" s="161" t="e" cm="1" vm="1">
        <f t="array" aca="1" ref="D52" ca="1">IF($B52="","",_xll.RDP.Data($B52,"TR.OperatingMarginPercent")/100)</f>
        <v>#VALUE!</v>
      </c>
      <c r="E52" s="161" t="e" cm="1" vm="1">
        <f t="array" aca="1" ref="E52" ca="1">IF($B52="","",_xll.RDP.Data($B52,"TR.NetProfitMargin")/100)</f>
        <v>#VALUE!</v>
      </c>
      <c r="F52" s="161" t="e" cm="1" vm="1">
        <f t="array" aca="1" ref="F52" ca="1">IF($B52="","",_xll.RDP.Data($B52,"TR.ROAActValue")/100)</f>
        <v>#VALUE!</v>
      </c>
      <c r="G52" s="162" t="e" cm="1" vm="1">
        <f t="array" aca="1" ref="G52" ca="1">IF($B52="","",_xll.RDP.Data($B52,"TR.ROEActValue")/100)</f>
        <v>#VALUE!</v>
      </c>
      <c r="H52" s="158" t="e" vm="1">
        <f ca="1">IF($B52="","",_xll.RDP.Data($B52,"TR.AssetTurnover"))</f>
        <v>#VALUE!</v>
      </c>
      <c r="I52" s="163" t="e" vm="1">
        <f ca="1">IF($B52="","",_xll.RDP.Data($B52,"TR.InventoryTurnover"))</f>
        <v>#VALUE!</v>
      </c>
      <c r="J52" s="163" t="e" cm="1" vm="1">
        <f t="array" aca="1" ref="J52" ca="1">IF($B52="","",_xll.RDP.Data($B52,"TR.Revenue")/_xll.RDP.Data($B52,"TR.TotalReceivablesNet"))</f>
        <v>#VALUE!</v>
      </c>
      <c r="K52" s="158" t="e" vm="1">
        <f ca="1">IF($B52="","",_xll.RDP.Data($B52,"TR.TtlDebtToTtlEquityPct"))</f>
        <v>#VALUE!</v>
      </c>
      <c r="L52" s="159" t="e" vm="1">
        <f ca="1">IF($B52="","",_xll.RDP.Data($B52,"TR.LTDebtToTtlCapitalPct"))</f>
        <v>#VALUE!</v>
      </c>
      <c r="M52" s="158" t="e" vm="1">
        <f ca="1">IF($B52="","",_xll.RDP.Data($B52,"TR.QuickRatio"))</f>
        <v>#VALUE!</v>
      </c>
      <c r="N52" s="159" t="e" vm="1">
        <f ca="1">IF($B52="","",_xll.RDP.Data($B52,"TR.CurrentRatio"))</f>
        <v>#VALUE!</v>
      </c>
      <c r="O52" s="164" t="e" cm="1" vm="1">
        <f t="array" aca="1" ref="O52" ca="1">IF($B52="","",_xll.RDP.Data($B52,"TR.EBITDA")/_xll.RDP.Data($B52,"TR.InterestExpense"))</f>
        <v>#VALUE!</v>
      </c>
    </row>
    <row r="53" spans="1:15" s="33" customFormat="1" outlineLevel="1">
      <c r="A53" s="52" t="e" vm="1">
        <f t="shared" ca="1" si="26"/>
        <v>#VALUE!</v>
      </c>
      <c r="B53" s="153" t="str">
        <f t="shared" si="27"/>
        <v>KO</v>
      </c>
      <c r="C53" s="160" t="e" cm="1" vm="1">
        <f t="array" aca="1" ref="C53" ca="1">IF($B53="","",_xll.RDP.Data($B53,"TR.GrossMargin")/100)</f>
        <v>#VALUE!</v>
      </c>
      <c r="D53" s="161" t="e" cm="1" vm="1">
        <f t="array" aca="1" ref="D53" ca="1">IF($B53="","",_xll.RDP.Data($B53,"TR.OperatingMarginPercent")/100)</f>
        <v>#VALUE!</v>
      </c>
      <c r="E53" s="161" t="e" cm="1" vm="1">
        <f t="array" aca="1" ref="E53" ca="1">IF($B53="","",_xll.RDP.Data($B53,"TR.NetProfitMargin")/100)</f>
        <v>#VALUE!</v>
      </c>
      <c r="F53" s="161" t="e" cm="1" vm="1">
        <f t="array" aca="1" ref="F53" ca="1">IF($B53="","",_xll.RDP.Data($B53,"TR.ROAActValue")/100)</f>
        <v>#VALUE!</v>
      </c>
      <c r="G53" s="162" t="e" cm="1" vm="1">
        <f t="array" aca="1" ref="G53" ca="1">IF($B53="","",_xll.RDP.Data($B53,"TR.ROEActValue")/100)</f>
        <v>#VALUE!</v>
      </c>
      <c r="H53" s="158" t="e" vm="1">
        <f ca="1">IF($B53="","",_xll.RDP.Data($B53,"TR.AssetTurnover"))</f>
        <v>#VALUE!</v>
      </c>
      <c r="I53" s="163" t="e" vm="1">
        <f ca="1">IF($B53="","",_xll.RDP.Data($B53,"TR.InventoryTurnover"))</f>
        <v>#VALUE!</v>
      </c>
      <c r="J53" s="163" t="e" cm="1" vm="1">
        <f t="array" aca="1" ref="J53" ca="1">IF($B53="","",_xll.RDP.Data($B53,"TR.Revenue")/_xll.RDP.Data($B53,"TR.TotalReceivablesNet"))</f>
        <v>#VALUE!</v>
      </c>
      <c r="K53" s="158" t="e" vm="1">
        <f ca="1">IF($B53="","",_xll.RDP.Data($B53,"TR.TtlDebtToTtlEquityPct"))</f>
        <v>#VALUE!</v>
      </c>
      <c r="L53" s="159" t="e" vm="1">
        <f ca="1">IF($B53="","",_xll.RDP.Data($B53,"TR.LTDebtToTtlCapitalPct"))</f>
        <v>#VALUE!</v>
      </c>
      <c r="M53" s="158" t="e" vm="1">
        <f ca="1">IF($B53="","",_xll.RDP.Data($B53,"TR.QuickRatio"))</f>
        <v>#VALUE!</v>
      </c>
      <c r="N53" s="159" t="e" vm="1">
        <f ca="1">IF($B53="","",_xll.RDP.Data($B53,"TR.CurrentRatio"))</f>
        <v>#VALUE!</v>
      </c>
      <c r="O53" s="164" t="e" cm="1" vm="1">
        <f t="array" aca="1" ref="O53" ca="1">IF($B53="","",_xll.RDP.Data($B53,"TR.EBITDA")/_xll.RDP.Data($B53,"TR.InterestExpense"))</f>
        <v>#VALUE!</v>
      </c>
    </row>
    <row r="54" spans="1:15" s="33" customFormat="1" outlineLevel="1">
      <c r="A54" s="52" t="e" vm="1">
        <f t="shared" ca="1" si="26"/>
        <v>#VALUE!</v>
      </c>
      <c r="B54" s="153" t="str">
        <f t="shared" si="27"/>
        <v>ACI</v>
      </c>
      <c r="C54" s="160" t="e" cm="1" vm="1">
        <f t="array" aca="1" ref="C54" ca="1">IF($B54="","",_xll.RDP.Data($B54,"TR.GrossMargin")/100)</f>
        <v>#VALUE!</v>
      </c>
      <c r="D54" s="161" t="e" cm="1" vm="1">
        <f t="array" aca="1" ref="D54" ca="1">IF($B54="","",_xll.RDP.Data($B54,"TR.OperatingMarginPercent")/100)</f>
        <v>#VALUE!</v>
      </c>
      <c r="E54" s="161" t="e" cm="1" vm="1">
        <f t="array" aca="1" ref="E54" ca="1">IF($B54="","",_xll.RDP.Data($B54,"TR.NetProfitMargin")/100)</f>
        <v>#VALUE!</v>
      </c>
      <c r="F54" s="161" t="e" cm="1" vm="1">
        <f t="array" aca="1" ref="F54" ca="1">IF($B54="","",_xll.RDP.Data($B54,"TR.ROAActValue")/100)</f>
        <v>#VALUE!</v>
      </c>
      <c r="G54" s="162" t="e" cm="1" vm="1">
        <f t="array" aca="1" ref="G54" ca="1">IF($B54="","",_xll.RDP.Data($B54,"TR.ROEActValue")/100)</f>
        <v>#VALUE!</v>
      </c>
      <c r="H54" s="158" t="e" vm="1">
        <f ca="1">IF($B54="","",_xll.RDP.Data($B54,"TR.AssetTurnover"))</f>
        <v>#VALUE!</v>
      </c>
      <c r="I54" s="163" t="e" vm="1">
        <f ca="1">IF($B54="","",_xll.RDP.Data($B54,"TR.InventoryTurnover"))</f>
        <v>#VALUE!</v>
      </c>
      <c r="J54" s="163" t="e" cm="1" vm="1">
        <f t="array" aca="1" ref="J54" ca="1">IF($B54="","",_xll.RDP.Data($B54,"TR.Revenue")/_xll.RDP.Data($B54,"TR.TotalReceivablesNet"))</f>
        <v>#VALUE!</v>
      </c>
      <c r="K54" s="158" t="e" vm="1">
        <f ca="1">IF($B54="","",_xll.RDP.Data($B54,"TR.TtlDebtToTtlEquityPct"))</f>
        <v>#VALUE!</v>
      </c>
      <c r="L54" s="159" t="e" vm="1">
        <f ca="1">IF($B54="","",_xll.RDP.Data($B54,"TR.LTDebtToTtlCapitalPct"))</f>
        <v>#VALUE!</v>
      </c>
      <c r="M54" s="158" t="e" vm="1">
        <f ca="1">IF($B54="","",_xll.RDP.Data($B54,"TR.QuickRatio"))</f>
        <v>#VALUE!</v>
      </c>
      <c r="N54" s="159" t="e" vm="1">
        <f ca="1">IF($B54="","",_xll.RDP.Data($B54,"TR.CurrentRatio"))</f>
        <v>#VALUE!</v>
      </c>
      <c r="O54" s="164" t="e" cm="1" vm="1">
        <f t="array" aca="1" ref="O54" ca="1">IF($B54="","",_xll.RDP.Data($B54,"TR.EBITDA")/_xll.RDP.Data($B54,"TR.InterestExpense"))</f>
        <v>#VALUE!</v>
      </c>
    </row>
    <row r="55" spans="1:15" s="33" customFormat="1" outlineLevel="1">
      <c r="A55" s="67" t="e" vm="1">
        <f t="shared" ca="1" si="26"/>
        <v>#VALUE!</v>
      </c>
      <c r="B55" s="165" t="str">
        <f t="shared" si="27"/>
        <v>KR</v>
      </c>
      <c r="C55" s="166" t="e" cm="1" vm="1">
        <f t="array" aca="1" ref="C55" ca="1">IF($B55="","",_xll.RDP.Data($B55,"TR.GrossMargin")/100)</f>
        <v>#VALUE!</v>
      </c>
      <c r="D55" s="167" t="e" cm="1" vm="1">
        <f t="array" aca="1" ref="D55" ca="1">IF($B55="","",_xll.RDP.Data($B55,"TR.OperatingMarginPercent")/100)</f>
        <v>#VALUE!</v>
      </c>
      <c r="E55" s="167" t="e" cm="1" vm="1">
        <f t="array" aca="1" ref="E55" ca="1">IF($B55="","",_xll.RDP.Data($B55,"TR.NetProfitMargin")/100)</f>
        <v>#VALUE!</v>
      </c>
      <c r="F55" s="167" t="e" cm="1" vm="1">
        <f t="array" aca="1" ref="F55" ca="1">IF($B55="","",_xll.RDP.Data($B55,"TR.ROAActValue")/100)</f>
        <v>#VALUE!</v>
      </c>
      <c r="G55" s="168" t="e" cm="1" vm="1">
        <f t="array" aca="1" ref="G55" ca="1">IF($B55="","",_xll.RDP.Data($B55,"TR.ROEActValue")/100)</f>
        <v>#VALUE!</v>
      </c>
      <c r="H55" s="169" t="e" vm="1">
        <f ca="1">IF($B55="","",_xll.RDP.Data($B55,"TR.AssetTurnover"))</f>
        <v>#VALUE!</v>
      </c>
      <c r="I55" s="170" t="e" vm="1">
        <f ca="1">IF($B55="","",_xll.RDP.Data($B55,"TR.InventoryTurnover"))</f>
        <v>#VALUE!</v>
      </c>
      <c r="J55" s="170" t="e" cm="1" vm="1">
        <f t="array" aca="1" ref="J55" ca="1">IF($B55="","",_xll.RDP.Data($B55,"TR.Revenue")/_xll.RDP.Data($B55,"TR.TotalReceivablesNet"))</f>
        <v>#VALUE!</v>
      </c>
      <c r="K55" s="169" t="e" vm="1">
        <f ca="1">IF($B55="","",_xll.RDP.Data($B55,"TR.TtlDebtToTtlEquityPct"))</f>
        <v>#VALUE!</v>
      </c>
      <c r="L55" s="171" t="e" vm="1">
        <f ca="1">IF($B55="","",_xll.RDP.Data($B55,"TR.LTDebtToTtlCapitalPct"))</f>
        <v>#VALUE!</v>
      </c>
      <c r="M55" s="169" t="e" vm="1">
        <f ca="1">IF($B55="","",_xll.RDP.Data($B55,"TR.QuickRatio"))</f>
        <v>#VALUE!</v>
      </c>
      <c r="N55" s="171" t="e" vm="1">
        <f ca="1">IF($B55="","",_xll.RDP.Data($B55,"TR.CurrentRatio"))</f>
        <v>#VALUE!</v>
      </c>
      <c r="O55" s="172" t="e" cm="1" vm="1">
        <f t="array" aca="1" ref="O55" ca="1">IF($B55="","",_xll.RDP.Data($B55,"TR.EBITDA")/_xll.RDP.Data($B55,"TR.InterestExpense"))</f>
        <v>#VALUE!</v>
      </c>
    </row>
    <row r="57" spans="1:15">
      <c r="A57" s="32" t="s">
        <v>349</v>
      </c>
    </row>
    <row r="58" spans="1:15">
      <c r="A58" s="32" t="s">
        <v>304</v>
      </c>
      <c r="C58" s="175" t="e" vm="1">
        <f ca="1">AVERAGE(C48:C52)</f>
        <v>#VALUE!</v>
      </c>
      <c r="D58" s="175" t="e" vm="1">
        <f t="shared" ref="D58:O58" ca="1" si="28">AVERAGE(D48:D52)</f>
        <v>#VALUE!</v>
      </c>
      <c r="E58" s="175" t="e" vm="1">
        <f t="shared" ca="1" si="28"/>
        <v>#VALUE!</v>
      </c>
      <c r="F58" s="175" t="e" vm="1">
        <f t="shared" ca="1" si="28"/>
        <v>#VALUE!</v>
      </c>
      <c r="G58" s="175" t="e" vm="1">
        <f t="shared" ca="1" si="28"/>
        <v>#VALUE!</v>
      </c>
      <c r="H58" s="175" t="e" vm="1">
        <f t="shared" ca="1" si="28"/>
        <v>#VALUE!</v>
      </c>
      <c r="I58" s="175" t="e" vm="1">
        <f t="shared" ca="1" si="28"/>
        <v>#VALUE!</v>
      </c>
      <c r="J58" s="175" t="e" vm="1">
        <f t="shared" ca="1" si="28"/>
        <v>#VALUE!</v>
      </c>
      <c r="K58" s="175" t="e" vm="1">
        <f t="shared" ca="1" si="28"/>
        <v>#VALUE!</v>
      </c>
      <c r="L58" s="175" t="e" vm="1">
        <f t="shared" ca="1" si="28"/>
        <v>#VALUE!</v>
      </c>
      <c r="M58" s="175" t="e" vm="1">
        <f t="shared" ca="1" si="28"/>
        <v>#VALUE!</v>
      </c>
      <c r="N58" s="175" t="e" vm="1">
        <f t="shared" ca="1" si="28"/>
        <v>#VALUE!</v>
      </c>
      <c r="O58" s="175" t="e" vm="1">
        <f t="shared" ca="1" si="28"/>
        <v>#VALUE!</v>
      </c>
    </row>
    <row r="59" spans="1:15">
      <c r="C59" s="175" t="e" vm="1">
        <f ca="1">MEDIAN(C48:C52)</f>
        <v>#VALUE!</v>
      </c>
      <c r="D59" s="175" t="e" vm="1">
        <f t="shared" ref="D59:O59" ca="1" si="29">MEDIAN(D48:D52)</f>
        <v>#VALUE!</v>
      </c>
      <c r="E59" s="175" t="e" vm="1">
        <f t="shared" ca="1" si="29"/>
        <v>#VALUE!</v>
      </c>
      <c r="F59" s="175" t="e" vm="1">
        <f t="shared" ca="1" si="29"/>
        <v>#VALUE!</v>
      </c>
      <c r="G59" s="175" t="e" vm="1">
        <f t="shared" ca="1" si="29"/>
        <v>#VALUE!</v>
      </c>
      <c r="H59" s="175" t="e" vm="1">
        <f t="shared" ca="1" si="29"/>
        <v>#VALUE!</v>
      </c>
      <c r="I59" s="175" t="e" vm="1">
        <f t="shared" ca="1" si="29"/>
        <v>#VALUE!</v>
      </c>
      <c r="J59" s="175" t="e" vm="1">
        <f t="shared" ca="1" si="29"/>
        <v>#VALUE!</v>
      </c>
      <c r="K59" s="175" t="e" vm="1">
        <f t="shared" ca="1" si="29"/>
        <v>#VALUE!</v>
      </c>
      <c r="L59" s="175" t="e" vm="1">
        <f t="shared" ca="1" si="29"/>
        <v>#VALUE!</v>
      </c>
      <c r="M59" s="175" t="e" vm="1">
        <f t="shared" ca="1" si="29"/>
        <v>#VALUE!</v>
      </c>
      <c r="N59" s="175" t="e" vm="1">
        <f t="shared" ca="1" si="29"/>
        <v>#VALUE!</v>
      </c>
      <c r="O59" s="175" t="e" vm="1">
        <f t="shared" ca="1" si="29"/>
        <v>#VALUE!</v>
      </c>
    </row>
  </sheetData>
  <conditionalFormatting sqref="D42:P43">
    <cfRule type="cellIs" dxfId="6" priority="1" operator="lessThan">
      <formula>$C$37</formula>
    </cfRule>
    <cfRule type="cellIs" dxfId="5" priority="2" operator="greaterThan">
      <formula>$C$37</formula>
    </cfRule>
  </conditionalFormatting>
  <hyperlinks>
    <hyperlink ref="J54" tooltip="Thomson Reuters Click-Thru" xr:uid="{64C99EA4-9807-774E-8A3C-2794A353E0D2}"/>
    <hyperlink ref="G13" tooltip="Thomson Reuters Click-Thru" xr:uid="{E8AB3F66-6CA6-764C-8DE0-BC5DEAF02ED6}"/>
    <hyperlink ref="H13" tooltip="Thomson Reuters Click-Thru" xr:uid="{BAB6C6F5-FA05-4C48-A6AD-E052695F3FF9}"/>
    <hyperlink ref="J49" tooltip="Thomson Reuters Click-Thru" xr:uid="{74C2B6E0-D0D0-A44E-AABB-68E5B7366850}"/>
    <hyperlink ref="G7" tooltip="Thomson Reuters Click-Thru" xr:uid="{D7DCEFED-49D4-5D49-A96B-EC1711997FDA}"/>
    <hyperlink ref="G8" tooltip="Thomson Reuters Click-Thru" xr:uid="{3A716440-782B-1E49-8A00-07E619370E07}"/>
    <hyperlink ref="J51" tooltip="Thomson Reuters Click-Thru" xr:uid="{2C1A4C1D-1800-8D40-84DB-F485FF40F87A}"/>
    <hyperlink ref="G9" tooltip="Thomson Reuters Click-Thru" xr:uid="{3F0D8874-51C3-5C41-8CF5-CB6994BBF0C3}"/>
    <hyperlink ref="G10" tooltip="Thomson Reuters Click-Thru" xr:uid="{219B9F0A-1609-094E-904E-70FC1FCB9C92}"/>
    <hyperlink ref="J53" tooltip="Thomson Reuters Click-Thru" xr:uid="{26E68A2E-7318-4E40-AB54-6FF0B1F40250}"/>
    <hyperlink ref="H7:H8" tooltip="Thomson Reuters Click-Thru" xr:uid="{DD47EA5F-017C-4A4D-A108-D0D075B0981D}"/>
    <hyperlink ref="H6" tooltip="Thomson Reuters Click-Thru" xr:uid="{87096FCC-D8F8-514D-9EE8-7DD152703870}"/>
    <hyperlink ref="G6" tooltip="Thomson Reuters Click-Thru" xr:uid="{E608CA8C-6051-D942-8905-E906125987AC}"/>
    <hyperlink ref="J48" tooltip="Thomson Reuters Click-Thru" xr:uid="{188077C8-156A-C042-A413-98155E53EF54}"/>
    <hyperlink ref="H9" tooltip="Thomson Reuters Click-Thru" xr:uid="{67B3073A-6BEC-8A4E-A051-C112A507BEE4}"/>
    <hyperlink ref="H11" tooltip="Thomson Reuters Click-Thru" xr:uid="{F9453874-0738-C54B-BE7E-3911AFAF4F40}"/>
    <hyperlink ref="G11" tooltip="Thomson Reuters Click-Thru" xr:uid="{0723DBA2-6F44-AE45-B76C-2F730458B2E6}"/>
    <hyperlink ref="H12" tooltip="Thomson Reuters Click-Thru" xr:uid="{534B86B4-7308-3E4D-A9D3-05763C3BAF1B}"/>
    <hyperlink ref="G12" tooltip="Thomson Reuters Click-Thru" xr:uid="{A0EE26F7-B2F5-D04C-9164-3ACD3F579BDE}"/>
  </hyperlinks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695B-8424-A247-80A8-B8CB8E8254A2}">
  <dimension ref="A1:AD58"/>
  <sheetViews>
    <sheetView workbookViewId="0">
      <selection activeCell="J38" sqref="J38"/>
    </sheetView>
  </sheetViews>
  <sheetFormatPr baseColWidth="10" defaultRowHeight="14" outlineLevelRow="1"/>
  <cols>
    <col min="1" max="1" width="23.75" style="32" bestFit="1" customWidth="1"/>
    <col min="2" max="2" width="7.25" style="36" bestFit="1" customWidth="1"/>
    <col min="3" max="4" width="8.875" style="32" customWidth="1"/>
    <col min="5" max="5" width="8" style="32" customWidth="1"/>
    <col min="6" max="6" width="8.125" style="32" bestFit="1" customWidth="1"/>
    <col min="7" max="8" width="7.375" style="32" customWidth="1"/>
    <col min="9" max="9" width="8.625" style="32" customWidth="1"/>
    <col min="10" max="10" width="7.375" style="32" customWidth="1"/>
    <col min="11" max="11" width="7.125" style="32" bestFit="1" customWidth="1"/>
    <col min="12" max="12" width="8.625" style="32" customWidth="1"/>
    <col min="13" max="13" width="7" style="32" bestFit="1" customWidth="1"/>
    <col min="14" max="14" width="8.625" style="32" customWidth="1"/>
    <col min="15" max="16" width="7" style="32" customWidth="1"/>
    <col min="17" max="17" width="7" style="32" bestFit="1" customWidth="1"/>
    <col min="18" max="16384" width="10.625" style="32"/>
  </cols>
  <sheetData>
    <row r="1" spans="1:30">
      <c r="C1" s="32" t="s">
        <v>268</v>
      </c>
    </row>
    <row r="2" spans="1:30">
      <c r="A2" s="37" t="s">
        <v>269</v>
      </c>
      <c r="B2" s="38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1:30">
      <c r="A3" s="39" t="s">
        <v>270</v>
      </c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30">
      <c r="A4" s="42" t="s">
        <v>271</v>
      </c>
      <c r="B4" s="43"/>
      <c r="C4" s="44" t="s">
        <v>272</v>
      </c>
      <c r="D4" s="45" t="s">
        <v>273</v>
      </c>
      <c r="E4" s="45" t="s">
        <v>274</v>
      </c>
      <c r="F4" s="45" t="s">
        <v>275</v>
      </c>
      <c r="G4" s="45" t="s">
        <v>115</v>
      </c>
      <c r="H4" s="45"/>
      <c r="I4" s="45" t="s">
        <v>276</v>
      </c>
      <c r="J4" s="46" t="s">
        <v>277</v>
      </c>
      <c r="K4" s="46"/>
      <c r="L4" s="47" t="s">
        <v>278</v>
      </c>
    </row>
    <row r="5" spans="1:30">
      <c r="A5" s="48" t="s">
        <v>279</v>
      </c>
      <c r="B5" s="48" t="s">
        <v>280</v>
      </c>
      <c r="C5" s="49" t="s">
        <v>138</v>
      </c>
      <c r="D5" s="50" t="s">
        <v>281</v>
      </c>
      <c r="E5" s="50" t="s">
        <v>282</v>
      </c>
      <c r="F5" s="50" t="s">
        <v>283</v>
      </c>
      <c r="G5" s="50" t="s">
        <v>284</v>
      </c>
      <c r="H5" s="50" t="s">
        <v>285</v>
      </c>
      <c r="I5" s="50" t="s">
        <v>286</v>
      </c>
      <c r="J5" s="51" t="s">
        <v>286</v>
      </c>
      <c r="K5" s="51" t="s">
        <v>209</v>
      </c>
      <c r="L5" s="48" t="s">
        <v>287</v>
      </c>
    </row>
    <row r="6" spans="1:30" s="33" customFormat="1">
      <c r="A6" s="52" t="s">
        <v>1566</v>
      </c>
      <c r="B6" s="53" t="s">
        <v>335</v>
      </c>
      <c r="C6" s="54">
        <v>167.17</v>
      </c>
      <c r="D6" s="55">
        <v>171.345</v>
      </c>
      <c r="E6" s="56">
        <v>123.781318</v>
      </c>
      <c r="F6" s="57">
        <v>20692.522930059997</v>
      </c>
      <c r="G6" s="57">
        <v>2519</v>
      </c>
      <c r="H6" s="57">
        <v>202</v>
      </c>
      <c r="I6" s="58">
        <v>23009.522930059997</v>
      </c>
      <c r="J6" s="57">
        <v>328</v>
      </c>
      <c r="K6" s="59">
        <v>0.409236127992057</v>
      </c>
      <c r="L6" s="60">
        <v>162.19895</v>
      </c>
      <c r="M6" s="61"/>
    </row>
    <row r="7" spans="1:30" s="33" customFormat="1">
      <c r="A7" s="52" t="s">
        <v>1567</v>
      </c>
      <c r="B7" s="53" t="s">
        <v>337</v>
      </c>
      <c r="C7" s="62">
        <v>96.63</v>
      </c>
      <c r="D7" s="63">
        <v>109.3</v>
      </c>
      <c r="E7" s="56">
        <v>817.01095699999996</v>
      </c>
      <c r="F7" s="58">
        <v>78947.768774909986</v>
      </c>
      <c r="G7" s="58">
        <v>8549</v>
      </c>
      <c r="H7" s="58">
        <v>966</v>
      </c>
      <c r="I7" s="58">
        <v>86530.768774909986</v>
      </c>
      <c r="J7" s="58">
        <v>609</v>
      </c>
      <c r="K7" s="64">
        <v>0.419754439410916</v>
      </c>
      <c r="L7" s="65">
        <v>105.23227</v>
      </c>
      <c r="M7" s="61"/>
    </row>
    <row r="8" spans="1:30" s="33" customFormat="1">
      <c r="A8" s="52" t="s">
        <v>1568</v>
      </c>
      <c r="B8" s="53" t="s">
        <v>336</v>
      </c>
      <c r="C8" s="62">
        <v>59.84</v>
      </c>
      <c r="D8" s="63">
        <v>65.87</v>
      </c>
      <c r="E8" s="56">
        <v>2477.9468569999999</v>
      </c>
      <c r="F8" s="58">
        <v>148280.33992288</v>
      </c>
      <c r="G8" s="58">
        <v>31555.074878880499</v>
      </c>
      <c r="H8" s="58">
        <v>1431.36194585766</v>
      </c>
      <c r="I8" s="58">
        <v>178404.05285590282</v>
      </c>
      <c r="J8" s="58">
        <v>19977.265955216099</v>
      </c>
      <c r="K8" s="64">
        <v>0.47908689960329098</v>
      </c>
      <c r="L8" s="65">
        <v>72.459469999999996</v>
      </c>
      <c r="M8" s="61"/>
    </row>
    <row r="9" spans="1:30" s="33" customFormat="1">
      <c r="A9" s="52" t="s">
        <v>1569</v>
      </c>
      <c r="B9" s="53" t="s">
        <v>338</v>
      </c>
      <c r="C9" s="62">
        <v>179.26</v>
      </c>
      <c r="D9" s="63">
        <v>180.43</v>
      </c>
      <c r="E9" s="56">
        <v>2355.041729</v>
      </c>
      <c r="F9" s="58">
        <v>422164.78034053999</v>
      </c>
      <c r="G9" s="58">
        <v>32460</v>
      </c>
      <c r="H9" s="58">
        <v>9482</v>
      </c>
      <c r="I9" s="58">
        <v>445142.78034053999</v>
      </c>
      <c r="J9" s="58">
        <v>50287</v>
      </c>
      <c r="K9" s="64">
        <v>0.43545640838391197</v>
      </c>
      <c r="L9" s="65">
        <v>182.63679999999999</v>
      </c>
      <c r="M9" s="61"/>
      <c r="N9" s="33" t="s">
        <v>1575</v>
      </c>
    </row>
    <row r="10" spans="1:30" s="33" customFormat="1">
      <c r="A10" s="52" t="s">
        <v>1570</v>
      </c>
      <c r="B10" s="173" t="s">
        <v>339</v>
      </c>
      <c r="C10" s="62">
        <v>27.759271596713301</v>
      </c>
      <c r="D10" s="63">
        <v>31.727510140579</v>
      </c>
      <c r="E10" s="56">
        <v>702.342489</v>
      </c>
      <c r="F10" s="58">
        <v>19496.515906062625</v>
      </c>
      <c r="G10" s="58">
        <v>5550.3129035462398</v>
      </c>
      <c r="H10" s="58">
        <v>208.999701996623</v>
      </c>
      <c r="I10" s="58">
        <v>24837.829107612244</v>
      </c>
      <c r="J10" s="58">
        <v>7037.4490910896993</v>
      </c>
      <c r="K10" s="64">
        <v>0.36592707814612802</v>
      </c>
      <c r="L10" s="65">
        <v>30.065032979028501</v>
      </c>
      <c r="M10" s="61"/>
      <c r="N10" s="635">
        <f>AVERAGE(K6:K10)</f>
        <v>0.42189219070726069</v>
      </c>
    </row>
    <row r="11" spans="1:30" s="33" customFormat="1">
      <c r="A11" s="52" t="s">
        <v>327</v>
      </c>
      <c r="B11" s="66"/>
      <c r="C11" s="62" t="s">
        <v>327</v>
      </c>
      <c r="D11" s="63" t="s">
        <v>327</v>
      </c>
      <c r="E11" s="56" t="s">
        <v>327</v>
      </c>
      <c r="F11" s="58" t="s">
        <v>327</v>
      </c>
      <c r="G11" s="58" t="s">
        <v>327</v>
      </c>
      <c r="H11" s="58" t="s">
        <v>327</v>
      </c>
      <c r="I11" s="58" t="s">
        <v>327</v>
      </c>
      <c r="J11" s="58" t="s">
        <v>327</v>
      </c>
      <c r="K11" s="64" t="s">
        <v>327</v>
      </c>
      <c r="L11" s="65" t="s">
        <v>327</v>
      </c>
      <c r="M11" s="61"/>
    </row>
    <row r="12" spans="1:30" s="33" customFormat="1">
      <c r="A12" s="52" t="s">
        <v>327</v>
      </c>
      <c r="B12" s="66"/>
      <c r="C12" s="62" t="s">
        <v>327</v>
      </c>
      <c r="D12" s="63" t="s">
        <v>327</v>
      </c>
      <c r="E12" s="56" t="s">
        <v>327</v>
      </c>
      <c r="F12" s="58" t="s">
        <v>327</v>
      </c>
      <c r="G12" s="58" t="s">
        <v>327</v>
      </c>
      <c r="H12" s="58" t="s">
        <v>327</v>
      </c>
      <c r="I12" s="58" t="s">
        <v>327</v>
      </c>
      <c r="J12" s="58" t="s">
        <v>327</v>
      </c>
      <c r="K12" s="64" t="s">
        <v>327</v>
      </c>
      <c r="L12" s="65" t="s">
        <v>327</v>
      </c>
      <c r="M12" s="61"/>
    </row>
    <row r="13" spans="1:30" s="34" customFormat="1">
      <c r="A13" s="67" t="s">
        <v>1571</v>
      </c>
      <c r="B13" s="68" t="s">
        <v>253</v>
      </c>
      <c r="C13" s="69">
        <v>139.35</v>
      </c>
      <c r="D13" s="70">
        <v>149.30500000000001</v>
      </c>
      <c r="E13" s="71">
        <v>333.48530499999998</v>
      </c>
      <c r="F13" s="72">
        <v>46471.177251749992</v>
      </c>
      <c r="G13" s="72">
        <v>8010</v>
      </c>
      <c r="H13" s="72">
        <v>1093</v>
      </c>
      <c r="I13" s="72">
        <v>53388.177251749992</v>
      </c>
      <c r="J13" s="72">
        <v>915</v>
      </c>
      <c r="K13" s="73">
        <v>0.41491656430259499</v>
      </c>
      <c r="L13" s="74">
        <v>150.76777999999999</v>
      </c>
      <c r="M13" s="61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</row>
    <row r="14" spans="1:30">
      <c r="C14" s="32" t="s">
        <v>327</v>
      </c>
      <c r="D14" s="32" t="s">
        <v>327</v>
      </c>
      <c r="E14" s="32" t="s">
        <v>327</v>
      </c>
      <c r="F14" s="32" t="s">
        <v>327</v>
      </c>
      <c r="G14" s="32" t="s">
        <v>327</v>
      </c>
      <c r="H14" s="32" t="s">
        <v>327</v>
      </c>
      <c r="I14" s="32" t="s">
        <v>327</v>
      </c>
      <c r="J14" s="32" t="s">
        <v>327</v>
      </c>
      <c r="K14" s="32" t="s">
        <v>327</v>
      </c>
      <c r="L14" s="32" t="s">
        <v>327</v>
      </c>
    </row>
    <row r="15" spans="1:30" ht="16">
      <c r="A15" s="39" t="s">
        <v>288</v>
      </c>
      <c r="B15" s="75"/>
      <c r="C15" s="39" t="s">
        <v>289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76"/>
      <c r="Q15" s="41"/>
    </row>
    <row r="16" spans="1:30">
      <c r="A16" s="42"/>
      <c r="B16" s="43"/>
      <c r="C16" s="77" t="s">
        <v>290</v>
      </c>
      <c r="D16" s="78"/>
      <c r="E16" s="78"/>
      <c r="F16" s="79"/>
      <c r="G16" s="77" t="s">
        <v>291</v>
      </c>
      <c r="H16" s="78"/>
      <c r="I16" s="78"/>
      <c r="J16" s="79"/>
      <c r="K16" s="78" t="s">
        <v>292</v>
      </c>
      <c r="L16" s="78"/>
      <c r="M16" s="79"/>
      <c r="N16" s="77" t="s">
        <v>328</v>
      </c>
      <c r="O16" s="78"/>
      <c r="P16" s="79"/>
      <c r="Q16" s="47" t="s">
        <v>293</v>
      </c>
    </row>
    <row r="17" spans="1:18">
      <c r="A17" s="48" t="s">
        <v>279</v>
      </c>
      <c r="B17" s="48" t="s">
        <v>280</v>
      </c>
      <c r="C17" s="80" t="s">
        <v>294</v>
      </c>
      <c r="D17" s="81" t="s">
        <v>295</v>
      </c>
      <c r="E17" s="81" t="s">
        <v>296</v>
      </c>
      <c r="F17" s="82" t="s">
        <v>297</v>
      </c>
      <c r="G17" s="80" t="s">
        <v>294</v>
      </c>
      <c r="H17" s="81" t="s">
        <v>295</v>
      </c>
      <c r="I17" s="81" t="s">
        <v>296</v>
      </c>
      <c r="J17" s="82" t="s">
        <v>297</v>
      </c>
      <c r="K17" s="80" t="s">
        <v>294</v>
      </c>
      <c r="L17" s="81" t="s">
        <v>295</v>
      </c>
      <c r="M17" s="82" t="s">
        <v>296</v>
      </c>
      <c r="N17" s="80" t="s">
        <v>294</v>
      </c>
      <c r="O17" s="81" t="s">
        <v>295</v>
      </c>
      <c r="P17" s="82" t="s">
        <v>296</v>
      </c>
      <c r="Q17" s="48" t="s">
        <v>298</v>
      </c>
    </row>
    <row r="18" spans="1:18">
      <c r="A18" s="83" t="s">
        <v>1566</v>
      </c>
      <c r="B18" s="84" t="s">
        <v>335</v>
      </c>
      <c r="C18" s="85">
        <v>7093</v>
      </c>
      <c r="D18" s="85">
        <v>7057.6823999999997</v>
      </c>
      <c r="E18" s="85">
        <v>7229.6344200000003</v>
      </c>
      <c r="F18" s="86">
        <v>7441.8577999999998</v>
      </c>
      <c r="G18" s="87">
        <v>5.9202000000000004</v>
      </c>
      <c r="H18" s="87">
        <v>6.8494200000000003</v>
      </c>
      <c r="I18" s="87">
        <v>7.2858299999999998</v>
      </c>
      <c r="J18" s="88">
        <v>7.6716199999999999</v>
      </c>
      <c r="K18" s="89">
        <v>1037.40255</v>
      </c>
      <c r="L18" s="89">
        <v>1187.62906</v>
      </c>
      <c r="M18" s="90">
        <v>1274.44371</v>
      </c>
      <c r="N18" s="91">
        <v>1267.3263099999999</v>
      </c>
      <c r="O18" s="89">
        <v>1409.9817499999999</v>
      </c>
      <c r="P18" s="90">
        <v>1493.43588</v>
      </c>
      <c r="Q18" s="92">
        <v>8.3000000000000004E-2</v>
      </c>
    </row>
    <row r="19" spans="1:18">
      <c r="A19" s="83" t="s">
        <v>1567</v>
      </c>
      <c r="B19" s="84" t="s">
        <v>337</v>
      </c>
      <c r="C19" s="85">
        <v>19457</v>
      </c>
      <c r="D19" s="85">
        <v>20196.716410000001</v>
      </c>
      <c r="E19" s="85">
        <v>20829.984759999999</v>
      </c>
      <c r="F19" s="93">
        <v>21712.259239999999</v>
      </c>
      <c r="G19" s="87">
        <v>3.2132499999999999</v>
      </c>
      <c r="H19" s="87">
        <v>3.5951</v>
      </c>
      <c r="I19" s="87">
        <v>3.8628</v>
      </c>
      <c r="J19" s="88">
        <v>4.1867999999999999</v>
      </c>
      <c r="K19" s="89">
        <v>4000.04324</v>
      </c>
      <c r="L19" s="89">
        <v>4385.1477400000003</v>
      </c>
      <c r="M19" s="90">
        <v>4665.3708299999998</v>
      </c>
      <c r="N19" s="91">
        <v>4569.5037499999999</v>
      </c>
      <c r="O19" s="89">
        <v>4996.8178099999996</v>
      </c>
      <c r="P19" s="90">
        <v>5288.6668200000004</v>
      </c>
      <c r="Q19" s="92">
        <v>8.9399999999999993E-2</v>
      </c>
    </row>
    <row r="20" spans="1:18">
      <c r="A20" s="83" t="s">
        <v>1568</v>
      </c>
      <c r="B20" s="84" t="s">
        <v>336</v>
      </c>
      <c r="C20" s="85">
        <v>65778.641033847205</v>
      </c>
      <c r="D20" s="85">
        <v>64843.099190000001</v>
      </c>
      <c r="E20" s="85">
        <v>67355.352159999995</v>
      </c>
      <c r="F20" s="93">
        <v>70946.493960000007</v>
      </c>
      <c r="G20" s="87">
        <v>2.7988499999999998</v>
      </c>
      <c r="H20" s="87">
        <v>3.0483500000000001</v>
      </c>
      <c r="I20" s="87">
        <v>3.2738200000000002</v>
      </c>
      <c r="J20" s="88">
        <v>3.3932000000000002</v>
      </c>
      <c r="K20" s="89">
        <v>10875.895420000001</v>
      </c>
      <c r="L20" s="89">
        <v>11573.29689</v>
      </c>
      <c r="M20" s="90">
        <v>12401.005569999999</v>
      </c>
      <c r="N20" s="91">
        <v>12428.49699</v>
      </c>
      <c r="O20" s="89">
        <v>13160.42786</v>
      </c>
      <c r="P20" s="90">
        <v>14166.195170000001</v>
      </c>
      <c r="Q20" s="92"/>
    </row>
    <row r="21" spans="1:18">
      <c r="A21" s="83" t="s">
        <v>1569</v>
      </c>
      <c r="B21" s="84" t="s">
        <v>338</v>
      </c>
      <c r="C21" s="85">
        <v>84039</v>
      </c>
      <c r="D21" s="85">
        <v>85890.838310000006</v>
      </c>
      <c r="E21" s="85">
        <v>88834.117199999993</v>
      </c>
      <c r="F21" s="93">
        <v>92306.280710000006</v>
      </c>
      <c r="G21" s="87">
        <v>6.5534400000000002</v>
      </c>
      <c r="H21" s="87">
        <v>6.9609199999999998</v>
      </c>
      <c r="I21" s="87">
        <v>7.4259199999999996</v>
      </c>
      <c r="J21" s="88">
        <v>7.9376300000000004</v>
      </c>
      <c r="K21" s="89">
        <v>19943.976449999998</v>
      </c>
      <c r="L21" s="89">
        <v>21190.124520000001</v>
      </c>
      <c r="M21" s="90">
        <v>22498.79</v>
      </c>
      <c r="N21" s="91">
        <v>23111.655320000002</v>
      </c>
      <c r="O21" s="89">
        <v>24198.478480000002</v>
      </c>
      <c r="P21" s="90">
        <v>25691.563139999998</v>
      </c>
      <c r="Q21" s="92">
        <v>6.4750000000000002E-2</v>
      </c>
    </row>
    <row r="22" spans="1:18">
      <c r="A22" s="83" t="s">
        <v>1570</v>
      </c>
      <c r="B22" s="84" t="s">
        <v>339</v>
      </c>
      <c r="C22" s="94">
        <v>14616.7676567001</v>
      </c>
      <c r="D22" s="85">
        <v>13656.6447393081</v>
      </c>
      <c r="E22" s="85">
        <v>14027.254582255699</v>
      </c>
      <c r="F22" s="93">
        <v>14258.888405540099</v>
      </c>
      <c r="G22" s="95">
        <v>1.7001291309962201</v>
      </c>
      <c r="H22" s="87">
        <v>1.7687482500513301</v>
      </c>
      <c r="I22" s="87">
        <v>1.95674220222874</v>
      </c>
      <c r="J22" s="88">
        <v>2.0759393724450801</v>
      </c>
      <c r="K22" s="85">
        <v>1701.3008752211999</v>
      </c>
      <c r="L22" s="85">
        <v>1847.0118285917799</v>
      </c>
      <c r="M22" s="93">
        <v>1962.90019397279</v>
      </c>
      <c r="N22" s="94">
        <v>2536.6907389162598</v>
      </c>
      <c r="O22" s="85">
        <v>2460.0274157577101</v>
      </c>
      <c r="P22" s="93">
        <v>2594.7842872671399</v>
      </c>
      <c r="Q22" s="92"/>
    </row>
    <row r="23" spans="1:18">
      <c r="A23" s="83" t="s">
        <v>327</v>
      </c>
      <c r="B23" s="84" t="s">
        <v>327</v>
      </c>
      <c r="C23" s="94" t="s">
        <v>327</v>
      </c>
      <c r="D23" s="85" t="s">
        <v>327</v>
      </c>
      <c r="E23" s="85" t="s">
        <v>327</v>
      </c>
      <c r="F23" s="93" t="s">
        <v>327</v>
      </c>
      <c r="G23" s="95" t="s">
        <v>327</v>
      </c>
      <c r="H23" s="87" t="s">
        <v>327</v>
      </c>
      <c r="I23" s="87" t="s">
        <v>327</v>
      </c>
      <c r="J23" s="88" t="s">
        <v>327</v>
      </c>
      <c r="K23" s="85" t="s">
        <v>327</v>
      </c>
      <c r="L23" s="85" t="s">
        <v>327</v>
      </c>
      <c r="M23" s="93" t="s">
        <v>327</v>
      </c>
      <c r="N23" s="94" t="s">
        <v>327</v>
      </c>
      <c r="O23" s="85" t="s">
        <v>327</v>
      </c>
      <c r="P23" s="93" t="s">
        <v>327</v>
      </c>
      <c r="Q23" s="92" t="s">
        <v>327</v>
      </c>
      <c r="R23" s="96"/>
    </row>
    <row r="24" spans="1:18">
      <c r="A24" s="83" t="s">
        <v>327</v>
      </c>
      <c r="B24" s="84" t="s">
        <v>327</v>
      </c>
      <c r="C24" s="94" t="s">
        <v>327</v>
      </c>
      <c r="D24" s="85" t="s">
        <v>327</v>
      </c>
      <c r="E24" s="85" t="s">
        <v>327</v>
      </c>
      <c r="F24" s="93" t="s">
        <v>327</v>
      </c>
      <c r="G24" s="95" t="s">
        <v>327</v>
      </c>
      <c r="H24" s="87" t="s">
        <v>327</v>
      </c>
      <c r="I24" s="87" t="s">
        <v>327</v>
      </c>
      <c r="J24" s="88" t="s">
        <v>327</v>
      </c>
      <c r="K24" s="85" t="s">
        <v>327</v>
      </c>
      <c r="L24" s="85" t="s">
        <v>327</v>
      </c>
      <c r="M24" s="93" t="s">
        <v>327</v>
      </c>
      <c r="N24" s="94" t="s">
        <v>327</v>
      </c>
      <c r="O24" s="85" t="s">
        <v>327</v>
      </c>
      <c r="P24" s="93" t="s">
        <v>327</v>
      </c>
      <c r="Q24" s="92" t="s">
        <v>327</v>
      </c>
    </row>
    <row r="25" spans="1:18">
      <c r="A25" s="97" t="s">
        <v>1571</v>
      </c>
      <c r="B25" s="98" t="s">
        <v>253</v>
      </c>
      <c r="C25" s="98">
        <v>20431</v>
      </c>
      <c r="D25" s="99">
        <v>20004.186000000002</v>
      </c>
      <c r="E25" s="99">
        <v>20018.651529999999</v>
      </c>
      <c r="F25" s="100">
        <v>20533.325570000001</v>
      </c>
      <c r="G25" s="101">
        <v>6.5898899999999996</v>
      </c>
      <c r="H25" s="102">
        <v>7.3416699999999997</v>
      </c>
      <c r="I25" s="102">
        <v>7.6281699999999999</v>
      </c>
      <c r="J25" s="103">
        <v>7.9993100000000004</v>
      </c>
      <c r="K25" s="99">
        <v>2952.6959999999999</v>
      </c>
      <c r="L25" s="99">
        <v>3262.29367</v>
      </c>
      <c r="M25" s="100">
        <v>3316.1038699999999</v>
      </c>
      <c r="N25" s="98">
        <v>3807.5394999999999</v>
      </c>
      <c r="O25" s="99">
        <v>4023.0772900000002</v>
      </c>
      <c r="P25" s="100">
        <v>4096.7881399999997</v>
      </c>
      <c r="Q25" s="104">
        <v>7.16667E-2</v>
      </c>
    </row>
    <row r="27" spans="1:18" ht="16">
      <c r="A27" s="39" t="s">
        <v>299</v>
      </c>
      <c r="B27" s="75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76"/>
      <c r="Q27" s="41"/>
    </row>
    <row r="28" spans="1:18">
      <c r="A28" s="42"/>
      <c r="B28" s="47"/>
      <c r="C28" s="47" t="s">
        <v>272</v>
      </c>
      <c r="D28" s="47" t="s">
        <v>300</v>
      </c>
      <c r="E28" s="77" t="s">
        <v>301</v>
      </c>
      <c r="F28" s="105"/>
      <c r="G28" s="106"/>
      <c r="H28" s="77" t="s">
        <v>302</v>
      </c>
      <c r="I28" s="105"/>
      <c r="J28" s="106"/>
      <c r="K28" s="77" t="s">
        <v>303</v>
      </c>
      <c r="L28" s="105"/>
      <c r="M28" s="106"/>
      <c r="N28" s="77" t="s">
        <v>329</v>
      </c>
      <c r="O28" s="105"/>
      <c r="P28" s="106"/>
    </row>
    <row r="29" spans="1:18">
      <c r="A29" s="48" t="s">
        <v>279</v>
      </c>
      <c r="B29" s="48" t="s">
        <v>280</v>
      </c>
      <c r="C29" s="48" t="s">
        <v>138</v>
      </c>
      <c r="D29" s="48" t="s">
        <v>277</v>
      </c>
      <c r="E29" s="80" t="s">
        <v>295</v>
      </c>
      <c r="F29" s="81" t="s">
        <v>296</v>
      </c>
      <c r="G29" s="82" t="s">
        <v>297</v>
      </c>
      <c r="H29" s="80" t="s">
        <v>295</v>
      </c>
      <c r="I29" s="81" t="s">
        <v>296</v>
      </c>
      <c r="J29" s="82" t="s">
        <v>297</v>
      </c>
      <c r="K29" s="80" t="s">
        <v>295</v>
      </c>
      <c r="L29" s="81" t="s">
        <v>296</v>
      </c>
      <c r="M29" s="82" t="s">
        <v>297</v>
      </c>
      <c r="N29" s="80" t="s">
        <v>294</v>
      </c>
      <c r="O29" s="81" t="s">
        <v>295</v>
      </c>
      <c r="P29" s="82" t="s">
        <v>296</v>
      </c>
    </row>
    <row r="30" spans="1:18">
      <c r="A30" s="83" t="s">
        <v>1566</v>
      </c>
      <c r="B30" s="107" t="s">
        <v>335</v>
      </c>
      <c r="C30" s="108">
        <v>167.17</v>
      </c>
      <c r="D30" s="109">
        <v>63.086960152621941</v>
      </c>
      <c r="E30" s="109">
        <v>2.9319147217590857</v>
      </c>
      <c r="F30" s="110">
        <v>2.8621810907639222</v>
      </c>
      <c r="G30" s="111">
        <v>2.7805587645144199</v>
      </c>
      <c r="H30" s="112">
        <v>24.406446093245847</v>
      </c>
      <c r="I30" s="113">
        <v>22.944537547540911</v>
      </c>
      <c r="J30" s="114">
        <v>21.79070391912008</v>
      </c>
      <c r="K30" s="112">
        <v>2.9405356738850417</v>
      </c>
      <c r="L30" s="113">
        <v>2.7644021141615553</v>
      </c>
      <c r="M30" s="114">
        <v>2.6253860143518168</v>
      </c>
      <c r="N30" s="113">
        <v>18.15595774229606</v>
      </c>
      <c r="O30" s="113">
        <v>16.319021810076617</v>
      </c>
      <c r="P30" s="114">
        <v>15.407104676003899</v>
      </c>
    </row>
    <row r="31" spans="1:18">
      <c r="A31" s="83" t="s">
        <v>1567</v>
      </c>
      <c r="B31" s="107" t="s">
        <v>337</v>
      </c>
      <c r="C31" s="108">
        <v>96.63</v>
      </c>
      <c r="D31" s="109">
        <v>129.63508830034479</v>
      </c>
      <c r="E31" s="109">
        <v>3.9089407987043168</v>
      </c>
      <c r="F31" s="110">
        <v>3.7901020900655706</v>
      </c>
      <c r="G31" s="111">
        <v>3.6360918457286249</v>
      </c>
      <c r="H31" s="112">
        <v>26.878250952685597</v>
      </c>
      <c r="I31" s="113">
        <v>25.015532774153463</v>
      </c>
      <c r="J31" s="114">
        <v>23.079678991114932</v>
      </c>
      <c r="K31" s="112">
        <v>3.0065157665196423</v>
      </c>
      <c r="L31" s="113">
        <v>2.7981580284287992</v>
      </c>
      <c r="M31" s="114">
        <v>2.5816195739502161</v>
      </c>
      <c r="N31" s="113">
        <v>18.936579004866772</v>
      </c>
      <c r="O31" s="113">
        <v>17.3171750632449</v>
      </c>
      <c r="P31" s="114">
        <v>16.361546627909902</v>
      </c>
    </row>
    <row r="32" spans="1:18">
      <c r="A32" s="83" t="s">
        <v>1568</v>
      </c>
      <c r="B32" s="107" t="s">
        <v>336</v>
      </c>
      <c r="C32" s="108">
        <v>59.84</v>
      </c>
      <c r="D32" s="109">
        <v>7.422454116358387</v>
      </c>
      <c r="E32" s="109">
        <v>2.2867559042543042</v>
      </c>
      <c r="F32" s="110">
        <v>2.2014633606345919</v>
      </c>
      <c r="G32" s="111">
        <v>2.0900305518477236</v>
      </c>
      <c r="H32" s="112">
        <v>19.630291797201764</v>
      </c>
      <c r="I32" s="113">
        <v>18.278341509307172</v>
      </c>
      <c r="J32" s="114">
        <v>17.635270541082164</v>
      </c>
      <c r="K32" s="112"/>
      <c r="L32" s="113"/>
      <c r="M32" s="114"/>
      <c r="N32" s="113">
        <v>14.354435053526357</v>
      </c>
      <c r="O32" s="113">
        <v>13.556098232804935</v>
      </c>
      <c r="P32" s="114">
        <v>12.59364640363788</v>
      </c>
    </row>
    <row r="33" spans="1:17">
      <c r="A33" s="83" t="s">
        <v>1569</v>
      </c>
      <c r="B33" s="107" t="s">
        <v>338</v>
      </c>
      <c r="C33" s="108">
        <v>179.26</v>
      </c>
      <c r="D33" s="109">
        <v>8.3951076886777898</v>
      </c>
      <c r="E33" s="109">
        <v>4.9151316793165893</v>
      </c>
      <c r="F33" s="110">
        <v>4.7522820471112874</v>
      </c>
      <c r="G33" s="111">
        <v>4.5735217267269306</v>
      </c>
      <c r="H33" s="112">
        <v>25.752343081086984</v>
      </c>
      <c r="I33" s="113">
        <v>24.139769887098165</v>
      </c>
      <c r="J33" s="114">
        <v>22.583567135278411</v>
      </c>
      <c r="K33" s="112">
        <v>3.9771958426389165</v>
      </c>
      <c r="L33" s="113">
        <v>3.7281497895132301</v>
      </c>
      <c r="M33" s="114">
        <v>3.4878095961819939</v>
      </c>
      <c r="N33" s="113">
        <v>19.260532150431011</v>
      </c>
      <c r="O33" s="113">
        <v>18.395486340533754</v>
      </c>
      <c r="P33" s="114">
        <v>17.326418712432613</v>
      </c>
    </row>
    <row r="34" spans="1:17">
      <c r="A34" s="83" t="s">
        <v>1570</v>
      </c>
      <c r="B34" s="107" t="s">
        <v>339</v>
      </c>
      <c r="C34" s="108">
        <v>27.759271596713301</v>
      </c>
      <c r="D34" s="109">
        <v>2.7703953028587702</v>
      </c>
      <c r="E34" s="109">
        <v>1.4276212260208796</v>
      </c>
      <c r="F34" s="110">
        <v>1.3899024781888163</v>
      </c>
      <c r="G34" s="111">
        <v>1.367323689726579</v>
      </c>
      <c r="H34" s="112">
        <v>15.69430335600768</v>
      </c>
      <c r="I34" s="113">
        <v>14.186473601425543</v>
      </c>
      <c r="J34" s="114">
        <v>13.371908623717616</v>
      </c>
      <c r="K34" s="112"/>
      <c r="L34" s="113"/>
      <c r="M34" s="114"/>
      <c r="N34" s="113">
        <v>9.7914297263621535</v>
      </c>
      <c r="O34" s="113">
        <v>10.096565976668993</v>
      </c>
      <c r="P34" s="114">
        <v>9.5722134704969122</v>
      </c>
    </row>
    <row r="35" spans="1:17">
      <c r="A35" s="83" t="s">
        <v>327</v>
      </c>
      <c r="B35" s="107" t="s">
        <v>327</v>
      </c>
      <c r="C35" s="108" t="s">
        <v>327</v>
      </c>
      <c r="D35" s="109" t="s">
        <v>327</v>
      </c>
      <c r="E35" s="109" t="s">
        <v>327</v>
      </c>
      <c r="F35" s="110" t="s">
        <v>327</v>
      </c>
      <c r="G35" s="111" t="s">
        <v>327</v>
      </c>
      <c r="H35" s="112" t="s">
        <v>327</v>
      </c>
      <c r="I35" s="113" t="s">
        <v>327</v>
      </c>
      <c r="J35" s="114" t="s">
        <v>327</v>
      </c>
      <c r="K35" s="112" t="s">
        <v>327</v>
      </c>
      <c r="L35" s="113" t="s">
        <v>327</v>
      </c>
      <c r="M35" s="114" t="s">
        <v>327</v>
      </c>
      <c r="N35" s="113" t="s">
        <v>327</v>
      </c>
      <c r="O35" s="113" t="s">
        <v>327</v>
      </c>
      <c r="P35" s="114" t="s">
        <v>327</v>
      </c>
    </row>
    <row r="36" spans="1:17">
      <c r="A36" s="83" t="s">
        <v>327</v>
      </c>
      <c r="B36" s="107" t="s">
        <v>327</v>
      </c>
      <c r="C36" s="108" t="s">
        <v>327</v>
      </c>
      <c r="D36" s="109" t="s">
        <v>327</v>
      </c>
      <c r="E36" s="109" t="s">
        <v>327</v>
      </c>
      <c r="F36" s="110" t="s">
        <v>327</v>
      </c>
      <c r="G36" s="111" t="s">
        <v>327</v>
      </c>
      <c r="H36" s="112" t="s">
        <v>327</v>
      </c>
      <c r="I36" s="113" t="s">
        <v>327</v>
      </c>
      <c r="J36" s="114" t="s">
        <v>327</v>
      </c>
      <c r="K36" s="112" t="s">
        <v>327</v>
      </c>
      <c r="L36" s="113" t="s">
        <v>327</v>
      </c>
      <c r="M36" s="114" t="s">
        <v>327</v>
      </c>
      <c r="N36" s="112" t="s">
        <v>327</v>
      </c>
      <c r="O36" s="113" t="s">
        <v>327</v>
      </c>
      <c r="P36" s="114" t="s">
        <v>327</v>
      </c>
    </row>
    <row r="37" spans="1:17">
      <c r="A37" s="97" t="s">
        <v>1571</v>
      </c>
      <c r="B37" s="115" t="s">
        <v>253</v>
      </c>
      <c r="C37" s="115">
        <v>139.35</v>
      </c>
      <c r="D37" s="116">
        <v>50.788171859836055</v>
      </c>
      <c r="E37" s="116">
        <v>2.3230726434832185</v>
      </c>
      <c r="F37" s="117">
        <v>2.3213939851097449</v>
      </c>
      <c r="G37" s="118">
        <v>2.2632075400219738</v>
      </c>
      <c r="H37" s="119">
        <v>18.98069512794773</v>
      </c>
      <c r="I37" s="120">
        <v>18.267815216493602</v>
      </c>
      <c r="J37" s="121">
        <v>17.420252496777845</v>
      </c>
      <c r="K37" s="119">
        <v>2.6484678557750994</v>
      </c>
      <c r="L37" s="120">
        <v>2.5489962864892068</v>
      </c>
      <c r="M37" s="121">
        <v>2.430731775954222</v>
      </c>
      <c r="N37" s="119">
        <v>14.021700169295681</v>
      </c>
      <c r="O37" s="120">
        <v>13.270482618977969</v>
      </c>
      <c r="P37" s="121">
        <v>13.031715438365334</v>
      </c>
    </row>
    <row r="39" spans="1:17">
      <c r="C39" s="122" t="s">
        <v>122</v>
      </c>
      <c r="D39" s="123">
        <v>42.262001112172335</v>
      </c>
      <c r="E39" s="123">
        <v>3.094072866011035</v>
      </c>
      <c r="F39" s="124">
        <v>2.9991862133528371</v>
      </c>
      <c r="G39" s="125">
        <v>2.8895053157088553</v>
      </c>
      <c r="H39" s="126">
        <v>22.472327056045579</v>
      </c>
      <c r="I39" s="127">
        <v>20.912931063905052</v>
      </c>
      <c r="J39" s="128">
        <v>19.692225842062641</v>
      </c>
      <c r="K39" s="126">
        <v>3.4588657582619788</v>
      </c>
      <c r="L39" s="126">
        <v>3.2462759518373927</v>
      </c>
      <c r="M39" s="126">
        <v>3.0565978052669056</v>
      </c>
      <c r="N39" s="126">
        <v>16.099786735496473</v>
      </c>
      <c r="O39" s="127">
        <v>15.136869484665841</v>
      </c>
      <c r="P39" s="128">
        <v>14.252185978096241</v>
      </c>
    </row>
    <row r="40" spans="1:17">
      <c r="C40" s="122" t="s">
        <v>304</v>
      </c>
      <c r="D40" s="129">
        <v>8.3951076886777898</v>
      </c>
      <c r="E40" s="129">
        <v>2.9319147217590857</v>
      </c>
      <c r="F40" s="130">
        <v>2.8621810907639222</v>
      </c>
      <c r="G40" s="131">
        <v>2.7805587645144199</v>
      </c>
      <c r="H40" s="132">
        <v>24.406446093245847</v>
      </c>
      <c r="I40" s="133">
        <v>22.944537547540911</v>
      </c>
      <c r="J40" s="134">
        <v>21.79070391912008</v>
      </c>
      <c r="K40" s="132">
        <v>3.4588657582619788</v>
      </c>
      <c r="L40" s="132">
        <v>3.2462759518373927</v>
      </c>
      <c r="M40" s="132">
        <v>3.0565978052669056</v>
      </c>
      <c r="N40" s="132">
        <v>18.15595774229606</v>
      </c>
      <c r="O40" s="133">
        <v>16.319021810076617</v>
      </c>
      <c r="P40" s="134">
        <v>15.407104676003899</v>
      </c>
    </row>
    <row r="42" spans="1:17">
      <c r="C42" s="122" t="s">
        <v>122</v>
      </c>
      <c r="D42" s="135">
        <v>115.95632682416903</v>
      </c>
      <c r="E42" s="135">
        <v>185.59861013737273</v>
      </c>
      <c r="F42" s="136">
        <v>180.03690950847349</v>
      </c>
      <c r="G42" s="137">
        <v>177.91234724329328</v>
      </c>
      <c r="H42" s="135">
        <v>164.98440937755814</v>
      </c>
      <c r="I42" s="136">
        <v>159.52739335374861</v>
      </c>
      <c r="J42" s="137">
        <v>157.52421910067011</v>
      </c>
      <c r="K42" s="135">
        <v>181.98934994162767</v>
      </c>
      <c r="L42" s="136">
        <v>177.46928714109612</v>
      </c>
      <c r="M42" s="137">
        <v>175.22990746140019</v>
      </c>
      <c r="N42" s="135">
        <v>163.07637284641035</v>
      </c>
      <c r="O42" s="136">
        <v>161.86559064560026</v>
      </c>
      <c r="P42" s="137">
        <v>154.3431920760016</v>
      </c>
    </row>
    <row r="43" spans="1:17">
      <c r="C43" s="122" t="s">
        <v>304</v>
      </c>
      <c r="D43" s="138">
        <v>23.034069027839706</v>
      </c>
      <c r="E43" s="138">
        <v>175.87151982665924</v>
      </c>
      <c r="F43" s="139">
        <v>171.81268563470363</v>
      </c>
      <c r="G43" s="140">
        <v>171.20430052620026</v>
      </c>
      <c r="H43" s="138">
        <v>179.18407308940024</v>
      </c>
      <c r="I43" s="139">
        <v>175.02483298402515</v>
      </c>
      <c r="J43" s="140">
        <v>174.31059576725644</v>
      </c>
      <c r="K43" s="138">
        <v>181.98934994162767</v>
      </c>
      <c r="L43" s="139">
        <v>177.46928714109612</v>
      </c>
      <c r="M43" s="140">
        <v>175.22990746140019</v>
      </c>
      <c r="N43" s="138">
        <v>186.55252669716006</v>
      </c>
      <c r="O43" s="139">
        <v>176.12675928594194</v>
      </c>
      <c r="P43" s="140">
        <v>168.53109527087352</v>
      </c>
    </row>
    <row r="44" spans="1:17" s="35" customFormat="1">
      <c r="B44" s="141"/>
      <c r="C44" s="32"/>
      <c r="D44" s="142" t="s">
        <v>305</v>
      </c>
      <c r="E44" s="143"/>
      <c r="F44" s="143"/>
      <c r="G44" s="143"/>
      <c r="H44" s="142" t="s">
        <v>306</v>
      </c>
      <c r="I44" s="142" t="s">
        <v>307</v>
      </c>
      <c r="J44" s="142" t="s">
        <v>308</v>
      </c>
      <c r="K44" s="142" t="s">
        <v>309</v>
      </c>
      <c r="L44" s="142" t="s">
        <v>310</v>
      </c>
      <c r="M44" s="142" t="s">
        <v>311</v>
      </c>
      <c r="N44" s="142" t="s">
        <v>330</v>
      </c>
      <c r="O44" s="142" t="s">
        <v>331</v>
      </c>
    </row>
    <row r="45" spans="1:17" ht="16">
      <c r="A45" s="39" t="s">
        <v>312</v>
      </c>
      <c r="B45" s="75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76"/>
      <c r="Q45" s="41"/>
    </row>
    <row r="46" spans="1:17" s="33" customFormat="1" outlineLevel="1">
      <c r="A46" s="144"/>
      <c r="B46" s="145"/>
      <c r="C46" s="146" t="s">
        <v>313</v>
      </c>
      <c r="D46" s="147" t="s">
        <v>314</v>
      </c>
      <c r="E46" s="147" t="s">
        <v>315</v>
      </c>
      <c r="F46" s="147"/>
      <c r="G46" s="148"/>
      <c r="H46" s="146" t="s">
        <v>316</v>
      </c>
      <c r="I46" s="147" t="s">
        <v>317</v>
      </c>
      <c r="J46" s="147" t="s">
        <v>318</v>
      </c>
      <c r="K46" s="146"/>
      <c r="L46" s="148"/>
      <c r="M46" s="146" t="s">
        <v>319</v>
      </c>
      <c r="N46" s="148" t="s">
        <v>332</v>
      </c>
      <c r="O46" s="148" t="s">
        <v>333</v>
      </c>
    </row>
    <row r="47" spans="1:17" s="33" customFormat="1" outlineLevel="1">
      <c r="A47" s="149" t="s">
        <v>279</v>
      </c>
      <c r="B47" s="149" t="s">
        <v>280</v>
      </c>
      <c r="C47" s="150" t="s">
        <v>320</v>
      </c>
      <c r="D47" s="151" t="s">
        <v>320</v>
      </c>
      <c r="E47" s="151" t="s">
        <v>320</v>
      </c>
      <c r="F47" s="151" t="s">
        <v>321</v>
      </c>
      <c r="G47" s="152" t="s">
        <v>322</v>
      </c>
      <c r="H47" s="150" t="s">
        <v>323</v>
      </c>
      <c r="I47" s="151" t="s">
        <v>323</v>
      </c>
      <c r="J47" s="151" t="s">
        <v>323</v>
      </c>
      <c r="K47" s="150" t="s">
        <v>324</v>
      </c>
      <c r="L47" s="152" t="s">
        <v>325</v>
      </c>
      <c r="M47" s="150" t="s">
        <v>326</v>
      </c>
      <c r="N47" s="152" t="s">
        <v>326</v>
      </c>
      <c r="O47" s="152" t="s">
        <v>334</v>
      </c>
      <c r="P47" s="63"/>
    </row>
    <row r="48" spans="1:17" s="33" customFormat="1" outlineLevel="1">
      <c r="A48" s="52" t="s">
        <v>1566</v>
      </c>
      <c r="B48" s="153" t="s">
        <v>335</v>
      </c>
      <c r="C48" s="154">
        <v>0.43211620000000006</v>
      </c>
      <c r="D48" s="155">
        <v>5.6111700000000007E-2</v>
      </c>
      <c r="E48" s="155">
        <v>3.9475500000000004E-2</v>
      </c>
      <c r="F48" s="155">
        <v>0.13169</v>
      </c>
      <c r="G48" s="155">
        <v>2.81019</v>
      </c>
      <c r="H48" s="156">
        <v>1.2128932968999999</v>
      </c>
      <c r="I48" s="157">
        <v>6.0435108777000002</v>
      </c>
      <c r="J48" s="157">
        <v>10.205755395683454</v>
      </c>
      <c r="K48" s="158">
        <v>767.98780487800002</v>
      </c>
      <c r="L48" s="159">
        <v>83.095317170399994</v>
      </c>
      <c r="M48" s="158">
        <v>0.62578999999999996</v>
      </c>
      <c r="N48" s="159">
        <v>1.0305</v>
      </c>
      <c r="O48" s="176">
        <v>16.2987012987013</v>
      </c>
      <c r="P48" s="63"/>
    </row>
    <row r="49" spans="1:15" s="33" customFormat="1" outlineLevel="1">
      <c r="A49" s="52" t="s">
        <v>1567</v>
      </c>
      <c r="B49" s="153" t="s">
        <v>337</v>
      </c>
      <c r="C49" s="160">
        <v>0.58210410000000001</v>
      </c>
      <c r="D49" s="161">
        <v>0.1907797</v>
      </c>
      <c r="E49" s="161">
        <v>0.11820940000000001</v>
      </c>
      <c r="F49" s="161">
        <v>0.16699000000000003</v>
      </c>
      <c r="G49" s="162">
        <v>5.3109000000000002</v>
      </c>
      <c r="H49" s="158">
        <v>1.2113684472999999</v>
      </c>
      <c r="I49" s="163">
        <v>4.0573852295000004</v>
      </c>
      <c r="J49" s="163">
        <v>12.26796973518285</v>
      </c>
      <c r="K49" s="158">
        <v>1403.776683087</v>
      </c>
      <c r="L49" s="159">
        <v>86.461182411099998</v>
      </c>
      <c r="M49" s="158">
        <v>0.70555000000000001</v>
      </c>
      <c r="N49" s="159">
        <v>1.11348</v>
      </c>
      <c r="O49" s="164">
        <v>15.979094076655052</v>
      </c>
    </row>
    <row r="50" spans="1:15" s="33" customFormat="1" outlineLevel="1">
      <c r="A50" s="52" t="s">
        <v>1568</v>
      </c>
      <c r="B50" s="153" t="s">
        <v>336</v>
      </c>
      <c r="C50" s="160">
        <v>0.422371</v>
      </c>
      <c r="D50" s="161">
        <v>0.16133150000000002</v>
      </c>
      <c r="E50" s="161">
        <v>0.108835</v>
      </c>
      <c r="F50" s="161">
        <v>8.7400000000000005E-2</v>
      </c>
      <c r="G50" s="162">
        <v>0.36049999999999999</v>
      </c>
      <c r="H50" s="158">
        <v>0.77869446789999996</v>
      </c>
      <c r="I50" s="163">
        <v>6.2314932127000002</v>
      </c>
      <c r="J50" s="163">
        <v>10.482588814632431</v>
      </c>
      <c r="K50" s="158">
        <v>157.95492210809999</v>
      </c>
      <c r="L50" s="159">
        <v>48.001296675200003</v>
      </c>
      <c r="M50" s="158">
        <v>0.54379999999999995</v>
      </c>
      <c r="N50" s="159">
        <v>0.76156000000000001</v>
      </c>
      <c r="O50" s="164">
        <v>10.706976744186047</v>
      </c>
    </row>
    <row r="51" spans="1:15" s="33" customFormat="1" outlineLevel="1">
      <c r="A51" s="52" t="s">
        <v>1569</v>
      </c>
      <c r="B51" s="153" t="s">
        <v>338</v>
      </c>
      <c r="C51" s="160">
        <v>0.51689099999999999</v>
      </c>
      <c r="D51" s="161">
        <v>0.217637</v>
      </c>
      <c r="E51" s="161">
        <v>0.1736694</v>
      </c>
      <c r="F51" s="161">
        <v>0.13390000000000002</v>
      </c>
      <c r="G51" s="162">
        <v>0.33350000000000002</v>
      </c>
      <c r="H51" s="158">
        <v>0.69111303909999999</v>
      </c>
      <c r="I51" s="163">
        <v>5.7633614877000001</v>
      </c>
      <c r="J51" s="163">
        <v>13.736351748937562</v>
      </c>
      <c r="K51" s="158">
        <v>64.549485950600001</v>
      </c>
      <c r="L51" s="159">
        <v>30.437610667400001</v>
      </c>
      <c r="M51" s="158">
        <v>0.52615000000000001</v>
      </c>
      <c r="N51" s="159">
        <v>0.73480000000000001</v>
      </c>
      <c r="O51" s="164">
        <v>25.064864864864866</v>
      </c>
    </row>
    <row r="52" spans="1:15" s="33" customFormat="1" outlineLevel="1">
      <c r="A52" s="52" t="s">
        <v>1570</v>
      </c>
      <c r="B52" s="153" t="s">
        <v>339</v>
      </c>
      <c r="C52" s="160">
        <v>0.30255460000000001</v>
      </c>
      <c r="D52" s="161">
        <v>0.1029447</v>
      </c>
      <c r="E52" s="161">
        <v>6.4153500000000002E-2</v>
      </c>
      <c r="F52" s="161">
        <v>5.6260000000000004E-2</v>
      </c>
      <c r="G52" s="162">
        <v>0.153</v>
      </c>
      <c r="H52" s="158">
        <v>0.71155459590000003</v>
      </c>
      <c r="I52" s="163">
        <v>4.4203385449999999</v>
      </c>
      <c r="J52" s="163">
        <v>5.0981186986799711</v>
      </c>
      <c r="K52" s="158">
        <v>78.868249442500002</v>
      </c>
      <c r="L52" s="159">
        <v>31.332791247799999</v>
      </c>
      <c r="M52" s="158">
        <v>0.69215000000000004</v>
      </c>
      <c r="N52" s="159">
        <v>1.0202100000000001</v>
      </c>
      <c r="O52" s="164">
        <v>19.939871152469578</v>
      </c>
    </row>
    <row r="53" spans="1:15" s="33" customFormat="1" outlineLevel="1">
      <c r="A53" s="52" t="s">
        <v>327</v>
      </c>
      <c r="B53" s="153" t="s">
        <v>327</v>
      </c>
      <c r="C53" s="160" t="s">
        <v>327</v>
      </c>
      <c r="D53" s="161" t="s">
        <v>327</v>
      </c>
      <c r="E53" s="161" t="s">
        <v>327</v>
      </c>
      <c r="F53" s="161" t="s">
        <v>327</v>
      </c>
      <c r="G53" s="162" t="s">
        <v>327</v>
      </c>
      <c r="H53" s="158" t="s">
        <v>327</v>
      </c>
      <c r="I53" s="163" t="s">
        <v>327</v>
      </c>
      <c r="J53" s="163" t="s">
        <v>327</v>
      </c>
      <c r="K53" s="158" t="s">
        <v>327</v>
      </c>
      <c r="L53" s="159" t="s">
        <v>327</v>
      </c>
      <c r="M53" s="158" t="s">
        <v>327</v>
      </c>
      <c r="N53" s="159" t="s">
        <v>327</v>
      </c>
      <c r="O53" s="164" t="s">
        <v>327</v>
      </c>
    </row>
    <row r="54" spans="1:15" s="33" customFormat="1" outlineLevel="1">
      <c r="A54" s="52" t="s">
        <v>327</v>
      </c>
      <c r="B54" s="153" t="s">
        <v>327</v>
      </c>
      <c r="C54" s="160" t="s">
        <v>327</v>
      </c>
      <c r="D54" s="161" t="s">
        <v>327</v>
      </c>
      <c r="E54" s="161" t="s">
        <v>327</v>
      </c>
      <c r="F54" s="161" t="s">
        <v>327</v>
      </c>
      <c r="G54" s="162" t="s">
        <v>327</v>
      </c>
      <c r="H54" s="158" t="s">
        <v>327</v>
      </c>
      <c r="I54" s="163" t="s">
        <v>327</v>
      </c>
      <c r="J54" s="163" t="s">
        <v>327</v>
      </c>
      <c r="K54" s="158" t="s">
        <v>327</v>
      </c>
      <c r="L54" s="159" t="s">
        <v>327</v>
      </c>
      <c r="M54" s="158" t="s">
        <v>327</v>
      </c>
      <c r="N54" s="159" t="s">
        <v>327</v>
      </c>
      <c r="O54" s="164" t="s">
        <v>327</v>
      </c>
    </row>
    <row r="55" spans="1:15" s="33" customFormat="1" outlineLevel="1">
      <c r="A55" s="67" t="s">
        <v>1571</v>
      </c>
      <c r="B55" s="165" t="s">
        <v>253</v>
      </c>
      <c r="C55" s="166">
        <v>0.34491700000000003</v>
      </c>
      <c r="D55" s="167">
        <v>0.11472759999999999</v>
      </c>
      <c r="E55" s="167">
        <v>8.6339400000000011E-2</v>
      </c>
      <c r="F55" s="167">
        <v>0.12609000000000001</v>
      </c>
      <c r="G55" s="168">
        <v>3.0464899999999999</v>
      </c>
      <c r="H55" s="169">
        <v>1.1571048309</v>
      </c>
      <c r="I55" s="170">
        <v>6.3371212120999996</v>
      </c>
      <c r="J55" s="170">
        <v>9.5695550351288059</v>
      </c>
      <c r="K55" s="169">
        <v>875.40983606559996</v>
      </c>
      <c r="L55" s="171">
        <v>81.989424983500001</v>
      </c>
      <c r="M55" s="169">
        <v>0.54083999999999999</v>
      </c>
      <c r="N55" s="171">
        <v>0.82294</v>
      </c>
      <c r="O55" s="172">
        <v>12.665529010238908</v>
      </c>
    </row>
    <row r="57" spans="1:15">
      <c r="A57" s="32" t="s">
        <v>349</v>
      </c>
      <c r="C57" s="175">
        <f t="shared" ref="C57:O57" si="0">AVERAGE(C48:C52)</f>
        <v>0.45120738000000005</v>
      </c>
      <c r="D57" s="175">
        <f t="shared" si="0"/>
        <v>0.14576092000000002</v>
      </c>
      <c r="E57" s="175">
        <f t="shared" si="0"/>
        <v>0.10086856</v>
      </c>
      <c r="F57" s="175">
        <f t="shared" si="0"/>
        <v>0.11524800000000002</v>
      </c>
      <c r="G57" s="175">
        <f t="shared" si="0"/>
        <v>1.7936180000000004</v>
      </c>
      <c r="H57" s="567">
        <f t="shared" si="0"/>
        <v>0.92112476941999988</v>
      </c>
      <c r="I57" s="567">
        <f t="shared" si="0"/>
        <v>5.3032178705200002</v>
      </c>
      <c r="J57" s="567">
        <f t="shared" si="0"/>
        <v>10.358156878623253</v>
      </c>
      <c r="K57" s="567">
        <f t="shared" si="0"/>
        <v>494.62742909324004</v>
      </c>
      <c r="L57" s="567">
        <f t="shared" si="0"/>
        <v>55.865639634380003</v>
      </c>
      <c r="M57" s="567">
        <f t="shared" si="0"/>
        <v>0.61868800000000002</v>
      </c>
      <c r="N57" s="567">
        <f t="shared" si="0"/>
        <v>0.93211000000000011</v>
      </c>
      <c r="O57" s="567">
        <f t="shared" si="0"/>
        <v>17.597901627375371</v>
      </c>
    </row>
    <row r="58" spans="1:15">
      <c r="A58" s="32" t="s">
        <v>304</v>
      </c>
      <c r="C58" s="175">
        <f t="shared" ref="C58:O58" si="1">MEDIAN(C48:C52)</f>
        <v>0.43211620000000006</v>
      </c>
      <c r="D58" s="175">
        <f t="shared" si="1"/>
        <v>0.16133150000000002</v>
      </c>
      <c r="E58" s="175">
        <f t="shared" si="1"/>
        <v>0.108835</v>
      </c>
      <c r="F58" s="175">
        <f t="shared" si="1"/>
        <v>0.13169</v>
      </c>
      <c r="G58" s="175">
        <f t="shared" si="1"/>
        <v>0.36049999999999999</v>
      </c>
      <c r="H58" s="567">
        <f t="shared" si="1"/>
        <v>0.77869446789999996</v>
      </c>
      <c r="I58" s="567">
        <f t="shared" si="1"/>
        <v>5.7633614877000001</v>
      </c>
      <c r="J58" s="567">
        <f t="shared" si="1"/>
        <v>10.482588814632431</v>
      </c>
      <c r="K58" s="567">
        <f t="shared" si="1"/>
        <v>157.95492210809999</v>
      </c>
      <c r="L58" s="567">
        <f t="shared" si="1"/>
        <v>48.001296675200003</v>
      </c>
      <c r="M58" s="567">
        <f t="shared" si="1"/>
        <v>0.62578999999999996</v>
      </c>
      <c r="N58" s="567">
        <f t="shared" si="1"/>
        <v>1.0202100000000001</v>
      </c>
      <c r="O58" s="567">
        <f t="shared" si="1"/>
        <v>16.2987012987013</v>
      </c>
    </row>
  </sheetData>
  <conditionalFormatting sqref="D42:P43">
    <cfRule type="cellIs" dxfId="4" priority="1" operator="lessThan">
      <formula>$C$37</formula>
    </cfRule>
    <cfRule type="cellIs" dxfId="3" priority="2" operator="greaterThan">
      <formula>$C$37</formula>
    </cfRule>
  </conditionalFormatting>
  <hyperlinks>
    <hyperlink ref="J54" tooltip="Thomson Reuters Click-Thru" xr:uid="{A34404FB-DF80-5741-A256-01EDB89E286C}"/>
    <hyperlink ref="G13" tooltip="Thomson Reuters Click-Thru" xr:uid="{80091777-C9B0-DA4F-8C9C-EE00A63DF780}"/>
    <hyperlink ref="H13" tooltip="Thomson Reuters Click-Thru" xr:uid="{E089C335-CB50-A94E-86C8-47C5857C89E5}"/>
    <hyperlink ref="J49" tooltip="Thomson Reuters Click-Thru" xr:uid="{7B4737F9-8C6F-2844-8A93-2EDC22BF6E8B}"/>
    <hyperlink ref="G7" tooltip="Thomson Reuters Click-Thru" xr:uid="{CF84D5BF-17CC-0445-A155-9677A9194F30}"/>
    <hyperlink ref="G8" tooltip="Thomson Reuters Click-Thru" xr:uid="{73A8E8A4-667A-FC45-ACC8-227697054884}"/>
    <hyperlink ref="J51" tooltip="Thomson Reuters Click-Thru" xr:uid="{03284F51-F3C6-424A-9527-84D9F1F08F4A}"/>
    <hyperlink ref="G9" tooltip="Thomson Reuters Click-Thru" xr:uid="{3E633A46-46D1-0D47-ABE1-CF111B9E9163}"/>
    <hyperlink ref="G10" tooltip="Thomson Reuters Click-Thru" xr:uid="{B152AAE3-20E3-4546-9053-3464ACF270F2}"/>
    <hyperlink ref="J53" tooltip="Thomson Reuters Click-Thru" xr:uid="{6E8C8A20-B3D0-264D-8B38-E8CE4D271B01}"/>
    <hyperlink ref="H7:H8" tooltip="Thomson Reuters Click-Thru" xr:uid="{917BF932-87B2-8E40-B911-D8E1FC9513E9}"/>
    <hyperlink ref="H6" tooltip="Thomson Reuters Click-Thru" xr:uid="{EED5FFC7-A64E-3846-887C-F268A58095E2}"/>
    <hyperlink ref="G6" tooltip="Thomson Reuters Click-Thru" xr:uid="{97915A86-ACA4-D44D-9088-C15303CC17CF}"/>
    <hyperlink ref="J48" tooltip="Thomson Reuters Click-Thru" xr:uid="{AEAF91D1-CD89-0140-9E10-D7C395B38E9C}"/>
    <hyperlink ref="H9" tooltip="Thomson Reuters Click-Thru" xr:uid="{E93F5E21-877B-8347-AD1B-7AC66424779A}"/>
    <hyperlink ref="H11" tooltip="Thomson Reuters Click-Thru" xr:uid="{E20E992B-380D-3841-8A96-A3162B014299}"/>
    <hyperlink ref="G11" tooltip="Thomson Reuters Click-Thru" xr:uid="{E818D5D0-1352-E244-90A3-AF0394518328}"/>
    <hyperlink ref="H12" tooltip="Thomson Reuters Click-Thru" xr:uid="{FBA17064-D52F-6B4D-B2AA-34EBB675437A}"/>
    <hyperlink ref="G12" tooltip="Thomson Reuters Click-Thru" xr:uid="{E14424AF-E6D1-374B-B7C7-A0ABF1FC69C3}"/>
  </hyperlinks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1C90-44BF-FC49-B69F-E8ABDC1E8DEF}">
  <dimension ref="B2:J40"/>
  <sheetViews>
    <sheetView showGridLines="0" workbookViewId="0">
      <selection activeCell="B9" sqref="B9"/>
    </sheetView>
  </sheetViews>
  <sheetFormatPr baseColWidth="10" defaultRowHeight="15"/>
  <cols>
    <col min="1" max="1" width="2" style="174" customWidth="1"/>
    <col min="2" max="2" width="62.5" style="174" customWidth="1"/>
    <col min="3" max="16384" width="10.625" style="174"/>
  </cols>
  <sheetData>
    <row r="2" spans="2:10" ht="16" thickBot="1">
      <c r="H2" s="174" t="s">
        <v>0</v>
      </c>
    </row>
    <row r="3" spans="2:10" ht="16">
      <c r="B3" s="256" t="s">
        <v>67</v>
      </c>
      <c r="C3" s="257" t="s">
        <v>104</v>
      </c>
      <c r="D3" s="257" t="s">
        <v>103</v>
      </c>
      <c r="E3" s="257" t="s">
        <v>102</v>
      </c>
      <c r="F3" s="257" t="s">
        <v>66</v>
      </c>
      <c r="G3" s="257" t="s">
        <v>65</v>
      </c>
      <c r="H3" s="257" t="s">
        <v>3</v>
      </c>
      <c r="I3" s="258" t="s">
        <v>2</v>
      </c>
      <c r="J3" s="259" t="s">
        <v>1</v>
      </c>
    </row>
    <row r="4" spans="2:10">
      <c r="B4" s="255" t="s">
        <v>68</v>
      </c>
      <c r="I4" s="174" t="s">
        <v>4</v>
      </c>
      <c r="J4" s="260" t="s">
        <v>4</v>
      </c>
    </row>
    <row r="5" spans="2:10">
      <c r="B5" s="255" t="s">
        <v>18</v>
      </c>
      <c r="C5" s="572">
        <v>2219</v>
      </c>
      <c r="D5" s="572">
        <v>2319</v>
      </c>
      <c r="E5" s="572">
        <v>1445</v>
      </c>
      <c r="F5" s="572">
        <v>2197</v>
      </c>
      <c r="G5" s="572">
        <v>2396</v>
      </c>
      <c r="H5" s="572">
        <v>1844</v>
      </c>
      <c r="I5" s="174">
        <v>1961</v>
      </c>
      <c r="J5" s="260">
        <v>1764</v>
      </c>
    </row>
    <row r="6" spans="2:10">
      <c r="B6" s="255" t="s">
        <v>69</v>
      </c>
      <c r="C6" s="573">
        <v>705</v>
      </c>
      <c r="D6" s="573">
        <v>724</v>
      </c>
      <c r="E6" s="573">
        <v>882</v>
      </c>
      <c r="F6" s="573">
        <v>917</v>
      </c>
      <c r="G6" s="573">
        <v>796</v>
      </c>
      <c r="H6" s="573">
        <v>766</v>
      </c>
      <c r="I6" s="174">
        <v>754</v>
      </c>
      <c r="J6" s="260">
        <v>753</v>
      </c>
    </row>
    <row r="7" spans="2:10">
      <c r="B7" s="255" t="s">
        <v>70</v>
      </c>
      <c r="C7" s="573">
        <v>2</v>
      </c>
      <c r="D7" s="573">
        <v>0</v>
      </c>
      <c r="E7" s="573">
        <v>74</v>
      </c>
      <c r="F7" s="573">
        <v>0</v>
      </c>
      <c r="G7" s="573">
        <v>17</v>
      </c>
      <c r="H7" s="573">
        <v>3</v>
      </c>
      <c r="I7" s="174">
        <v>0</v>
      </c>
      <c r="J7" s="260">
        <v>676</v>
      </c>
    </row>
    <row r="8" spans="2:10">
      <c r="B8" s="255" t="s">
        <v>71</v>
      </c>
      <c r="E8" s="174">
        <v>0</v>
      </c>
      <c r="F8" s="174">
        <v>0</v>
      </c>
      <c r="G8" s="174">
        <v>0</v>
      </c>
      <c r="H8" s="174">
        <v>0</v>
      </c>
      <c r="I8" s="174">
        <v>-85</v>
      </c>
      <c r="J8" s="260">
        <v>0</v>
      </c>
    </row>
    <row r="9" spans="2:10">
      <c r="B9" s="255" t="s">
        <v>72</v>
      </c>
      <c r="C9" s="573">
        <v>77</v>
      </c>
      <c r="D9" s="573">
        <v>76</v>
      </c>
      <c r="E9" s="573">
        <v>41</v>
      </c>
      <c r="F9" s="573">
        <v>96</v>
      </c>
      <c r="G9" s="573">
        <v>147</v>
      </c>
      <c r="H9" s="573">
        <v>26</v>
      </c>
      <c r="I9" s="174">
        <v>150</v>
      </c>
      <c r="J9" s="260">
        <v>169</v>
      </c>
    </row>
    <row r="10" spans="2:10">
      <c r="B10" s="255" t="s">
        <v>73</v>
      </c>
      <c r="C10" s="573">
        <v>-15</v>
      </c>
      <c r="D10" s="573">
        <v>-69</v>
      </c>
      <c r="E10" s="573">
        <v>2</v>
      </c>
      <c r="F10" s="573">
        <v>29</v>
      </c>
      <c r="G10" s="573">
        <v>45</v>
      </c>
      <c r="H10" s="573">
        <v>-70</v>
      </c>
      <c r="I10" s="174">
        <v>-57</v>
      </c>
      <c r="J10" s="260">
        <v>-322</v>
      </c>
    </row>
    <row r="11" spans="2:10">
      <c r="B11" s="255" t="s">
        <v>74</v>
      </c>
      <c r="C11" s="573">
        <v>6</v>
      </c>
      <c r="D11" s="573">
        <v>21</v>
      </c>
      <c r="E11" s="573">
        <v>52</v>
      </c>
      <c r="F11" s="573">
        <v>-193</v>
      </c>
      <c r="G11" s="573">
        <v>68</v>
      </c>
      <c r="H11" s="573">
        <v>39</v>
      </c>
      <c r="I11" s="174">
        <v>15</v>
      </c>
      <c r="J11" s="260">
        <v>-75</v>
      </c>
    </row>
    <row r="12" spans="2:10">
      <c r="B12" s="255" t="s">
        <v>75</v>
      </c>
      <c r="C12" s="573">
        <v>-4</v>
      </c>
      <c r="D12" s="573">
        <v>26</v>
      </c>
      <c r="E12" s="573">
        <v>18</v>
      </c>
      <c r="F12" s="573">
        <v>-6</v>
      </c>
      <c r="G12" s="573">
        <v>-30</v>
      </c>
      <c r="H12" s="573">
        <v>25</v>
      </c>
      <c r="I12" s="174">
        <v>6</v>
      </c>
      <c r="J12" s="260">
        <v>-59</v>
      </c>
    </row>
    <row r="13" spans="2:10">
      <c r="B13" s="255" t="s">
        <v>76</v>
      </c>
      <c r="C13" s="573">
        <v>334</v>
      </c>
      <c r="D13" s="573">
        <v>-148</v>
      </c>
      <c r="E13" s="573">
        <v>389</v>
      </c>
      <c r="F13" s="573">
        <v>-288</v>
      </c>
      <c r="G13" s="573">
        <v>363</v>
      </c>
      <c r="H13" s="573">
        <v>46</v>
      </c>
      <c r="I13" s="174">
        <v>-17</v>
      </c>
      <c r="J13" s="260">
        <v>582</v>
      </c>
    </row>
    <row r="14" spans="2:10">
      <c r="B14" s="255" t="s">
        <v>77</v>
      </c>
      <c r="C14" s="573">
        <v>-50</v>
      </c>
      <c r="D14" s="573">
        <v>2</v>
      </c>
      <c r="E14" s="573">
        <v>-25</v>
      </c>
      <c r="F14" s="573">
        <v>13</v>
      </c>
      <c r="G14" s="573">
        <v>-28</v>
      </c>
      <c r="H14" s="573">
        <v>47</v>
      </c>
      <c r="I14" s="174">
        <v>-4</v>
      </c>
      <c r="J14" s="260">
        <v>24</v>
      </c>
    </row>
    <row r="15" spans="2:10">
      <c r="B15" s="255" t="s">
        <v>78</v>
      </c>
      <c r="C15" s="573">
        <v>-42</v>
      </c>
      <c r="D15" s="573">
        <v>-22</v>
      </c>
      <c r="E15" s="573">
        <v>92</v>
      </c>
      <c r="F15" s="573">
        <v>-29</v>
      </c>
      <c r="G15" s="573">
        <v>-45</v>
      </c>
      <c r="H15" s="573">
        <v>4</v>
      </c>
      <c r="I15" s="174">
        <v>10</v>
      </c>
      <c r="J15" s="260">
        <v>30</v>
      </c>
    </row>
    <row r="16" spans="2:10">
      <c r="B16" s="255" t="s">
        <v>79</v>
      </c>
      <c r="C16" s="573">
        <v>3232</v>
      </c>
      <c r="D16" s="573">
        <v>2929</v>
      </c>
      <c r="E16" s="573">
        <v>2970</v>
      </c>
      <c r="F16" s="573">
        <v>2736</v>
      </c>
      <c r="G16" s="573">
        <v>3729</v>
      </c>
      <c r="H16" s="573">
        <v>2730</v>
      </c>
      <c r="I16" s="174">
        <v>2733</v>
      </c>
      <c r="J16" s="260">
        <v>3542</v>
      </c>
    </row>
    <row r="17" spans="2:10">
      <c r="B17" s="255" t="s">
        <v>80</v>
      </c>
      <c r="I17" s="174" t="s">
        <v>4</v>
      </c>
      <c r="J17" s="260" t="s">
        <v>4</v>
      </c>
    </row>
    <row r="18" spans="2:10">
      <c r="B18" s="255" t="s">
        <v>81</v>
      </c>
      <c r="C18" s="573">
        <v>-771</v>
      </c>
      <c r="D18" s="573">
        <v>-785</v>
      </c>
      <c r="E18" s="573">
        <v>-877</v>
      </c>
      <c r="F18" s="573">
        <v>-1209</v>
      </c>
      <c r="G18" s="573">
        <v>-1217</v>
      </c>
      <c r="H18" s="573">
        <v>-1007</v>
      </c>
      <c r="I18" s="174">
        <v>-876</v>
      </c>
      <c r="J18" s="260">
        <v>-766</v>
      </c>
    </row>
    <row r="19" spans="2:10">
      <c r="B19" s="255" t="s">
        <v>82</v>
      </c>
      <c r="E19" s="573">
        <v>0</v>
      </c>
      <c r="F19" s="573">
        <v>-4</v>
      </c>
      <c r="G19" s="573">
        <v>-1083</v>
      </c>
      <c r="H19" s="573">
        <v>0</v>
      </c>
      <c r="I19" s="174">
        <v>-46</v>
      </c>
      <c r="J19" s="260">
        <v>0</v>
      </c>
    </row>
    <row r="20" spans="2:10">
      <c r="B20" s="255" t="s">
        <v>83</v>
      </c>
      <c r="C20" s="573">
        <v>23</v>
      </c>
      <c r="D20" s="573">
        <v>3</v>
      </c>
      <c r="E20" s="573">
        <v>51</v>
      </c>
      <c r="F20" s="573">
        <v>242</v>
      </c>
      <c r="G20" s="573">
        <v>31</v>
      </c>
      <c r="H20" s="573">
        <v>43</v>
      </c>
      <c r="I20" s="174">
        <v>12</v>
      </c>
      <c r="J20" s="260">
        <v>245</v>
      </c>
    </row>
    <row r="21" spans="2:10">
      <c r="B21" s="255" t="s">
        <v>84</v>
      </c>
      <c r="C21" s="573">
        <v>-221</v>
      </c>
      <c r="D21" s="573">
        <v>-214</v>
      </c>
      <c r="E21" s="573">
        <v>-353</v>
      </c>
      <c r="F21" s="573">
        <v>-568</v>
      </c>
      <c r="G21" s="573">
        <v>-753</v>
      </c>
      <c r="H21" s="573">
        <v>-918</v>
      </c>
      <c r="I21" s="174">
        <v>-658</v>
      </c>
      <c r="J21" s="260">
        <v>-720</v>
      </c>
    </row>
    <row r="22" spans="2:10">
      <c r="B22" s="255" t="s">
        <v>85</v>
      </c>
      <c r="C22" s="573">
        <v>188</v>
      </c>
      <c r="D22" s="573">
        <v>183</v>
      </c>
      <c r="E22" s="573">
        <v>272</v>
      </c>
      <c r="F22" s="573">
        <v>542</v>
      </c>
      <c r="G22" s="573">
        <v>690</v>
      </c>
      <c r="H22" s="573">
        <v>836</v>
      </c>
      <c r="I22" s="174">
        <v>797</v>
      </c>
      <c r="J22" s="260">
        <v>815</v>
      </c>
    </row>
    <row r="23" spans="2:10">
      <c r="B23" s="255" t="s">
        <v>78</v>
      </c>
      <c r="C23" s="573">
        <v>49</v>
      </c>
      <c r="D23" s="573">
        <v>-38</v>
      </c>
      <c r="E23" s="573">
        <v>5</v>
      </c>
      <c r="F23" s="573">
        <v>-45</v>
      </c>
      <c r="G23" s="573">
        <v>27</v>
      </c>
      <c r="H23" s="573">
        <v>-10</v>
      </c>
      <c r="I23" s="174">
        <v>-14</v>
      </c>
      <c r="J23" s="260">
        <v>8</v>
      </c>
    </row>
    <row r="24" spans="2:10">
      <c r="B24" s="255" t="s">
        <v>86</v>
      </c>
      <c r="C24" s="573">
        <v>-732</v>
      </c>
      <c r="D24" s="573">
        <v>-851</v>
      </c>
      <c r="E24" s="573">
        <v>-902</v>
      </c>
      <c r="F24" s="573">
        <v>-1042</v>
      </c>
      <c r="G24" s="573">
        <v>-2305</v>
      </c>
      <c r="H24" s="573">
        <v>-1056</v>
      </c>
      <c r="I24" s="174">
        <v>-785</v>
      </c>
      <c r="J24" s="260">
        <v>-418</v>
      </c>
    </row>
    <row r="25" spans="2:10">
      <c r="B25" s="255" t="s">
        <v>87</v>
      </c>
      <c r="I25" s="174" t="s">
        <v>4</v>
      </c>
      <c r="J25" s="260" t="s">
        <v>4</v>
      </c>
    </row>
    <row r="26" spans="2:10">
      <c r="B26" s="255" t="s">
        <v>88</v>
      </c>
      <c r="C26" s="573">
        <v>-1311</v>
      </c>
      <c r="D26" s="573">
        <v>-1359</v>
      </c>
      <c r="E26" s="573">
        <v>-1386</v>
      </c>
      <c r="F26" s="573">
        <v>-1408</v>
      </c>
      <c r="G26" s="573">
        <v>-1451</v>
      </c>
      <c r="H26" s="573">
        <v>-1516</v>
      </c>
      <c r="I26" s="174">
        <v>-1558</v>
      </c>
      <c r="J26" s="260">
        <v>-1588</v>
      </c>
    </row>
    <row r="27" spans="2:10">
      <c r="B27" s="255" t="s">
        <v>89</v>
      </c>
      <c r="C27" s="573">
        <v>-908</v>
      </c>
      <c r="D27" s="573">
        <v>360</v>
      </c>
      <c r="E27" s="573">
        <v>-34</v>
      </c>
      <c r="F27" s="573">
        <v>303</v>
      </c>
      <c r="G27" s="573">
        <v>-561</v>
      </c>
      <c r="H27" s="573">
        <v>-97</v>
      </c>
      <c r="I27" s="174">
        <v>261</v>
      </c>
      <c r="J27" s="260">
        <v>-371</v>
      </c>
    </row>
    <row r="28" spans="2:10">
      <c r="B28" s="255" t="s">
        <v>90</v>
      </c>
      <c r="C28" s="573">
        <v>1293</v>
      </c>
      <c r="D28" s="573">
        <v>937</v>
      </c>
      <c r="E28" s="573">
        <v>507</v>
      </c>
      <c r="F28" s="573">
        <v>706</v>
      </c>
      <c r="G28" s="573">
        <v>1845</v>
      </c>
      <c r="H28" s="573">
        <v>605</v>
      </c>
      <c r="I28" s="174">
        <v>0</v>
      </c>
      <c r="J28" s="260">
        <v>363</v>
      </c>
    </row>
    <row r="29" spans="2:10">
      <c r="B29" s="255" t="s">
        <v>91</v>
      </c>
      <c r="C29" s="573">
        <v>-598</v>
      </c>
      <c r="D29" s="573">
        <v>-1481</v>
      </c>
      <c r="E29" s="573">
        <v>-407</v>
      </c>
      <c r="F29" s="573">
        <v>-707</v>
      </c>
      <c r="G29" s="573">
        <v>-854</v>
      </c>
      <c r="H29" s="573">
        <v>-269</v>
      </c>
      <c r="I29" s="174">
        <v>-312</v>
      </c>
      <c r="J29" s="260">
        <v>-475</v>
      </c>
    </row>
    <row r="30" spans="2:10">
      <c r="B30" s="255" t="s">
        <v>92</v>
      </c>
      <c r="C30" s="573">
        <v>107</v>
      </c>
      <c r="D30" s="573">
        <v>121</v>
      </c>
      <c r="E30" s="573">
        <v>62</v>
      </c>
      <c r="F30" s="573">
        <v>228</v>
      </c>
      <c r="G30" s="573">
        <v>217</v>
      </c>
      <c r="H30" s="573">
        <v>65</v>
      </c>
      <c r="I30" s="174">
        <v>94</v>
      </c>
      <c r="J30" s="260">
        <v>97</v>
      </c>
    </row>
    <row r="31" spans="2:10">
      <c r="B31" s="255" t="s">
        <v>93</v>
      </c>
      <c r="C31" s="573">
        <v>-739</v>
      </c>
      <c r="D31" s="573">
        <v>-911</v>
      </c>
      <c r="E31" s="573">
        <v>-800</v>
      </c>
      <c r="F31" s="573">
        <v>-800</v>
      </c>
      <c r="G31" s="573">
        <v>-700</v>
      </c>
      <c r="H31" s="573">
        <v>-400</v>
      </c>
      <c r="I31" s="174">
        <v>-100</v>
      </c>
      <c r="J31" s="260">
        <v>-225</v>
      </c>
    </row>
    <row r="32" spans="2:10">
      <c r="B32" s="255" t="s">
        <v>94</v>
      </c>
      <c r="I32" s="174">
        <v>0</v>
      </c>
      <c r="J32" s="260">
        <v>-95</v>
      </c>
    </row>
    <row r="33" spans="2:10">
      <c r="B33" s="255" t="s">
        <v>78</v>
      </c>
      <c r="C33" s="573">
        <v>-29</v>
      </c>
      <c r="D33" s="573">
        <v>-88</v>
      </c>
      <c r="E33" s="573">
        <v>-57</v>
      </c>
      <c r="F33" s="573">
        <v>-114</v>
      </c>
      <c r="G33" s="573">
        <v>-63</v>
      </c>
      <c r="H33" s="573">
        <v>-84</v>
      </c>
      <c r="I33" s="174">
        <v>-47</v>
      </c>
      <c r="J33" s="260">
        <v>-45</v>
      </c>
    </row>
    <row r="34" spans="2:10">
      <c r="B34" s="255" t="s">
        <v>95</v>
      </c>
      <c r="C34" s="573">
        <v>-2185</v>
      </c>
      <c r="D34" s="573">
        <v>-2421</v>
      </c>
      <c r="E34" s="573">
        <v>-2115</v>
      </c>
      <c r="F34" s="573">
        <v>-1792</v>
      </c>
      <c r="G34" s="573">
        <v>-1567</v>
      </c>
      <c r="H34" s="573">
        <v>-1696</v>
      </c>
      <c r="I34" s="174">
        <v>-1760</v>
      </c>
      <c r="J34" s="260">
        <v>-2374</v>
      </c>
    </row>
    <row r="35" spans="2:10">
      <c r="B35" s="255" t="s">
        <v>96</v>
      </c>
      <c r="C35" s="573">
        <v>-11</v>
      </c>
      <c r="D35" s="573">
        <v>36</v>
      </c>
      <c r="E35" s="573">
        <v>-30</v>
      </c>
      <c r="F35" s="573">
        <v>1</v>
      </c>
      <c r="G35" s="573">
        <v>4</v>
      </c>
      <c r="H35" s="573">
        <v>-11</v>
      </c>
      <c r="I35" s="174">
        <v>-31</v>
      </c>
      <c r="J35" s="260">
        <v>-84</v>
      </c>
    </row>
    <row r="36" spans="2:10">
      <c r="B36" s="255" t="s">
        <v>97</v>
      </c>
      <c r="I36" s="174" t="s">
        <v>4</v>
      </c>
      <c r="J36" s="260" t="s">
        <v>4</v>
      </c>
    </row>
    <row r="37" spans="2:10">
      <c r="B37" s="255" t="s">
        <v>98</v>
      </c>
      <c r="E37" s="573">
        <v>0</v>
      </c>
      <c r="F37" s="573">
        <v>0</v>
      </c>
      <c r="G37" s="573">
        <v>0</v>
      </c>
      <c r="H37" s="573">
        <v>0</v>
      </c>
      <c r="I37" s="174">
        <v>-98</v>
      </c>
      <c r="J37" s="260">
        <v>-35</v>
      </c>
    </row>
    <row r="38" spans="2:10">
      <c r="B38" s="255" t="s">
        <v>99</v>
      </c>
      <c r="I38" s="174" t="s">
        <v>4</v>
      </c>
      <c r="J38" s="260" t="s">
        <v>4</v>
      </c>
    </row>
    <row r="39" spans="2:10">
      <c r="B39" s="255" t="s">
        <v>100</v>
      </c>
      <c r="C39" s="573">
        <v>304</v>
      </c>
      <c r="D39" s="573">
        <v>-307</v>
      </c>
      <c r="E39" s="573">
        <v>-77</v>
      </c>
      <c r="F39" s="573">
        <v>-97</v>
      </c>
      <c r="G39" s="573">
        <v>-139</v>
      </c>
      <c r="H39" s="573">
        <v>-33</v>
      </c>
      <c r="I39" s="174">
        <v>157</v>
      </c>
      <c r="J39" s="260">
        <v>666</v>
      </c>
    </row>
    <row r="40" spans="2:10" ht="16" thickBot="1">
      <c r="B40" s="254" t="s">
        <v>101</v>
      </c>
      <c r="C40" s="574">
        <v>923</v>
      </c>
      <c r="D40" s="574">
        <v>616</v>
      </c>
      <c r="E40" s="574">
        <v>539</v>
      </c>
      <c r="F40" s="574">
        <v>442</v>
      </c>
      <c r="G40" s="574">
        <v>303</v>
      </c>
      <c r="H40" s="574">
        <v>270</v>
      </c>
      <c r="I40" s="253">
        <v>427</v>
      </c>
      <c r="J40" s="281">
        <v>1093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681D-C86B-5D44-A2DB-F50CA622FFAD}">
  <dimension ref="B2:J32"/>
  <sheetViews>
    <sheetView workbookViewId="0">
      <selection activeCell="M27" sqref="M27"/>
    </sheetView>
  </sheetViews>
  <sheetFormatPr baseColWidth="10" defaultRowHeight="16"/>
  <cols>
    <col min="2" max="2" width="37.875" bestFit="1" customWidth="1"/>
    <col min="3" max="3" width="13.125" bestFit="1" customWidth="1"/>
    <col min="4" max="4" width="10.125" bestFit="1" customWidth="1"/>
    <col min="5" max="5" width="1.875" bestFit="1" customWidth="1"/>
    <col min="6" max="6" width="4.875" bestFit="1" customWidth="1"/>
    <col min="7" max="7" width="6" bestFit="1" customWidth="1"/>
    <col min="8" max="8" width="1.875" bestFit="1" customWidth="1"/>
    <col min="9" max="9" width="4.875" bestFit="1" customWidth="1"/>
    <col min="10" max="10" width="5.25" bestFit="1" customWidth="1"/>
  </cols>
  <sheetData>
    <row r="2" spans="2:10">
      <c r="B2" s="8"/>
      <c r="C2" t="s">
        <v>121</v>
      </c>
    </row>
    <row r="3" spans="2:10">
      <c r="B3" s="8"/>
      <c r="C3" t="s">
        <v>132</v>
      </c>
      <c r="G3" s="13">
        <v>45657</v>
      </c>
    </row>
    <row r="4" spans="2:10">
      <c r="B4" s="8"/>
      <c r="C4" t="s">
        <v>133</v>
      </c>
      <c r="D4" t="s">
        <v>129</v>
      </c>
      <c r="G4">
        <v>2023</v>
      </c>
      <c r="J4">
        <v>2022</v>
      </c>
    </row>
    <row r="5" spans="2:10">
      <c r="B5" s="8" t="s">
        <v>123</v>
      </c>
      <c r="C5" s="11">
        <v>3.3000000000000002E-2</v>
      </c>
      <c r="D5" t="s">
        <v>130</v>
      </c>
      <c r="G5" s="9">
        <v>7851</v>
      </c>
      <c r="J5" s="9">
        <v>7825</v>
      </c>
    </row>
    <row r="6" spans="2:10">
      <c r="B6" s="8" t="s">
        <v>124</v>
      </c>
      <c r="C6" s="11">
        <v>4.8000000000000001E-2</v>
      </c>
      <c r="D6" t="s">
        <v>134</v>
      </c>
      <c r="G6">
        <v>59</v>
      </c>
      <c r="J6">
        <v>169</v>
      </c>
    </row>
    <row r="7" spans="2:10">
      <c r="B7" s="8" t="s">
        <v>125</v>
      </c>
      <c r="C7" s="11">
        <v>3.3000000000000002E-2</v>
      </c>
      <c r="D7" t="s">
        <v>131</v>
      </c>
      <c r="G7">
        <v>72</v>
      </c>
      <c r="J7">
        <v>55</v>
      </c>
    </row>
    <row r="8" spans="2:10">
      <c r="B8" s="8" t="s">
        <v>126</v>
      </c>
      <c r="G8" s="9">
        <v>7982</v>
      </c>
      <c r="J8" s="9">
        <v>8049</v>
      </c>
    </row>
    <row r="9" spans="2:10">
      <c r="B9" s="12" t="s">
        <v>127</v>
      </c>
      <c r="G9">
        <v>565</v>
      </c>
      <c r="J9">
        <v>471</v>
      </c>
    </row>
    <row r="10" spans="2:10">
      <c r="B10" s="12" t="s">
        <v>128</v>
      </c>
      <c r="G10" s="9">
        <v>7417</v>
      </c>
      <c r="J10" s="9">
        <v>7578</v>
      </c>
    </row>
    <row r="11" spans="2:10">
      <c r="B11" s="12"/>
    </row>
    <row r="12" spans="2:10">
      <c r="B12" s="8"/>
    </row>
    <row r="13" spans="2:10">
      <c r="B13" s="8"/>
    </row>
    <row r="14" spans="2:10">
      <c r="B14" s="8"/>
    </row>
    <row r="15" spans="2:10">
      <c r="B15" s="8"/>
    </row>
    <row r="16" spans="2:10">
      <c r="B16" s="8"/>
    </row>
    <row r="17" spans="2:2">
      <c r="B17" s="8"/>
    </row>
    <row r="18" spans="2:2">
      <c r="B18" s="14"/>
    </row>
    <row r="19" spans="2:2">
      <c r="B19" s="8"/>
    </row>
    <row r="20" spans="2:2">
      <c r="B20" s="8"/>
    </row>
    <row r="21" spans="2:2">
      <c r="B21" s="8"/>
    </row>
    <row r="22" spans="2:2">
      <c r="B22" s="10"/>
    </row>
    <row r="23" spans="2:2">
      <c r="B23" s="8"/>
    </row>
    <row r="24" spans="2:2">
      <c r="B24" s="10"/>
    </row>
    <row r="25" spans="2:2">
      <c r="B25" s="8"/>
    </row>
    <row r="26" spans="2:2">
      <c r="B26" s="8"/>
    </row>
    <row r="27" spans="2:2">
      <c r="B27" s="10"/>
    </row>
    <row r="28" spans="2:2">
      <c r="B28" s="8"/>
    </row>
    <row r="29" spans="2:2">
      <c r="B29" s="8"/>
    </row>
    <row r="30" spans="2:2">
      <c r="B30" s="10"/>
    </row>
    <row r="31" spans="2:2">
      <c r="B31" s="8"/>
    </row>
    <row r="32" spans="2:2">
      <c r="B32" s="10"/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0134-3DCF-844E-AD27-682F69EA1BE9}">
  <dimension ref="B1:M275"/>
  <sheetViews>
    <sheetView showGridLines="0" workbookViewId="0">
      <selection activeCell="D10" sqref="D10"/>
    </sheetView>
  </sheetViews>
  <sheetFormatPr baseColWidth="10" defaultRowHeight="17"/>
  <cols>
    <col min="1" max="16384" width="10.625" style="283"/>
  </cols>
  <sheetData>
    <row r="1" spans="2:13" ht="18" thickBot="1"/>
    <row r="2" spans="2:13" ht="18" thickBot="1">
      <c r="B2" s="575" t="s">
        <v>371</v>
      </c>
      <c r="C2" s="576" t="s">
        <v>372</v>
      </c>
      <c r="D2" s="576" t="s">
        <v>373</v>
      </c>
      <c r="E2" s="576" t="s">
        <v>374</v>
      </c>
      <c r="F2" s="576" t="s">
        <v>375</v>
      </c>
      <c r="G2" s="577" t="s">
        <v>253</v>
      </c>
      <c r="I2" s="673" t="s">
        <v>1605</v>
      </c>
    </row>
    <row r="3" spans="2:13">
      <c r="B3" s="578" t="s">
        <v>372</v>
      </c>
      <c r="C3" s="579">
        <v>1</v>
      </c>
      <c r="D3" s="580">
        <v>4.3902949869999999E-2</v>
      </c>
      <c r="E3" s="580">
        <v>6.3995101930000006E-2</v>
      </c>
      <c r="F3" s="581">
        <v>0.17006251250000001</v>
      </c>
      <c r="G3" s="582">
        <v>7.7566369809999994E-2</v>
      </c>
      <c r="I3" s="670">
        <v>-0.159</v>
      </c>
    </row>
    <row r="4" spans="2:13">
      <c r="B4" s="583" t="s">
        <v>373</v>
      </c>
      <c r="C4" s="584">
        <v>4.3902949869999999E-2</v>
      </c>
      <c r="D4" s="585">
        <v>1</v>
      </c>
      <c r="E4" s="586">
        <v>0.50646796589999998</v>
      </c>
      <c r="F4" s="587">
        <v>0.25974173220000002</v>
      </c>
      <c r="G4" s="588">
        <v>0.30607375250000002</v>
      </c>
      <c r="I4" s="671">
        <v>-8.8099999999999998E-2</v>
      </c>
    </row>
    <row r="5" spans="2:13">
      <c r="B5" s="583" t="s">
        <v>374</v>
      </c>
      <c r="C5" s="584">
        <v>6.3995101930000006E-2</v>
      </c>
      <c r="D5" s="584">
        <v>0.50646796589999998</v>
      </c>
      <c r="E5" s="589">
        <v>1</v>
      </c>
      <c r="F5" s="590">
        <v>0.36537844219999999</v>
      </c>
      <c r="G5" s="591">
        <v>0.34251942540000002</v>
      </c>
      <c r="I5" s="671">
        <v>-7.1800000000000003E-2</v>
      </c>
    </row>
    <row r="6" spans="2:13">
      <c r="B6" s="583" t="s">
        <v>375</v>
      </c>
      <c r="C6" s="592">
        <v>0.17006251250000001</v>
      </c>
      <c r="D6" s="592">
        <v>0.25974173220000002</v>
      </c>
      <c r="E6" s="593">
        <v>0.36537844219999999</v>
      </c>
      <c r="F6" s="594">
        <v>1</v>
      </c>
      <c r="G6" s="591">
        <v>0.33427939849999999</v>
      </c>
      <c r="I6" s="671">
        <v>-1.78E-2</v>
      </c>
    </row>
    <row r="7" spans="2:13" ht="18" thickBot="1">
      <c r="B7" s="595" t="s">
        <v>253</v>
      </c>
      <c r="C7" s="596">
        <v>7.7566369809999994E-2</v>
      </c>
      <c r="D7" s="597">
        <v>0.30607375250000002</v>
      </c>
      <c r="E7" s="598">
        <v>0.34251942540000002</v>
      </c>
      <c r="F7" s="598">
        <v>0.33427939849999999</v>
      </c>
      <c r="G7" s="599">
        <v>1</v>
      </c>
      <c r="I7" s="672">
        <v>0.12640000000000001</v>
      </c>
    </row>
    <row r="8" spans="2:13">
      <c r="B8" s="282"/>
      <c r="C8" s="282"/>
      <c r="D8" s="282"/>
      <c r="E8" s="282"/>
      <c r="F8" s="282"/>
      <c r="G8" s="282"/>
    </row>
    <row r="9" spans="2:13">
      <c r="B9" s="282"/>
      <c r="C9" s="282"/>
      <c r="D9" s="282"/>
      <c r="E9" s="282"/>
      <c r="F9" s="282"/>
      <c r="G9" s="282"/>
    </row>
    <row r="10" spans="2:13">
      <c r="B10" s="282"/>
      <c r="C10" s="282"/>
      <c r="D10" s="282"/>
      <c r="E10" s="282"/>
      <c r="F10" s="282"/>
      <c r="G10" s="282"/>
    </row>
    <row r="11" spans="2:13">
      <c r="B11" s="282"/>
      <c r="C11" s="282"/>
      <c r="D11" s="282"/>
      <c r="E11" s="282"/>
      <c r="F11" s="282"/>
      <c r="G11" s="282"/>
    </row>
    <row r="12" spans="2:13">
      <c r="B12" s="282"/>
      <c r="C12" s="282"/>
      <c r="D12" s="282"/>
      <c r="E12" s="282"/>
      <c r="F12" s="282"/>
      <c r="G12" s="282"/>
    </row>
    <row r="13" spans="2:13">
      <c r="B13" s="282"/>
      <c r="C13" s="282" t="s">
        <v>372</v>
      </c>
      <c r="D13" s="282" t="s">
        <v>373</v>
      </c>
      <c r="E13" s="282" t="s">
        <v>374</v>
      </c>
      <c r="F13" s="282" t="s">
        <v>375</v>
      </c>
      <c r="G13" s="282" t="s">
        <v>253</v>
      </c>
      <c r="I13" s="282" t="s">
        <v>372</v>
      </c>
      <c r="J13" s="282" t="s">
        <v>373</v>
      </c>
      <c r="K13" s="282" t="s">
        <v>374</v>
      </c>
      <c r="L13" s="282" t="s">
        <v>375</v>
      </c>
      <c r="M13" s="282" t="s">
        <v>253</v>
      </c>
    </row>
    <row r="14" spans="2:13">
      <c r="B14" s="600">
        <v>45621</v>
      </c>
      <c r="C14" s="184" t="s">
        <v>376</v>
      </c>
      <c r="D14" s="184" t="s">
        <v>377</v>
      </c>
      <c r="E14" s="184" t="s">
        <v>378</v>
      </c>
      <c r="F14" s="184" t="s">
        <v>379</v>
      </c>
      <c r="G14" s="184" t="s">
        <v>380</v>
      </c>
      <c r="I14" s="601">
        <v>1E-3</v>
      </c>
      <c r="J14" s="601">
        <v>4.0000000000000001E-3</v>
      </c>
      <c r="K14" s="601">
        <v>6.0000000000000001E-3</v>
      </c>
      <c r="L14" s="601">
        <v>8.0000000000000002E-3</v>
      </c>
      <c r="M14" s="601">
        <v>5.0000000000000001E-3</v>
      </c>
    </row>
    <row r="15" spans="2:13">
      <c r="B15" s="600">
        <v>45618</v>
      </c>
      <c r="C15" s="184" t="s">
        <v>381</v>
      </c>
      <c r="D15" s="184" t="s">
        <v>382</v>
      </c>
      <c r="E15" s="184" t="s">
        <v>383</v>
      </c>
      <c r="F15" s="184" t="s">
        <v>384</v>
      </c>
      <c r="G15" s="184" t="s">
        <v>385</v>
      </c>
      <c r="I15" s="601">
        <v>1.6E-2</v>
      </c>
      <c r="J15" s="601">
        <v>-1E-3</v>
      </c>
      <c r="K15" s="601">
        <v>0.01</v>
      </c>
      <c r="L15" s="601">
        <v>-5.0000000000000001E-3</v>
      </c>
      <c r="M15" s="601">
        <v>0.01</v>
      </c>
    </row>
    <row r="16" spans="2:13">
      <c r="B16" s="600">
        <v>45617</v>
      </c>
      <c r="C16" s="184" t="s">
        <v>386</v>
      </c>
      <c r="D16" s="184" t="s">
        <v>387</v>
      </c>
      <c r="E16" s="184" t="s">
        <v>388</v>
      </c>
      <c r="F16" s="184" t="s">
        <v>389</v>
      </c>
      <c r="G16" s="184" t="s">
        <v>390</v>
      </c>
      <c r="I16" s="601">
        <v>-3.0000000000000001E-3</v>
      </c>
      <c r="J16" s="601">
        <v>5.0000000000000001E-3</v>
      </c>
      <c r="K16" s="601">
        <v>0.01</v>
      </c>
      <c r="L16" s="601">
        <v>4.0000000000000001E-3</v>
      </c>
      <c r="M16" s="601">
        <v>5.0000000000000001E-3</v>
      </c>
    </row>
    <row r="17" spans="2:13">
      <c r="B17" s="600">
        <v>45616</v>
      </c>
      <c r="C17" s="184" t="s">
        <v>391</v>
      </c>
      <c r="D17" s="184" t="s">
        <v>392</v>
      </c>
      <c r="E17" s="184" t="s">
        <v>393</v>
      </c>
      <c r="F17" s="184" t="s">
        <v>394</v>
      </c>
      <c r="G17" s="184" t="s">
        <v>395</v>
      </c>
      <c r="I17" s="601">
        <v>-8.0000000000000002E-3</v>
      </c>
      <c r="J17" s="601">
        <v>2.1999999999999999E-2</v>
      </c>
      <c r="K17" s="601">
        <v>1.2999999999999999E-2</v>
      </c>
      <c r="L17" s="601">
        <v>-3.0000000000000001E-3</v>
      </c>
      <c r="M17" s="601">
        <v>6.0000000000000001E-3</v>
      </c>
    </row>
    <row r="18" spans="2:13">
      <c r="B18" s="600">
        <v>45615</v>
      </c>
      <c r="C18" s="184" t="s">
        <v>396</v>
      </c>
      <c r="D18" s="184" t="s">
        <v>397</v>
      </c>
      <c r="E18" s="184" t="s">
        <v>398</v>
      </c>
      <c r="F18" s="184" t="s">
        <v>399</v>
      </c>
      <c r="G18" s="184" t="s">
        <v>400</v>
      </c>
      <c r="I18" s="601">
        <v>1.4E-2</v>
      </c>
      <c r="J18" s="601">
        <v>1E-3</v>
      </c>
      <c r="K18" s="601">
        <v>-0.01</v>
      </c>
      <c r="L18" s="601">
        <v>0.01</v>
      </c>
      <c r="M18" s="601">
        <v>-3.0000000000000001E-3</v>
      </c>
    </row>
    <row r="19" spans="2:13">
      <c r="B19" s="600">
        <v>45614</v>
      </c>
      <c r="C19" s="184" t="s">
        <v>401</v>
      </c>
      <c r="D19" s="184" t="s">
        <v>402</v>
      </c>
      <c r="E19" s="184" t="s">
        <v>403</v>
      </c>
      <c r="F19" s="184" t="s">
        <v>404</v>
      </c>
      <c r="G19" s="184" t="s">
        <v>405</v>
      </c>
      <c r="I19" s="601">
        <v>7.0000000000000001E-3</v>
      </c>
      <c r="J19" s="601">
        <v>-5.0000000000000001E-3</v>
      </c>
      <c r="K19" s="601">
        <v>-2E-3</v>
      </c>
      <c r="L19" s="601">
        <v>2E-3</v>
      </c>
      <c r="M19" s="601">
        <v>1.4E-2</v>
      </c>
    </row>
    <row r="20" spans="2:13">
      <c r="B20" s="600">
        <v>45611</v>
      </c>
      <c r="C20" s="184" t="s">
        <v>406</v>
      </c>
      <c r="D20" s="184" t="s">
        <v>407</v>
      </c>
      <c r="E20" s="184" t="s">
        <v>408</v>
      </c>
      <c r="F20" s="184" t="s">
        <v>409</v>
      </c>
      <c r="G20" s="184" t="s">
        <v>410</v>
      </c>
      <c r="I20" s="601">
        <v>-1.2E-2</v>
      </c>
      <c r="J20" s="601">
        <v>-4.4999999999999998E-2</v>
      </c>
      <c r="K20" s="601">
        <v>-0.04</v>
      </c>
      <c r="L20" s="601">
        <v>-1.9E-2</v>
      </c>
      <c r="M20" s="601">
        <v>1.7999999999999999E-2</v>
      </c>
    </row>
    <row r="21" spans="2:13">
      <c r="B21" s="600">
        <v>45610</v>
      </c>
      <c r="C21" s="184" t="s">
        <v>411</v>
      </c>
      <c r="D21" s="184" t="s">
        <v>412</v>
      </c>
      <c r="E21" s="184" t="s">
        <v>413</v>
      </c>
      <c r="F21" s="184" t="s">
        <v>414</v>
      </c>
      <c r="G21" s="184" t="s">
        <v>415</v>
      </c>
      <c r="I21" s="601">
        <v>0</v>
      </c>
      <c r="J21" s="601">
        <v>-0.03</v>
      </c>
      <c r="K21" s="601">
        <v>2E-3</v>
      </c>
      <c r="L21" s="601">
        <v>5.0000000000000001E-3</v>
      </c>
      <c r="M21" s="601">
        <v>-4.0000000000000001E-3</v>
      </c>
    </row>
    <row r="22" spans="2:13">
      <c r="B22" s="600">
        <v>45609</v>
      </c>
      <c r="C22" s="184" t="s">
        <v>411</v>
      </c>
      <c r="D22" s="184" t="s">
        <v>416</v>
      </c>
      <c r="E22" s="184" t="s">
        <v>417</v>
      </c>
      <c r="F22" s="184" t="s">
        <v>418</v>
      </c>
      <c r="G22" s="184" t="s">
        <v>419</v>
      </c>
      <c r="I22" s="601">
        <v>-2.1999999999999999E-2</v>
      </c>
      <c r="J22" s="601">
        <v>1.6E-2</v>
      </c>
      <c r="K22" s="601">
        <v>2E-3</v>
      </c>
      <c r="L22" s="601">
        <v>0.01</v>
      </c>
      <c r="M22" s="601">
        <v>0</v>
      </c>
    </row>
    <row r="23" spans="2:13">
      <c r="B23" s="600">
        <v>45608</v>
      </c>
      <c r="C23" s="184" t="s">
        <v>420</v>
      </c>
      <c r="D23" s="184" t="s">
        <v>421</v>
      </c>
      <c r="E23" s="184" t="s">
        <v>422</v>
      </c>
      <c r="F23" s="184" t="s">
        <v>423</v>
      </c>
      <c r="G23" s="184" t="s">
        <v>424</v>
      </c>
      <c r="I23" s="601">
        <v>8.0000000000000002E-3</v>
      </c>
      <c r="J23" s="601">
        <v>1.7000000000000001E-2</v>
      </c>
      <c r="K23" s="601">
        <v>0</v>
      </c>
      <c r="L23" s="601">
        <v>8.9999999999999993E-3</v>
      </c>
      <c r="M23" s="601">
        <v>-8.0000000000000002E-3</v>
      </c>
    </row>
    <row r="24" spans="2:13">
      <c r="B24" s="600">
        <v>45607</v>
      </c>
      <c r="C24" s="184" t="s">
        <v>425</v>
      </c>
      <c r="D24" s="184" t="s">
        <v>426</v>
      </c>
      <c r="E24" s="184" t="s">
        <v>427</v>
      </c>
      <c r="F24" s="184" t="s">
        <v>428</v>
      </c>
      <c r="G24" s="184" t="s">
        <v>429</v>
      </c>
      <c r="I24" s="601">
        <v>5.0000000000000001E-3</v>
      </c>
      <c r="J24" s="601">
        <v>1.6E-2</v>
      </c>
      <c r="K24" s="601">
        <v>-5.0000000000000001E-3</v>
      </c>
      <c r="L24" s="601">
        <v>8.0000000000000002E-3</v>
      </c>
      <c r="M24" s="601">
        <v>-3.0000000000000001E-3</v>
      </c>
    </row>
    <row r="25" spans="2:13">
      <c r="B25" s="600">
        <v>45604</v>
      </c>
      <c r="C25" s="184" t="s">
        <v>430</v>
      </c>
      <c r="D25" s="184" t="s">
        <v>431</v>
      </c>
      <c r="E25" s="184" t="s">
        <v>432</v>
      </c>
      <c r="F25" s="184" t="s">
        <v>433</v>
      </c>
      <c r="G25" s="184" t="s">
        <v>434</v>
      </c>
      <c r="I25" s="601">
        <v>-4.0000000000000001E-3</v>
      </c>
      <c r="J25" s="601">
        <v>1.6E-2</v>
      </c>
      <c r="K25" s="601">
        <v>7.0000000000000001E-3</v>
      </c>
      <c r="L25" s="601">
        <v>5.0000000000000001E-3</v>
      </c>
      <c r="M25" s="601">
        <v>0.01</v>
      </c>
    </row>
    <row r="26" spans="2:13">
      <c r="B26" s="600">
        <v>45603</v>
      </c>
      <c r="C26" s="184" t="s">
        <v>435</v>
      </c>
      <c r="D26" s="184" t="s">
        <v>436</v>
      </c>
      <c r="E26" s="184" t="s">
        <v>437</v>
      </c>
      <c r="F26" s="184" t="s">
        <v>438</v>
      </c>
      <c r="G26" s="184" t="s">
        <v>439</v>
      </c>
      <c r="I26" s="601">
        <v>2.5999999999999999E-2</v>
      </c>
      <c r="J26" s="601">
        <v>-2.1999999999999999E-2</v>
      </c>
      <c r="K26" s="601">
        <v>-4.0000000000000001E-3</v>
      </c>
      <c r="L26" s="601">
        <v>1.6E-2</v>
      </c>
      <c r="M26" s="601">
        <v>5.0000000000000001E-3</v>
      </c>
    </row>
    <row r="27" spans="2:13">
      <c r="B27" s="600">
        <v>45602</v>
      </c>
      <c r="C27" s="184" t="s">
        <v>440</v>
      </c>
      <c r="D27" s="184" t="s">
        <v>441</v>
      </c>
      <c r="E27" s="184" t="s">
        <v>442</v>
      </c>
      <c r="F27" s="184" t="s">
        <v>443</v>
      </c>
      <c r="G27" s="184" t="s">
        <v>444</v>
      </c>
      <c r="I27" s="601">
        <v>1.6E-2</v>
      </c>
      <c r="J27" s="601">
        <v>-1.7999999999999999E-2</v>
      </c>
      <c r="K27" s="601">
        <v>-1.9E-2</v>
      </c>
      <c r="L27" s="601">
        <v>-3.2000000000000001E-2</v>
      </c>
      <c r="M27" s="601">
        <v>-2.4E-2</v>
      </c>
    </row>
    <row r="28" spans="2:13">
      <c r="B28" s="600">
        <v>45601</v>
      </c>
      <c r="C28" s="184" t="s">
        <v>445</v>
      </c>
      <c r="D28" s="184" t="s">
        <v>446</v>
      </c>
      <c r="E28" s="184" t="s">
        <v>447</v>
      </c>
      <c r="F28" s="184" t="s">
        <v>448</v>
      </c>
      <c r="G28" s="184" t="s">
        <v>449</v>
      </c>
      <c r="I28" s="601">
        <v>5.0000000000000001E-3</v>
      </c>
      <c r="J28" s="601">
        <v>6.0000000000000001E-3</v>
      </c>
      <c r="K28" s="601">
        <v>8.9999999999999993E-3</v>
      </c>
      <c r="L28" s="601">
        <v>-1.0999999999999999E-2</v>
      </c>
      <c r="M28" s="601">
        <v>8.0000000000000002E-3</v>
      </c>
    </row>
    <row r="29" spans="2:13">
      <c r="B29" s="600">
        <v>45600</v>
      </c>
      <c r="C29" s="184" t="s">
        <v>450</v>
      </c>
      <c r="D29" s="184" t="s">
        <v>451</v>
      </c>
      <c r="E29" s="184" t="s">
        <v>452</v>
      </c>
      <c r="F29" s="184" t="s">
        <v>453</v>
      </c>
      <c r="G29" s="184" t="s">
        <v>454</v>
      </c>
      <c r="I29" s="601">
        <v>-1.0999999999999999E-2</v>
      </c>
      <c r="J29" s="601">
        <v>-1E-3</v>
      </c>
      <c r="K29" s="601">
        <v>5.0000000000000001E-3</v>
      </c>
      <c r="L29" s="601">
        <v>0.03</v>
      </c>
      <c r="M29" s="601">
        <v>-6.0000000000000001E-3</v>
      </c>
    </row>
    <row r="30" spans="2:13">
      <c r="B30" s="600">
        <v>45597</v>
      </c>
      <c r="C30" s="184" t="s">
        <v>455</v>
      </c>
      <c r="D30" s="184" t="s">
        <v>456</v>
      </c>
      <c r="E30" s="184" t="s">
        <v>457</v>
      </c>
      <c r="F30" s="184" t="s">
        <v>458</v>
      </c>
      <c r="G30" s="184" t="s">
        <v>459</v>
      </c>
      <c r="I30" s="601">
        <v>3.1E-2</v>
      </c>
      <c r="J30" s="601">
        <v>8.9999999999999993E-3</v>
      </c>
      <c r="K30" s="601">
        <v>-3.0000000000000001E-3</v>
      </c>
      <c r="L30" s="601">
        <v>2E-3</v>
      </c>
      <c r="M30" s="601">
        <v>3.0000000000000001E-3</v>
      </c>
    </row>
    <row r="31" spans="2:13">
      <c r="B31" s="600">
        <v>45596</v>
      </c>
      <c r="C31" s="184" t="s">
        <v>460</v>
      </c>
      <c r="D31" s="184" t="s">
        <v>461</v>
      </c>
      <c r="E31" s="184" t="s">
        <v>462</v>
      </c>
      <c r="F31" s="184" t="s">
        <v>463</v>
      </c>
      <c r="G31" s="184" t="s">
        <v>464</v>
      </c>
      <c r="I31" s="601">
        <v>-7.0000000000000001E-3</v>
      </c>
      <c r="J31" s="601">
        <v>0</v>
      </c>
      <c r="K31" s="601">
        <v>-1E-3</v>
      </c>
      <c r="L31" s="601">
        <v>-1.2999999999999999E-2</v>
      </c>
      <c r="M31" s="601">
        <v>-2E-3</v>
      </c>
    </row>
    <row r="32" spans="2:13">
      <c r="B32" s="600">
        <v>45595</v>
      </c>
      <c r="C32" s="184" t="s">
        <v>465</v>
      </c>
      <c r="D32" s="184" t="s">
        <v>466</v>
      </c>
      <c r="E32" s="184" t="s">
        <v>467</v>
      </c>
      <c r="F32" s="184" t="s">
        <v>468</v>
      </c>
      <c r="G32" s="184" t="s">
        <v>469</v>
      </c>
      <c r="I32" s="601">
        <v>1.2E-2</v>
      </c>
      <c r="J32" s="601">
        <v>-1.4E-2</v>
      </c>
      <c r="K32" s="601">
        <v>-8.0000000000000002E-3</v>
      </c>
      <c r="L32" s="601">
        <v>-3.0000000000000001E-3</v>
      </c>
      <c r="M32" s="601">
        <v>-1E-3</v>
      </c>
    </row>
    <row r="33" spans="2:13">
      <c r="B33" s="600">
        <v>45594</v>
      </c>
      <c r="C33" s="184" t="s">
        <v>470</v>
      </c>
      <c r="D33" s="184" t="s">
        <v>471</v>
      </c>
      <c r="E33" s="184" t="s">
        <v>472</v>
      </c>
      <c r="F33" s="184" t="s">
        <v>473</v>
      </c>
      <c r="G33" s="184" t="s">
        <v>474</v>
      </c>
      <c r="I33" s="601">
        <v>-1.7999999999999999E-2</v>
      </c>
      <c r="J33" s="601">
        <v>-1.4999999999999999E-2</v>
      </c>
      <c r="K33" s="601">
        <v>-1.4E-2</v>
      </c>
      <c r="L33" s="601">
        <v>-6.0000000000000001E-3</v>
      </c>
      <c r="M33" s="601">
        <v>-8.0000000000000002E-3</v>
      </c>
    </row>
    <row r="34" spans="2:13">
      <c r="B34" s="600">
        <v>45593</v>
      </c>
      <c r="C34" s="184" t="s">
        <v>475</v>
      </c>
      <c r="D34" s="184" t="s">
        <v>476</v>
      </c>
      <c r="E34" s="184" t="s">
        <v>477</v>
      </c>
      <c r="F34" s="184" t="s">
        <v>409</v>
      </c>
      <c r="G34" s="184" t="s">
        <v>478</v>
      </c>
      <c r="I34" s="601">
        <v>-4.0000000000000001E-3</v>
      </c>
      <c r="J34" s="601">
        <v>8.9999999999999993E-3</v>
      </c>
      <c r="K34" s="601">
        <v>-1.0999999999999999E-2</v>
      </c>
      <c r="L34" s="601">
        <v>-8.0000000000000002E-3</v>
      </c>
      <c r="M34" s="601">
        <v>1E-3</v>
      </c>
    </row>
    <row r="35" spans="2:13">
      <c r="B35" s="600">
        <v>45590</v>
      </c>
      <c r="C35" s="184" t="s">
        <v>479</v>
      </c>
      <c r="D35" s="184" t="s">
        <v>480</v>
      </c>
      <c r="E35" s="184" t="s">
        <v>481</v>
      </c>
      <c r="F35" s="184" t="s">
        <v>482</v>
      </c>
      <c r="G35" s="184" t="s">
        <v>483</v>
      </c>
      <c r="I35" s="601">
        <v>-1.9E-2</v>
      </c>
      <c r="J35" s="601">
        <v>-5.0000000000000001E-3</v>
      </c>
      <c r="K35" s="601">
        <v>-2E-3</v>
      </c>
      <c r="L35" s="601">
        <v>-6.0000000000000001E-3</v>
      </c>
      <c r="M35" s="601">
        <v>-1.0999999999999999E-2</v>
      </c>
    </row>
    <row r="36" spans="2:13">
      <c r="B36" s="600">
        <v>45589</v>
      </c>
      <c r="C36" s="184" t="s">
        <v>484</v>
      </c>
      <c r="D36" s="184" t="s">
        <v>485</v>
      </c>
      <c r="E36" s="184" t="s">
        <v>486</v>
      </c>
      <c r="F36" s="184" t="s">
        <v>418</v>
      </c>
      <c r="G36" s="184" t="s">
        <v>487</v>
      </c>
      <c r="I36" s="601">
        <v>-8.9999999999999993E-3</v>
      </c>
      <c r="J36" s="601">
        <v>1E-3</v>
      </c>
      <c r="K36" s="601">
        <v>-5.0000000000000001E-3</v>
      </c>
      <c r="L36" s="601">
        <v>-3.0000000000000001E-3</v>
      </c>
      <c r="M36" s="601">
        <v>1E-3</v>
      </c>
    </row>
    <row r="37" spans="2:13">
      <c r="B37" s="600">
        <v>45588</v>
      </c>
      <c r="C37" s="184" t="s">
        <v>488</v>
      </c>
      <c r="D37" s="184" t="s">
        <v>489</v>
      </c>
      <c r="E37" s="184" t="s">
        <v>490</v>
      </c>
      <c r="F37" s="184" t="s">
        <v>491</v>
      </c>
      <c r="G37" s="184" t="s">
        <v>492</v>
      </c>
      <c r="I37" s="601">
        <v>2.1999999999999999E-2</v>
      </c>
      <c r="J37" s="601">
        <v>-8.0000000000000002E-3</v>
      </c>
      <c r="K37" s="601">
        <v>-8.0000000000000002E-3</v>
      </c>
      <c r="L37" s="601">
        <v>-1E-3</v>
      </c>
      <c r="M37" s="601">
        <v>-6.0000000000000001E-3</v>
      </c>
    </row>
    <row r="38" spans="2:13">
      <c r="B38" s="600">
        <v>45587</v>
      </c>
      <c r="C38" s="184" t="s">
        <v>493</v>
      </c>
      <c r="D38" s="184" t="s">
        <v>494</v>
      </c>
      <c r="E38" s="184" t="s">
        <v>495</v>
      </c>
      <c r="F38" s="184" t="s">
        <v>496</v>
      </c>
      <c r="G38" s="184" t="s">
        <v>497</v>
      </c>
      <c r="I38" s="601">
        <v>-1.0999999999999999E-2</v>
      </c>
      <c r="J38" s="601">
        <v>-6.0000000000000001E-3</v>
      </c>
      <c r="K38" s="601">
        <v>-4.0000000000000001E-3</v>
      </c>
      <c r="L38" s="601">
        <v>0.01</v>
      </c>
      <c r="M38" s="601">
        <v>-4.4999999999999998E-2</v>
      </c>
    </row>
    <row r="39" spans="2:13">
      <c r="B39" s="600">
        <v>45586</v>
      </c>
      <c r="C39" s="184" t="s">
        <v>498</v>
      </c>
      <c r="D39" s="184" t="s">
        <v>499</v>
      </c>
      <c r="E39" s="184" t="s">
        <v>500</v>
      </c>
      <c r="F39" s="184" t="s">
        <v>501</v>
      </c>
      <c r="G39" s="184" t="s">
        <v>502</v>
      </c>
      <c r="I39" s="601">
        <v>-1.4E-2</v>
      </c>
      <c r="J39" s="601">
        <v>-5.0000000000000001E-3</v>
      </c>
      <c r="K39" s="601">
        <v>0</v>
      </c>
      <c r="L39" s="601">
        <v>-0.01</v>
      </c>
      <c r="M39" s="601">
        <v>-8.0000000000000002E-3</v>
      </c>
    </row>
    <row r="40" spans="2:13">
      <c r="B40" s="600">
        <v>45583</v>
      </c>
      <c r="C40" s="184" t="s">
        <v>503</v>
      </c>
      <c r="D40" s="184" t="s">
        <v>504</v>
      </c>
      <c r="E40" s="184" t="s">
        <v>505</v>
      </c>
      <c r="F40" s="184" t="s">
        <v>506</v>
      </c>
      <c r="G40" s="184" t="s">
        <v>507</v>
      </c>
      <c r="I40" s="601">
        <v>3.1E-2</v>
      </c>
      <c r="J40" s="601">
        <v>0.01</v>
      </c>
      <c r="K40" s="601">
        <v>2E-3</v>
      </c>
      <c r="L40" s="601">
        <v>6.0000000000000001E-3</v>
      </c>
      <c r="M40" s="601">
        <v>-5.0000000000000001E-3</v>
      </c>
    </row>
    <row r="41" spans="2:13">
      <c r="B41" s="600">
        <v>45582</v>
      </c>
      <c r="C41" s="184" t="s">
        <v>508</v>
      </c>
      <c r="D41" s="184" t="s">
        <v>509</v>
      </c>
      <c r="E41" s="184" t="s">
        <v>510</v>
      </c>
      <c r="F41" s="184" t="s">
        <v>511</v>
      </c>
      <c r="G41" s="184" t="s">
        <v>512</v>
      </c>
      <c r="I41" s="601">
        <v>7.0000000000000001E-3</v>
      </c>
      <c r="J41" s="601">
        <v>-5.0000000000000001E-3</v>
      </c>
      <c r="K41" s="601">
        <v>1E-3</v>
      </c>
      <c r="L41" s="601">
        <v>-1.4999999999999999E-2</v>
      </c>
      <c r="M41" s="601">
        <v>1E-3</v>
      </c>
    </row>
    <row r="42" spans="2:13">
      <c r="B42" s="600">
        <v>45581</v>
      </c>
      <c r="C42" s="184" t="s">
        <v>513</v>
      </c>
      <c r="D42" s="184" t="s">
        <v>514</v>
      </c>
      <c r="E42" s="184" t="s">
        <v>515</v>
      </c>
      <c r="F42" s="184" t="s">
        <v>516</v>
      </c>
      <c r="G42" s="184" t="s">
        <v>517</v>
      </c>
      <c r="I42" s="601">
        <v>-8.0000000000000002E-3</v>
      </c>
      <c r="J42" s="601">
        <v>3.0000000000000001E-3</v>
      </c>
      <c r="K42" s="601">
        <v>-8.0000000000000002E-3</v>
      </c>
      <c r="L42" s="601">
        <v>-2E-3</v>
      </c>
      <c r="M42" s="601">
        <v>5.0000000000000001E-3</v>
      </c>
    </row>
    <row r="43" spans="2:13">
      <c r="B43" s="600">
        <v>45580</v>
      </c>
      <c r="C43" s="184" t="s">
        <v>450</v>
      </c>
      <c r="D43" s="184" t="s">
        <v>518</v>
      </c>
      <c r="E43" s="184" t="s">
        <v>519</v>
      </c>
      <c r="F43" s="184" t="s">
        <v>520</v>
      </c>
      <c r="G43" s="184" t="s">
        <v>521</v>
      </c>
      <c r="I43" s="601">
        <v>0.01</v>
      </c>
      <c r="J43" s="601">
        <v>-8.9999999999999993E-3</v>
      </c>
      <c r="K43" s="601">
        <v>-1E-3</v>
      </c>
      <c r="L43" s="601">
        <v>-7.0000000000000001E-3</v>
      </c>
      <c r="M43" s="601">
        <v>1.2E-2</v>
      </c>
    </row>
    <row r="44" spans="2:13">
      <c r="B44" s="600">
        <v>45579</v>
      </c>
      <c r="C44" s="184" t="s">
        <v>522</v>
      </c>
      <c r="D44" s="184" t="s">
        <v>523</v>
      </c>
      <c r="E44" s="184" t="s">
        <v>524</v>
      </c>
      <c r="F44" s="184" t="s">
        <v>525</v>
      </c>
      <c r="G44" s="184" t="s">
        <v>526</v>
      </c>
      <c r="I44" s="601">
        <v>-6.0000000000000001E-3</v>
      </c>
      <c r="J44" s="601">
        <v>0</v>
      </c>
      <c r="K44" s="601">
        <v>7.0000000000000001E-3</v>
      </c>
      <c r="L44" s="601">
        <v>1.9E-2</v>
      </c>
      <c r="M44" s="601">
        <v>8.9999999999999993E-3</v>
      </c>
    </row>
    <row r="45" spans="2:13">
      <c r="B45" s="600">
        <v>45576</v>
      </c>
      <c r="C45" s="184" t="s">
        <v>527</v>
      </c>
      <c r="D45" s="184" t="s">
        <v>528</v>
      </c>
      <c r="E45" s="184" t="s">
        <v>382</v>
      </c>
      <c r="F45" s="184" t="s">
        <v>529</v>
      </c>
      <c r="G45" s="184" t="s">
        <v>530</v>
      </c>
      <c r="I45" s="601">
        <v>4.0000000000000001E-3</v>
      </c>
      <c r="J45" s="601">
        <v>-8.0000000000000002E-3</v>
      </c>
      <c r="K45" s="601">
        <v>1.0999999999999999E-2</v>
      </c>
      <c r="L45" s="601">
        <v>6.0000000000000001E-3</v>
      </c>
      <c r="M45" s="601">
        <v>8.0000000000000002E-3</v>
      </c>
    </row>
    <row r="46" spans="2:13">
      <c r="B46" s="600">
        <v>45575</v>
      </c>
      <c r="C46" s="184" t="s">
        <v>531</v>
      </c>
      <c r="D46" s="184" t="s">
        <v>532</v>
      </c>
      <c r="E46" s="184" t="s">
        <v>533</v>
      </c>
      <c r="F46" s="184" t="s">
        <v>534</v>
      </c>
      <c r="G46" s="184" t="s">
        <v>535</v>
      </c>
      <c r="I46" s="601">
        <v>-8.0000000000000002E-3</v>
      </c>
      <c r="J46" s="601">
        <v>3.0000000000000001E-3</v>
      </c>
      <c r="K46" s="601">
        <v>3.0000000000000001E-3</v>
      </c>
      <c r="L46" s="601">
        <v>-3.0000000000000001E-3</v>
      </c>
      <c r="M46" s="601">
        <v>-8.0000000000000002E-3</v>
      </c>
    </row>
    <row r="47" spans="2:13">
      <c r="B47" s="600">
        <v>45574</v>
      </c>
      <c r="C47" s="184" t="s">
        <v>536</v>
      </c>
      <c r="D47" s="184" t="s">
        <v>537</v>
      </c>
      <c r="E47" s="184" t="s">
        <v>538</v>
      </c>
      <c r="F47" s="184" t="s">
        <v>539</v>
      </c>
      <c r="G47" s="184" t="s">
        <v>540</v>
      </c>
      <c r="I47" s="601">
        <v>0.01</v>
      </c>
      <c r="J47" s="601">
        <v>-3.0000000000000001E-3</v>
      </c>
      <c r="K47" s="601">
        <v>1.2E-2</v>
      </c>
      <c r="L47" s="601">
        <v>-3.0000000000000001E-3</v>
      </c>
      <c r="M47" s="601">
        <v>1E-3</v>
      </c>
    </row>
    <row r="48" spans="2:13">
      <c r="B48" s="600">
        <v>45573</v>
      </c>
      <c r="C48" s="184" t="s">
        <v>541</v>
      </c>
      <c r="D48" s="184" t="s">
        <v>542</v>
      </c>
      <c r="E48" s="184" t="s">
        <v>543</v>
      </c>
      <c r="F48" s="184" t="s">
        <v>544</v>
      </c>
      <c r="G48" s="184" t="s">
        <v>545</v>
      </c>
      <c r="I48" s="601">
        <v>0</v>
      </c>
      <c r="J48" s="601">
        <v>0</v>
      </c>
      <c r="K48" s="601">
        <v>1.9E-2</v>
      </c>
      <c r="L48" s="601">
        <v>-8.0000000000000002E-3</v>
      </c>
      <c r="M48" s="601">
        <v>8.9999999999999993E-3</v>
      </c>
    </row>
    <row r="49" spans="2:13">
      <c r="B49" s="600">
        <v>45572</v>
      </c>
      <c r="C49" s="184" t="s">
        <v>541</v>
      </c>
      <c r="D49" s="184" t="s">
        <v>546</v>
      </c>
      <c r="E49" s="184" t="s">
        <v>547</v>
      </c>
      <c r="F49" s="184" t="s">
        <v>548</v>
      </c>
      <c r="G49" s="184" t="s">
        <v>549</v>
      </c>
      <c r="I49" s="601">
        <v>-1.7999999999999999E-2</v>
      </c>
      <c r="J49" s="601">
        <v>-2.1999999999999999E-2</v>
      </c>
      <c r="K49" s="601">
        <v>-5.0000000000000001E-3</v>
      </c>
      <c r="L49" s="601">
        <v>-1.4999999999999999E-2</v>
      </c>
      <c r="M49" s="601">
        <v>-1E-3</v>
      </c>
    </row>
    <row r="50" spans="2:13">
      <c r="B50" s="600">
        <v>45569</v>
      </c>
      <c r="C50" s="184" t="s">
        <v>550</v>
      </c>
      <c r="D50" s="184" t="s">
        <v>551</v>
      </c>
      <c r="E50" s="184" t="s">
        <v>552</v>
      </c>
      <c r="F50" s="184" t="s">
        <v>553</v>
      </c>
      <c r="G50" s="184" t="s">
        <v>554</v>
      </c>
      <c r="I50" s="601">
        <v>4.0000000000000001E-3</v>
      </c>
      <c r="J50" s="601">
        <v>4.0000000000000001E-3</v>
      </c>
      <c r="K50" s="601">
        <v>-3.0000000000000001E-3</v>
      </c>
      <c r="L50" s="601">
        <v>1.2E-2</v>
      </c>
      <c r="M50" s="601">
        <v>6.0000000000000001E-3</v>
      </c>
    </row>
    <row r="51" spans="2:13">
      <c r="B51" s="600">
        <v>45568</v>
      </c>
      <c r="C51" s="184" t="s">
        <v>555</v>
      </c>
      <c r="D51" s="184" t="s">
        <v>556</v>
      </c>
      <c r="E51" s="184" t="s">
        <v>557</v>
      </c>
      <c r="F51" s="184" t="s">
        <v>558</v>
      </c>
      <c r="G51" s="184" t="s">
        <v>559</v>
      </c>
      <c r="I51" s="601">
        <v>-3.0000000000000001E-3</v>
      </c>
      <c r="J51" s="601">
        <v>-1.2999999999999999E-2</v>
      </c>
      <c r="K51" s="601">
        <v>-6.0000000000000001E-3</v>
      </c>
      <c r="L51" s="601">
        <v>-4.7E-2</v>
      </c>
      <c r="M51" s="601">
        <v>-1.2E-2</v>
      </c>
    </row>
    <row r="52" spans="2:13">
      <c r="B52" s="600">
        <v>45567</v>
      </c>
      <c r="C52" s="184" t="s">
        <v>560</v>
      </c>
      <c r="D52" s="184" t="s">
        <v>561</v>
      </c>
      <c r="E52" s="184" t="s">
        <v>562</v>
      </c>
      <c r="F52" s="184" t="s">
        <v>563</v>
      </c>
      <c r="G52" s="184" t="s">
        <v>564</v>
      </c>
      <c r="I52" s="601">
        <v>0</v>
      </c>
      <c r="J52" s="601">
        <v>8.0000000000000002E-3</v>
      </c>
      <c r="K52" s="601">
        <v>-1.0999999999999999E-2</v>
      </c>
      <c r="L52" s="601">
        <v>-8.0000000000000002E-3</v>
      </c>
      <c r="M52" s="601">
        <v>-5.0000000000000001E-3</v>
      </c>
    </row>
    <row r="53" spans="2:13">
      <c r="B53" s="600">
        <v>45566</v>
      </c>
      <c r="C53" s="184" t="s">
        <v>560</v>
      </c>
      <c r="D53" s="184" t="s">
        <v>565</v>
      </c>
      <c r="E53" s="184" t="s">
        <v>566</v>
      </c>
      <c r="F53" s="184" t="s">
        <v>567</v>
      </c>
      <c r="G53" s="184" t="s">
        <v>568</v>
      </c>
      <c r="I53" s="601">
        <v>4.0000000000000001E-3</v>
      </c>
      <c r="J53" s="601">
        <v>0</v>
      </c>
      <c r="K53" s="601">
        <v>8.0000000000000002E-3</v>
      </c>
      <c r="L53" s="601">
        <v>0</v>
      </c>
      <c r="M53" s="601">
        <v>1E-3</v>
      </c>
    </row>
    <row r="54" spans="2:13">
      <c r="B54" s="600">
        <v>45565</v>
      </c>
      <c r="C54" s="184" t="s">
        <v>569</v>
      </c>
      <c r="D54" s="184" t="s">
        <v>570</v>
      </c>
      <c r="E54" s="184" t="s">
        <v>571</v>
      </c>
      <c r="F54" s="184" t="s">
        <v>572</v>
      </c>
      <c r="G54" s="184" t="s">
        <v>573</v>
      </c>
      <c r="I54" s="601">
        <v>-1E-3</v>
      </c>
      <c r="J54" s="601">
        <v>-8.0000000000000002E-3</v>
      </c>
      <c r="K54" s="601">
        <v>0</v>
      </c>
      <c r="L54" s="601">
        <v>-3.0000000000000001E-3</v>
      </c>
      <c r="M54" s="601">
        <v>-2E-3</v>
      </c>
    </row>
    <row r="55" spans="2:13">
      <c r="B55" s="600">
        <v>45562</v>
      </c>
      <c r="C55" s="184" t="s">
        <v>574</v>
      </c>
      <c r="D55" s="184" t="s">
        <v>575</v>
      </c>
      <c r="E55" s="184" t="s">
        <v>576</v>
      </c>
      <c r="F55" s="184" t="s">
        <v>577</v>
      </c>
      <c r="G55" s="184" t="s">
        <v>578</v>
      </c>
      <c r="I55" s="601">
        <v>-1E-3</v>
      </c>
      <c r="J55" s="601">
        <v>1.4999999999999999E-2</v>
      </c>
      <c r="K55" s="601">
        <v>2E-3</v>
      </c>
      <c r="L55" s="601">
        <v>1.2999999999999999E-2</v>
      </c>
      <c r="M55" s="601">
        <v>3.0000000000000001E-3</v>
      </c>
    </row>
    <row r="56" spans="2:13">
      <c r="B56" s="600">
        <v>45561</v>
      </c>
      <c r="C56" s="184" t="s">
        <v>555</v>
      </c>
      <c r="D56" s="184" t="s">
        <v>579</v>
      </c>
      <c r="E56" s="184" t="s">
        <v>580</v>
      </c>
      <c r="F56" s="184" t="s">
        <v>581</v>
      </c>
      <c r="G56" s="184" t="s">
        <v>540</v>
      </c>
      <c r="I56" s="601">
        <v>4.0000000000000001E-3</v>
      </c>
      <c r="J56" s="601">
        <v>-3.0000000000000001E-3</v>
      </c>
      <c r="K56" s="601">
        <v>2E-3</v>
      </c>
      <c r="L56" s="601">
        <v>1.2999999999999999E-2</v>
      </c>
      <c r="M56" s="601">
        <v>7.0000000000000001E-3</v>
      </c>
    </row>
    <row r="57" spans="2:13">
      <c r="B57" s="600">
        <v>45560</v>
      </c>
      <c r="C57" s="184" t="s">
        <v>508</v>
      </c>
      <c r="D57" s="184" t="s">
        <v>582</v>
      </c>
      <c r="E57" s="184" t="s">
        <v>583</v>
      </c>
      <c r="F57" s="184" t="s">
        <v>584</v>
      </c>
      <c r="G57" s="184" t="s">
        <v>585</v>
      </c>
      <c r="I57" s="601">
        <v>-5.0000000000000001E-3</v>
      </c>
      <c r="J57" s="601">
        <v>-1.2E-2</v>
      </c>
      <c r="K57" s="601">
        <v>-3.0000000000000001E-3</v>
      </c>
      <c r="L57" s="601">
        <v>-2E-3</v>
      </c>
      <c r="M57" s="601">
        <v>1E-3</v>
      </c>
    </row>
    <row r="58" spans="2:13">
      <c r="B58" s="600">
        <v>45559</v>
      </c>
      <c r="C58" s="184" t="s">
        <v>586</v>
      </c>
      <c r="D58" s="184" t="s">
        <v>587</v>
      </c>
      <c r="E58" s="184" t="s">
        <v>588</v>
      </c>
      <c r="F58" s="184" t="s">
        <v>589</v>
      </c>
      <c r="G58" s="184" t="s">
        <v>590</v>
      </c>
      <c r="I58" s="601">
        <v>-1E-3</v>
      </c>
      <c r="J58" s="601">
        <v>-8.9999999999999993E-3</v>
      </c>
      <c r="K58" s="601">
        <v>-1.2999999999999999E-2</v>
      </c>
      <c r="L58" s="601">
        <v>-8.9999999999999993E-3</v>
      </c>
      <c r="M58" s="601">
        <v>-1E-3</v>
      </c>
    </row>
    <row r="59" spans="2:13">
      <c r="B59" s="600">
        <v>45558</v>
      </c>
      <c r="C59" s="184" t="s">
        <v>591</v>
      </c>
      <c r="D59" s="184" t="s">
        <v>592</v>
      </c>
      <c r="E59" s="184" t="s">
        <v>593</v>
      </c>
      <c r="F59" s="184" t="s">
        <v>594</v>
      </c>
      <c r="G59" s="184" t="s">
        <v>595</v>
      </c>
      <c r="I59" s="601">
        <v>-7.0000000000000001E-3</v>
      </c>
      <c r="J59" s="601">
        <v>-1E-3</v>
      </c>
      <c r="K59" s="601">
        <v>5.0000000000000001E-3</v>
      </c>
      <c r="L59" s="601">
        <v>2.7E-2</v>
      </c>
      <c r="M59" s="601">
        <v>3.0000000000000001E-3</v>
      </c>
    </row>
    <row r="60" spans="2:13">
      <c r="B60" s="600">
        <v>45555</v>
      </c>
      <c r="C60" s="184" t="s">
        <v>596</v>
      </c>
      <c r="D60" s="184" t="s">
        <v>597</v>
      </c>
      <c r="E60" s="184" t="s">
        <v>598</v>
      </c>
      <c r="F60" s="184" t="s">
        <v>599</v>
      </c>
      <c r="G60" s="184" t="s">
        <v>600</v>
      </c>
      <c r="I60" s="601">
        <v>6.0000000000000001E-3</v>
      </c>
      <c r="J60" s="601">
        <v>0</v>
      </c>
      <c r="K60" s="601">
        <v>-0.02</v>
      </c>
      <c r="L60" s="601">
        <v>-1E-3</v>
      </c>
      <c r="M60" s="601">
        <v>5.0000000000000001E-3</v>
      </c>
    </row>
    <row r="61" spans="2:13">
      <c r="B61" s="600">
        <v>45554</v>
      </c>
      <c r="C61" s="184" t="s">
        <v>560</v>
      </c>
      <c r="D61" s="184" t="s">
        <v>601</v>
      </c>
      <c r="E61" s="184" t="s">
        <v>602</v>
      </c>
      <c r="F61" s="184" t="s">
        <v>603</v>
      </c>
      <c r="G61" s="184" t="s">
        <v>604</v>
      </c>
      <c r="I61" s="601">
        <v>2E-3</v>
      </c>
      <c r="J61" s="601">
        <v>-1.0999999999999999E-2</v>
      </c>
      <c r="K61" s="601">
        <v>-3.0000000000000001E-3</v>
      </c>
      <c r="L61" s="601">
        <v>-0.01</v>
      </c>
      <c r="M61" s="601">
        <v>-7.0000000000000001E-3</v>
      </c>
    </row>
    <row r="62" spans="2:13">
      <c r="B62" s="600">
        <v>45553</v>
      </c>
      <c r="C62" s="184" t="s">
        <v>586</v>
      </c>
      <c r="D62" s="184" t="s">
        <v>605</v>
      </c>
      <c r="E62" s="184" t="s">
        <v>606</v>
      </c>
      <c r="F62" s="184" t="s">
        <v>607</v>
      </c>
      <c r="G62" s="184" t="s">
        <v>608</v>
      </c>
      <c r="I62" s="601">
        <v>-1E-3</v>
      </c>
      <c r="J62" s="601">
        <v>-8.0000000000000002E-3</v>
      </c>
      <c r="K62" s="601">
        <v>-8.9999999999999993E-3</v>
      </c>
      <c r="L62" s="601">
        <v>-7.0000000000000001E-3</v>
      </c>
      <c r="M62" s="601">
        <v>-4.0000000000000001E-3</v>
      </c>
    </row>
    <row r="63" spans="2:13">
      <c r="B63" s="600">
        <v>45552</v>
      </c>
      <c r="C63" s="184" t="s">
        <v>493</v>
      </c>
      <c r="D63" s="184" t="s">
        <v>609</v>
      </c>
      <c r="E63" s="184" t="s">
        <v>610</v>
      </c>
      <c r="F63" s="184" t="s">
        <v>611</v>
      </c>
      <c r="G63" s="184" t="s">
        <v>612</v>
      </c>
      <c r="I63" s="601">
        <v>-1.7000000000000001E-2</v>
      </c>
      <c r="J63" s="601">
        <v>-8.0000000000000002E-3</v>
      </c>
      <c r="K63" s="601">
        <v>-2E-3</v>
      </c>
      <c r="L63" s="601">
        <v>-3.0000000000000001E-3</v>
      </c>
      <c r="M63" s="601">
        <v>-1.7999999999999999E-2</v>
      </c>
    </row>
    <row r="64" spans="2:13">
      <c r="B64" s="600">
        <v>45551</v>
      </c>
      <c r="C64" s="184" t="s">
        <v>613</v>
      </c>
      <c r="D64" s="184" t="s">
        <v>614</v>
      </c>
      <c r="E64" s="184" t="s">
        <v>615</v>
      </c>
      <c r="F64" s="184" t="s">
        <v>616</v>
      </c>
      <c r="G64" s="184" t="s">
        <v>617</v>
      </c>
      <c r="I64" s="601">
        <v>-0.01</v>
      </c>
      <c r="J64" s="601">
        <v>0</v>
      </c>
      <c r="K64" s="601">
        <v>-1E-3</v>
      </c>
      <c r="L64" s="601">
        <v>4.0000000000000001E-3</v>
      </c>
      <c r="M64" s="601">
        <v>5.0000000000000001E-3</v>
      </c>
    </row>
    <row r="65" spans="2:13">
      <c r="B65" s="600">
        <v>45548</v>
      </c>
      <c r="C65" s="184" t="s">
        <v>386</v>
      </c>
      <c r="D65" s="184" t="s">
        <v>618</v>
      </c>
      <c r="E65" s="184" t="s">
        <v>619</v>
      </c>
      <c r="F65" s="184" t="s">
        <v>620</v>
      </c>
      <c r="G65" s="184" t="s">
        <v>621</v>
      </c>
      <c r="I65" s="601">
        <v>3.0000000000000001E-3</v>
      </c>
      <c r="J65" s="601">
        <v>1.2E-2</v>
      </c>
      <c r="K65" s="601">
        <v>1E-3</v>
      </c>
      <c r="L65" s="601">
        <v>3.0000000000000001E-3</v>
      </c>
      <c r="M65" s="601">
        <v>8.0000000000000002E-3</v>
      </c>
    </row>
    <row r="66" spans="2:13">
      <c r="B66" s="600">
        <v>45547</v>
      </c>
      <c r="C66" s="184" t="s">
        <v>503</v>
      </c>
      <c r="D66" s="184" t="s">
        <v>622</v>
      </c>
      <c r="E66" s="184" t="s">
        <v>623</v>
      </c>
      <c r="F66" s="184" t="s">
        <v>624</v>
      </c>
      <c r="G66" s="184" t="s">
        <v>625</v>
      </c>
      <c r="I66" s="601">
        <v>2.5000000000000001E-2</v>
      </c>
      <c r="J66" s="601">
        <v>-1E-3</v>
      </c>
      <c r="K66" s="601">
        <v>8.0000000000000002E-3</v>
      </c>
      <c r="L66" s="601">
        <v>1.2E-2</v>
      </c>
      <c r="M66" s="601">
        <v>-6.0000000000000001E-3</v>
      </c>
    </row>
    <row r="67" spans="2:13">
      <c r="B67" s="600">
        <v>45546</v>
      </c>
      <c r="C67" s="184" t="s">
        <v>591</v>
      </c>
      <c r="D67" s="184" t="s">
        <v>626</v>
      </c>
      <c r="E67" s="184" t="s">
        <v>627</v>
      </c>
      <c r="F67" s="184" t="s">
        <v>628</v>
      </c>
      <c r="G67" s="184" t="s">
        <v>629</v>
      </c>
      <c r="I67" s="601">
        <v>2.5999999999999999E-2</v>
      </c>
      <c r="J67" s="601">
        <v>-2.1000000000000001E-2</v>
      </c>
      <c r="K67" s="601">
        <v>-1.0999999999999999E-2</v>
      </c>
      <c r="L67" s="601">
        <v>-3.0000000000000001E-3</v>
      </c>
      <c r="M67" s="601">
        <v>-2.1000000000000001E-2</v>
      </c>
    </row>
    <row r="68" spans="2:13">
      <c r="B68" s="600">
        <v>45545</v>
      </c>
      <c r="C68" s="184" t="s">
        <v>630</v>
      </c>
      <c r="D68" s="184" t="s">
        <v>631</v>
      </c>
      <c r="E68" s="184" t="s">
        <v>632</v>
      </c>
      <c r="F68" s="184" t="s">
        <v>633</v>
      </c>
      <c r="G68" s="184" t="s">
        <v>634</v>
      </c>
      <c r="I68" s="601">
        <v>7.0000000000000001E-3</v>
      </c>
      <c r="J68" s="601">
        <v>-2E-3</v>
      </c>
      <c r="K68" s="601">
        <v>-2E-3</v>
      </c>
      <c r="L68" s="601">
        <v>-6.0000000000000001E-3</v>
      </c>
      <c r="M68" s="601">
        <v>-6.0000000000000001E-3</v>
      </c>
    </row>
    <row r="69" spans="2:13">
      <c r="B69" s="600">
        <v>45544</v>
      </c>
      <c r="C69" s="184" t="s">
        <v>635</v>
      </c>
      <c r="D69" s="184" t="s">
        <v>636</v>
      </c>
      <c r="E69" s="184" t="s">
        <v>637</v>
      </c>
      <c r="F69" s="184" t="s">
        <v>638</v>
      </c>
      <c r="G69" s="184" t="s">
        <v>639</v>
      </c>
      <c r="I69" s="601">
        <v>-2.9000000000000001E-2</v>
      </c>
      <c r="J69" s="601">
        <v>1.7000000000000001E-2</v>
      </c>
      <c r="K69" s="601">
        <v>5.0000000000000001E-3</v>
      </c>
      <c r="L69" s="601">
        <v>8.0000000000000002E-3</v>
      </c>
      <c r="M69" s="601">
        <v>2E-3</v>
      </c>
    </row>
    <row r="70" spans="2:13">
      <c r="B70" s="600">
        <v>45541</v>
      </c>
      <c r="C70" s="184" t="s">
        <v>640</v>
      </c>
      <c r="D70" s="184" t="s">
        <v>641</v>
      </c>
      <c r="E70" s="184" t="s">
        <v>642</v>
      </c>
      <c r="F70" s="184" t="s">
        <v>643</v>
      </c>
      <c r="G70" s="184" t="s">
        <v>644</v>
      </c>
      <c r="I70" s="601">
        <v>-2.8000000000000001E-2</v>
      </c>
      <c r="J70" s="601">
        <v>8.9999999999999993E-3</v>
      </c>
      <c r="K70" s="601">
        <v>-1.0999999999999999E-2</v>
      </c>
      <c r="L70" s="601">
        <v>3.0000000000000001E-3</v>
      </c>
      <c r="M70" s="601">
        <v>-8.0000000000000002E-3</v>
      </c>
    </row>
    <row r="71" spans="2:13">
      <c r="B71" s="600">
        <v>45540</v>
      </c>
      <c r="C71" s="184" t="s">
        <v>401</v>
      </c>
      <c r="D71" s="184" t="s">
        <v>645</v>
      </c>
      <c r="E71" s="184" t="s">
        <v>646</v>
      </c>
      <c r="F71" s="184" t="s">
        <v>647</v>
      </c>
      <c r="G71" s="184" t="s">
        <v>648</v>
      </c>
      <c r="I71" s="601">
        <v>-1.2999999999999999E-2</v>
      </c>
      <c r="J71" s="601">
        <v>-3.0000000000000001E-3</v>
      </c>
      <c r="K71" s="601">
        <v>4.0000000000000001E-3</v>
      </c>
      <c r="L71" s="601">
        <v>7.0000000000000001E-3</v>
      </c>
      <c r="M71" s="601">
        <v>-2E-3</v>
      </c>
    </row>
    <row r="72" spans="2:13">
      <c r="B72" s="600">
        <v>45539</v>
      </c>
      <c r="C72" s="184" t="s">
        <v>396</v>
      </c>
      <c r="D72" s="184" t="s">
        <v>649</v>
      </c>
      <c r="E72" s="184" t="s">
        <v>650</v>
      </c>
      <c r="F72" s="184" t="s">
        <v>651</v>
      </c>
      <c r="G72" s="184" t="s">
        <v>652</v>
      </c>
      <c r="I72" s="601">
        <v>-5.0000000000000001E-3</v>
      </c>
      <c r="J72" s="601">
        <v>7.0000000000000001E-3</v>
      </c>
      <c r="K72" s="601">
        <v>6.0000000000000001E-3</v>
      </c>
      <c r="L72" s="601">
        <v>-1E-3</v>
      </c>
      <c r="M72" s="601">
        <v>7.0000000000000001E-3</v>
      </c>
    </row>
    <row r="73" spans="2:13">
      <c r="B73" s="600">
        <v>45538</v>
      </c>
      <c r="C73" s="184" t="s">
        <v>425</v>
      </c>
      <c r="D73" s="184" t="s">
        <v>653</v>
      </c>
      <c r="E73" s="184" t="s">
        <v>654</v>
      </c>
      <c r="F73" s="184" t="s">
        <v>655</v>
      </c>
      <c r="G73" s="184" t="s">
        <v>656</v>
      </c>
      <c r="I73" s="601">
        <v>0</v>
      </c>
      <c r="J73" s="601">
        <v>0</v>
      </c>
      <c r="K73" s="601">
        <v>0</v>
      </c>
      <c r="L73" s="601">
        <v>0</v>
      </c>
      <c r="M73" s="601">
        <v>0</v>
      </c>
    </row>
    <row r="74" spans="2:13">
      <c r="B74" s="600">
        <v>45537</v>
      </c>
      <c r="C74" s="184" t="s">
        <v>425</v>
      </c>
      <c r="D74" s="184" t="s">
        <v>653</v>
      </c>
      <c r="E74" s="184" t="s">
        <v>654</v>
      </c>
      <c r="F74" s="184" t="s">
        <v>655</v>
      </c>
      <c r="G74" s="184" t="s">
        <v>656</v>
      </c>
      <c r="I74" s="601">
        <v>-1.2999999999999999E-2</v>
      </c>
      <c r="J74" s="601">
        <v>2.1999999999999999E-2</v>
      </c>
      <c r="K74" s="601">
        <v>2.7E-2</v>
      </c>
      <c r="L74" s="601">
        <v>2.5000000000000001E-2</v>
      </c>
      <c r="M74" s="601">
        <v>1.9E-2</v>
      </c>
    </row>
    <row r="75" spans="2:13">
      <c r="B75" s="600">
        <v>45534</v>
      </c>
      <c r="C75" s="184" t="s">
        <v>657</v>
      </c>
      <c r="D75" s="184" t="s">
        <v>658</v>
      </c>
      <c r="E75" s="184" t="s">
        <v>659</v>
      </c>
      <c r="F75" s="184" t="s">
        <v>418</v>
      </c>
      <c r="G75" s="184" t="s">
        <v>660</v>
      </c>
      <c r="I75" s="601">
        <v>-2.5000000000000001E-2</v>
      </c>
      <c r="J75" s="601">
        <v>7.0000000000000001E-3</v>
      </c>
      <c r="K75" s="601">
        <v>5.0000000000000001E-3</v>
      </c>
      <c r="L75" s="601">
        <v>1.2E-2</v>
      </c>
      <c r="M75" s="601">
        <v>0.01</v>
      </c>
    </row>
    <row r="76" spans="2:13">
      <c r="B76" s="600">
        <v>45533</v>
      </c>
      <c r="C76" s="184" t="s">
        <v>661</v>
      </c>
      <c r="D76" s="184" t="s">
        <v>662</v>
      </c>
      <c r="E76" s="184" t="s">
        <v>663</v>
      </c>
      <c r="F76" s="184" t="s">
        <v>664</v>
      </c>
      <c r="G76" s="184" t="s">
        <v>665</v>
      </c>
      <c r="I76" s="601">
        <v>-6.0000000000000001E-3</v>
      </c>
      <c r="J76" s="601">
        <v>1E-3</v>
      </c>
      <c r="K76" s="601">
        <v>-1.0999999999999999E-2</v>
      </c>
      <c r="L76" s="601">
        <v>-0.01</v>
      </c>
      <c r="M76" s="601">
        <v>-4.0000000000000001E-3</v>
      </c>
    </row>
    <row r="77" spans="2:13">
      <c r="B77" s="600">
        <v>45532</v>
      </c>
      <c r="C77" s="184" t="s">
        <v>666</v>
      </c>
      <c r="D77" s="184" t="s">
        <v>667</v>
      </c>
      <c r="E77" s="184" t="s">
        <v>668</v>
      </c>
      <c r="F77" s="184" t="s">
        <v>669</v>
      </c>
      <c r="G77" s="184" t="s">
        <v>670</v>
      </c>
      <c r="I77" s="601">
        <v>-1.9E-2</v>
      </c>
      <c r="J77" s="601">
        <v>2E-3</v>
      </c>
      <c r="K77" s="601">
        <v>-8.0000000000000002E-3</v>
      </c>
      <c r="L77" s="601">
        <v>2E-3</v>
      </c>
      <c r="M77" s="601">
        <v>2E-3</v>
      </c>
    </row>
    <row r="78" spans="2:13">
      <c r="B78" s="600">
        <v>45531</v>
      </c>
      <c r="C78" s="184" t="s">
        <v>671</v>
      </c>
      <c r="D78" s="184" t="s">
        <v>672</v>
      </c>
      <c r="E78" s="184" t="s">
        <v>673</v>
      </c>
      <c r="F78" s="184" t="s">
        <v>674</v>
      </c>
      <c r="G78" s="184" t="s">
        <v>526</v>
      </c>
      <c r="I78" s="601">
        <v>-0.01</v>
      </c>
      <c r="J78" s="601">
        <v>-2.7E-2</v>
      </c>
      <c r="K78" s="601">
        <v>-4.0000000000000001E-3</v>
      </c>
      <c r="L78" s="601">
        <v>-1.2999999999999999E-2</v>
      </c>
      <c r="M78" s="601">
        <v>-4.0000000000000001E-3</v>
      </c>
    </row>
    <row r="79" spans="2:13">
      <c r="B79" s="600">
        <v>45530</v>
      </c>
      <c r="C79" s="184" t="s">
        <v>675</v>
      </c>
      <c r="D79" s="184" t="s">
        <v>676</v>
      </c>
      <c r="E79" s="184" t="s">
        <v>677</v>
      </c>
      <c r="F79" s="184" t="s">
        <v>678</v>
      </c>
      <c r="G79" s="184" t="s">
        <v>679</v>
      </c>
      <c r="I79" s="601">
        <v>-4.0000000000000001E-3</v>
      </c>
      <c r="J79" s="601">
        <v>0</v>
      </c>
      <c r="K79" s="601">
        <v>1E-3</v>
      </c>
      <c r="L79" s="601">
        <v>-8.0000000000000002E-3</v>
      </c>
      <c r="M79" s="601">
        <v>4.0000000000000001E-3</v>
      </c>
    </row>
    <row r="80" spans="2:13">
      <c r="B80" s="600">
        <v>45527</v>
      </c>
      <c r="C80" s="184" t="s">
        <v>680</v>
      </c>
      <c r="D80" s="184" t="s">
        <v>681</v>
      </c>
      <c r="E80" s="184" t="s">
        <v>682</v>
      </c>
      <c r="F80" s="184" t="s">
        <v>683</v>
      </c>
      <c r="G80" s="184" t="s">
        <v>684</v>
      </c>
      <c r="I80" s="601">
        <v>8.9999999999999993E-3</v>
      </c>
      <c r="J80" s="601">
        <v>4.0000000000000001E-3</v>
      </c>
      <c r="K80" s="601">
        <v>1E-3</v>
      </c>
      <c r="L80" s="601">
        <v>6.0000000000000001E-3</v>
      </c>
      <c r="M80" s="601">
        <v>-7.0000000000000001E-3</v>
      </c>
    </row>
    <row r="81" spans="2:13">
      <c r="B81" s="600">
        <v>45526</v>
      </c>
      <c r="C81" s="184" t="s">
        <v>685</v>
      </c>
      <c r="D81" s="184" t="s">
        <v>686</v>
      </c>
      <c r="E81" s="184" t="s">
        <v>687</v>
      </c>
      <c r="F81" s="184" t="s">
        <v>688</v>
      </c>
      <c r="G81" s="184" t="s">
        <v>689</v>
      </c>
      <c r="I81" s="601">
        <v>2.3E-2</v>
      </c>
      <c r="J81" s="601">
        <v>-0.01</v>
      </c>
      <c r="K81" s="601">
        <v>3.0000000000000001E-3</v>
      </c>
      <c r="L81" s="601">
        <v>-4.0000000000000001E-3</v>
      </c>
      <c r="M81" s="601">
        <v>0</v>
      </c>
    </row>
    <row r="82" spans="2:13">
      <c r="B82" s="600">
        <v>45525</v>
      </c>
      <c r="C82" s="184" t="s">
        <v>690</v>
      </c>
      <c r="D82" s="184" t="s">
        <v>691</v>
      </c>
      <c r="E82" s="184" t="s">
        <v>606</v>
      </c>
      <c r="F82" s="184" t="s">
        <v>692</v>
      </c>
      <c r="G82" s="184" t="s">
        <v>693</v>
      </c>
      <c r="I82" s="601">
        <v>-2.1999999999999999E-2</v>
      </c>
      <c r="J82" s="601">
        <v>-2E-3</v>
      </c>
      <c r="K82" s="601">
        <v>-4.0000000000000001E-3</v>
      </c>
      <c r="L82" s="601">
        <v>7.0000000000000001E-3</v>
      </c>
      <c r="M82" s="601">
        <v>2E-3</v>
      </c>
    </row>
    <row r="83" spans="2:13">
      <c r="B83" s="600">
        <v>45524</v>
      </c>
      <c r="C83" s="184" t="s">
        <v>685</v>
      </c>
      <c r="D83" s="184" t="s">
        <v>694</v>
      </c>
      <c r="E83" s="184" t="s">
        <v>695</v>
      </c>
      <c r="F83" s="184" t="s">
        <v>696</v>
      </c>
      <c r="G83" s="184" t="s">
        <v>697</v>
      </c>
      <c r="I83" s="601">
        <v>-8.0000000000000002E-3</v>
      </c>
      <c r="J83" s="601">
        <v>4.0000000000000001E-3</v>
      </c>
      <c r="K83" s="601">
        <v>1.2E-2</v>
      </c>
      <c r="L83" s="601">
        <v>0</v>
      </c>
      <c r="M83" s="601">
        <v>5.0000000000000001E-3</v>
      </c>
    </row>
    <row r="84" spans="2:13">
      <c r="B84" s="600">
        <v>45523</v>
      </c>
      <c r="C84" s="184" t="s">
        <v>698</v>
      </c>
      <c r="D84" s="184" t="s">
        <v>699</v>
      </c>
      <c r="E84" s="184" t="s">
        <v>700</v>
      </c>
      <c r="F84" s="184" t="s">
        <v>701</v>
      </c>
      <c r="G84" s="184" t="s">
        <v>702</v>
      </c>
      <c r="I84" s="601">
        <v>3.0000000000000001E-3</v>
      </c>
      <c r="J84" s="601">
        <v>1.9E-2</v>
      </c>
      <c r="K84" s="601">
        <v>7.0000000000000001E-3</v>
      </c>
      <c r="L84" s="601">
        <v>-1.0999999999999999E-2</v>
      </c>
      <c r="M84" s="601">
        <v>7.0000000000000001E-3</v>
      </c>
    </row>
    <row r="85" spans="2:13">
      <c r="B85" s="600">
        <v>45520</v>
      </c>
      <c r="C85" s="184" t="s">
        <v>703</v>
      </c>
      <c r="D85" s="184" t="s">
        <v>704</v>
      </c>
      <c r="E85" s="184" t="s">
        <v>705</v>
      </c>
      <c r="F85" s="184" t="s">
        <v>706</v>
      </c>
      <c r="G85" s="184" t="s">
        <v>707</v>
      </c>
      <c r="I85" s="601">
        <v>1.9E-2</v>
      </c>
      <c r="J85" s="601">
        <v>-1.6E-2</v>
      </c>
      <c r="K85" s="601">
        <v>1E-3</v>
      </c>
      <c r="L85" s="601">
        <v>2E-3</v>
      </c>
      <c r="M85" s="601">
        <v>5.0000000000000001E-3</v>
      </c>
    </row>
    <row r="86" spans="2:13">
      <c r="B86" s="600">
        <v>45519</v>
      </c>
      <c r="C86" s="184" t="s">
        <v>708</v>
      </c>
      <c r="D86" s="184" t="s">
        <v>709</v>
      </c>
      <c r="E86" s="184" t="s">
        <v>710</v>
      </c>
      <c r="F86" s="184" t="s">
        <v>711</v>
      </c>
      <c r="G86" s="184" t="s">
        <v>712</v>
      </c>
      <c r="I86" s="601">
        <v>0.01</v>
      </c>
      <c r="J86" s="601">
        <v>-0.02</v>
      </c>
      <c r="K86" s="601">
        <v>-7.0000000000000001E-3</v>
      </c>
      <c r="L86" s="601">
        <v>1.7000000000000001E-2</v>
      </c>
      <c r="M86" s="601">
        <v>7.0000000000000001E-3</v>
      </c>
    </row>
    <row r="87" spans="2:13">
      <c r="B87" s="600">
        <v>45518</v>
      </c>
      <c r="C87" s="184" t="s">
        <v>713</v>
      </c>
      <c r="D87" s="184" t="s">
        <v>714</v>
      </c>
      <c r="E87" s="184" t="s">
        <v>715</v>
      </c>
      <c r="F87" s="184" t="s">
        <v>716</v>
      </c>
      <c r="G87" s="184" t="s">
        <v>717</v>
      </c>
      <c r="I87" s="601">
        <v>2.5000000000000001E-2</v>
      </c>
      <c r="J87" s="601">
        <v>6.0000000000000001E-3</v>
      </c>
      <c r="K87" s="601">
        <v>8.0000000000000002E-3</v>
      </c>
      <c r="L87" s="601">
        <v>4.0000000000000001E-3</v>
      </c>
      <c r="M87" s="601">
        <v>1.7000000000000001E-2</v>
      </c>
    </row>
    <row r="88" spans="2:13">
      <c r="B88" s="600">
        <v>45517</v>
      </c>
      <c r="C88" s="184" t="s">
        <v>718</v>
      </c>
      <c r="D88" s="184" t="s">
        <v>719</v>
      </c>
      <c r="E88" s="184" t="s">
        <v>720</v>
      </c>
      <c r="F88" s="184" t="s">
        <v>721</v>
      </c>
      <c r="G88" s="184" t="s">
        <v>722</v>
      </c>
      <c r="I88" s="601">
        <v>2.7E-2</v>
      </c>
      <c r="J88" s="601">
        <v>4.0000000000000001E-3</v>
      </c>
      <c r="K88" s="601">
        <v>6.0000000000000001E-3</v>
      </c>
      <c r="L88" s="601">
        <v>5.0000000000000001E-3</v>
      </c>
      <c r="M88" s="601">
        <v>1E-3</v>
      </c>
    </row>
    <row r="89" spans="2:13">
      <c r="B89" s="600">
        <v>45516</v>
      </c>
      <c r="C89" s="184" t="s">
        <v>723</v>
      </c>
      <c r="D89" s="184" t="s">
        <v>724</v>
      </c>
      <c r="E89" s="184" t="s">
        <v>725</v>
      </c>
      <c r="F89" s="184" t="s">
        <v>726</v>
      </c>
      <c r="G89" s="184" t="s">
        <v>727</v>
      </c>
      <c r="I89" s="601">
        <v>-1.2999999999999999E-2</v>
      </c>
      <c r="J89" s="601">
        <v>-1.4E-2</v>
      </c>
      <c r="K89" s="601">
        <v>-6.0000000000000001E-3</v>
      </c>
      <c r="L89" s="601">
        <v>-1.0999999999999999E-2</v>
      </c>
      <c r="M89" s="601">
        <v>-1.4E-2</v>
      </c>
    </row>
    <row r="90" spans="2:13">
      <c r="B90" s="600">
        <v>45513</v>
      </c>
      <c r="C90" s="184" t="s">
        <v>728</v>
      </c>
      <c r="D90" s="184" t="s">
        <v>729</v>
      </c>
      <c r="E90" s="184" t="s">
        <v>730</v>
      </c>
      <c r="F90" s="184" t="s">
        <v>731</v>
      </c>
      <c r="G90" s="184" t="s">
        <v>732</v>
      </c>
      <c r="I90" s="601">
        <v>-3.0000000000000001E-3</v>
      </c>
      <c r="J90" s="601">
        <v>-3.0000000000000001E-3</v>
      </c>
      <c r="K90" s="601">
        <v>0</v>
      </c>
      <c r="L90" s="601">
        <v>6.0000000000000001E-3</v>
      </c>
      <c r="M90" s="601">
        <v>-7.0000000000000001E-3</v>
      </c>
    </row>
    <row r="91" spans="2:13">
      <c r="B91" s="600">
        <v>45512</v>
      </c>
      <c r="C91" s="184" t="s">
        <v>733</v>
      </c>
      <c r="D91" s="184" t="s">
        <v>734</v>
      </c>
      <c r="E91" s="184" t="s">
        <v>720</v>
      </c>
      <c r="F91" s="184" t="s">
        <v>735</v>
      </c>
      <c r="G91" s="184" t="s">
        <v>736</v>
      </c>
      <c r="I91" s="601">
        <v>6.0000000000000001E-3</v>
      </c>
      <c r="J91" s="601">
        <v>1.0999999999999999E-2</v>
      </c>
      <c r="K91" s="601">
        <v>3.0000000000000001E-3</v>
      </c>
      <c r="L91" s="601">
        <v>8.9999999999999993E-3</v>
      </c>
      <c r="M91" s="601">
        <v>8.9999999999999993E-3</v>
      </c>
    </row>
    <row r="92" spans="2:13">
      <c r="B92" s="600">
        <v>45511</v>
      </c>
      <c r="C92" s="184" t="s">
        <v>737</v>
      </c>
      <c r="D92" s="184" t="s">
        <v>738</v>
      </c>
      <c r="E92" s="184" t="s">
        <v>481</v>
      </c>
      <c r="F92" s="184" t="s">
        <v>739</v>
      </c>
      <c r="G92" s="184" t="s">
        <v>740</v>
      </c>
      <c r="I92" s="601">
        <v>-4.0000000000000001E-3</v>
      </c>
      <c r="J92" s="601">
        <v>2E-3</v>
      </c>
      <c r="K92" s="601">
        <v>-4.0000000000000001E-3</v>
      </c>
      <c r="L92" s="601">
        <v>-3.0000000000000001E-3</v>
      </c>
      <c r="M92" s="601">
        <v>7.0000000000000001E-3</v>
      </c>
    </row>
    <row r="93" spans="2:13">
      <c r="B93" s="600">
        <v>45510</v>
      </c>
      <c r="C93" s="184" t="s">
        <v>741</v>
      </c>
      <c r="D93" s="184" t="s">
        <v>742</v>
      </c>
      <c r="E93" s="184" t="s">
        <v>743</v>
      </c>
      <c r="F93" s="184" t="s">
        <v>744</v>
      </c>
      <c r="G93" s="184" t="s">
        <v>745</v>
      </c>
      <c r="I93" s="601">
        <v>5.0000000000000001E-3</v>
      </c>
      <c r="J93" s="601">
        <v>1.7000000000000001E-2</v>
      </c>
      <c r="K93" s="601">
        <v>-8.9999999999999993E-3</v>
      </c>
      <c r="L93" s="601">
        <v>8.9999999999999993E-3</v>
      </c>
      <c r="M93" s="601">
        <v>0.01</v>
      </c>
    </row>
    <row r="94" spans="2:13">
      <c r="B94" s="600">
        <v>45509</v>
      </c>
      <c r="C94" s="184" t="s">
        <v>746</v>
      </c>
      <c r="D94" s="184" t="s">
        <v>747</v>
      </c>
      <c r="E94" s="184" t="s">
        <v>748</v>
      </c>
      <c r="F94" s="184" t="s">
        <v>749</v>
      </c>
      <c r="G94" s="184" t="s">
        <v>750</v>
      </c>
      <c r="I94" s="601">
        <v>-2.5999999999999999E-2</v>
      </c>
      <c r="J94" s="601">
        <v>-1.4999999999999999E-2</v>
      </c>
      <c r="K94" s="601">
        <v>-2.1999999999999999E-2</v>
      </c>
      <c r="L94" s="601">
        <v>-4.2999999999999997E-2</v>
      </c>
      <c r="M94" s="601">
        <v>-1.7000000000000001E-2</v>
      </c>
    </row>
    <row r="95" spans="2:13">
      <c r="B95" s="600">
        <v>45506</v>
      </c>
      <c r="C95" s="184" t="s">
        <v>751</v>
      </c>
      <c r="D95" s="184" t="s">
        <v>752</v>
      </c>
      <c r="E95" s="184" t="s">
        <v>753</v>
      </c>
      <c r="F95" s="184" t="s">
        <v>754</v>
      </c>
      <c r="G95" s="184" t="s">
        <v>604</v>
      </c>
      <c r="I95" s="601">
        <v>0.01</v>
      </c>
      <c r="J95" s="601">
        <v>-3.0000000000000001E-3</v>
      </c>
      <c r="K95" s="601">
        <v>1.7999999999999999E-2</v>
      </c>
      <c r="L95" s="601">
        <v>6.0000000000000001E-3</v>
      </c>
      <c r="M95" s="601">
        <v>1.2E-2</v>
      </c>
    </row>
    <row r="96" spans="2:13">
      <c r="B96" s="600">
        <v>45505</v>
      </c>
      <c r="C96" s="184" t="s">
        <v>755</v>
      </c>
      <c r="D96" s="184" t="s">
        <v>756</v>
      </c>
      <c r="E96" s="184" t="s">
        <v>757</v>
      </c>
      <c r="F96" s="184" t="s">
        <v>758</v>
      </c>
      <c r="G96" s="184" t="s">
        <v>759</v>
      </c>
      <c r="I96" s="601">
        <v>-4.0000000000000001E-3</v>
      </c>
      <c r="J96" s="601">
        <v>1.0999999999999999E-2</v>
      </c>
      <c r="K96" s="601">
        <v>1.2999999999999999E-2</v>
      </c>
      <c r="L96" s="601">
        <v>1E-3</v>
      </c>
      <c r="M96" s="601">
        <v>2.5000000000000001E-2</v>
      </c>
    </row>
    <row r="97" spans="2:13">
      <c r="B97" s="600">
        <v>45504</v>
      </c>
      <c r="C97" s="184" t="s">
        <v>760</v>
      </c>
      <c r="D97" s="184" t="s">
        <v>761</v>
      </c>
      <c r="E97" s="184" t="s">
        <v>762</v>
      </c>
      <c r="F97" s="184" t="s">
        <v>763</v>
      </c>
      <c r="G97" s="184" t="s">
        <v>764</v>
      </c>
      <c r="I97" s="601">
        <v>7.0000000000000001E-3</v>
      </c>
      <c r="J97" s="601">
        <v>1.7999999999999999E-2</v>
      </c>
      <c r="K97" s="601">
        <v>-3.0000000000000001E-3</v>
      </c>
      <c r="L97" s="601">
        <v>8.0000000000000002E-3</v>
      </c>
      <c r="M97" s="601">
        <v>-0.01</v>
      </c>
    </row>
    <row r="98" spans="2:13">
      <c r="B98" s="600">
        <v>45503</v>
      </c>
      <c r="C98" s="184" t="s">
        <v>765</v>
      </c>
      <c r="D98" s="184" t="s">
        <v>766</v>
      </c>
      <c r="E98" s="184" t="s">
        <v>767</v>
      </c>
      <c r="F98" s="184" t="s">
        <v>768</v>
      </c>
      <c r="G98" s="184" t="s">
        <v>769</v>
      </c>
      <c r="I98" s="601">
        <v>-1.4E-2</v>
      </c>
      <c r="J98" s="601">
        <v>7.0000000000000001E-3</v>
      </c>
      <c r="K98" s="601">
        <v>0</v>
      </c>
      <c r="L98" s="601">
        <v>-1.2E-2</v>
      </c>
      <c r="M98" s="601">
        <v>-3.2000000000000001E-2</v>
      </c>
    </row>
    <row r="99" spans="2:13">
      <c r="B99" s="600">
        <v>45502</v>
      </c>
      <c r="C99" s="184" t="s">
        <v>770</v>
      </c>
      <c r="D99" s="184" t="s">
        <v>771</v>
      </c>
      <c r="E99" s="184" t="s">
        <v>772</v>
      </c>
      <c r="F99" s="184" t="s">
        <v>773</v>
      </c>
      <c r="G99" s="184" t="s">
        <v>774</v>
      </c>
      <c r="I99" s="601">
        <v>-2.3E-2</v>
      </c>
      <c r="J99" s="601">
        <v>-5.0000000000000001E-3</v>
      </c>
      <c r="K99" s="601">
        <v>3.0000000000000001E-3</v>
      </c>
      <c r="L99" s="601">
        <v>-2.9000000000000001E-2</v>
      </c>
      <c r="M99" s="601">
        <v>-7.0000000000000001E-3</v>
      </c>
    </row>
    <row r="100" spans="2:13">
      <c r="B100" s="600">
        <v>45499</v>
      </c>
      <c r="C100" s="184" t="s">
        <v>775</v>
      </c>
      <c r="D100" s="184" t="s">
        <v>776</v>
      </c>
      <c r="E100" s="184" t="s">
        <v>777</v>
      </c>
      <c r="F100" s="184" t="s">
        <v>778</v>
      </c>
      <c r="G100" s="184" t="s">
        <v>779</v>
      </c>
      <c r="I100" s="601">
        <v>3.0000000000000001E-3</v>
      </c>
      <c r="J100" s="601">
        <v>4.0000000000000001E-3</v>
      </c>
      <c r="K100" s="601">
        <v>0.01</v>
      </c>
      <c r="L100" s="601">
        <v>1.6E-2</v>
      </c>
      <c r="M100" s="601">
        <v>5.0000000000000001E-3</v>
      </c>
    </row>
    <row r="101" spans="2:13">
      <c r="B101" s="600">
        <v>45498</v>
      </c>
      <c r="C101" s="184" t="s">
        <v>780</v>
      </c>
      <c r="D101" s="184" t="s">
        <v>781</v>
      </c>
      <c r="E101" s="184" t="s">
        <v>782</v>
      </c>
      <c r="F101" s="184" t="s">
        <v>783</v>
      </c>
      <c r="G101" s="184" t="s">
        <v>784</v>
      </c>
      <c r="I101" s="601">
        <v>8.9999999999999993E-3</v>
      </c>
      <c r="J101" s="601">
        <v>3.0000000000000001E-3</v>
      </c>
      <c r="K101" s="601">
        <v>1.7000000000000001E-2</v>
      </c>
      <c r="L101" s="601">
        <v>0.01</v>
      </c>
      <c r="M101" s="601">
        <v>4.0000000000000001E-3</v>
      </c>
    </row>
    <row r="102" spans="2:13">
      <c r="B102" s="600">
        <v>45497</v>
      </c>
      <c r="C102" s="184" t="s">
        <v>785</v>
      </c>
      <c r="D102" s="184" t="s">
        <v>786</v>
      </c>
      <c r="E102" s="184" t="s">
        <v>787</v>
      </c>
      <c r="F102" s="184" t="s">
        <v>788</v>
      </c>
      <c r="G102" s="184" t="s">
        <v>789</v>
      </c>
      <c r="I102" s="601">
        <v>-1E-3</v>
      </c>
      <c r="J102" s="601">
        <v>1.0999999999999999E-2</v>
      </c>
      <c r="K102" s="601">
        <v>1.0999999999999999E-2</v>
      </c>
      <c r="L102" s="601">
        <v>4.0000000000000001E-3</v>
      </c>
      <c r="M102" s="601">
        <v>3.4000000000000002E-2</v>
      </c>
    </row>
    <row r="103" spans="2:13">
      <c r="B103" s="600">
        <v>45496</v>
      </c>
      <c r="C103" s="184" t="s">
        <v>790</v>
      </c>
      <c r="D103" s="184" t="s">
        <v>791</v>
      </c>
      <c r="E103" s="184" t="s">
        <v>792</v>
      </c>
      <c r="F103" s="184" t="s">
        <v>793</v>
      </c>
      <c r="G103" s="184" t="s">
        <v>794</v>
      </c>
      <c r="I103" s="601">
        <v>1.4E-2</v>
      </c>
      <c r="J103" s="601">
        <v>-7.0000000000000001E-3</v>
      </c>
      <c r="K103" s="601">
        <v>-8.0000000000000002E-3</v>
      </c>
      <c r="L103" s="601">
        <v>1.0999999999999999E-2</v>
      </c>
      <c r="M103" s="601">
        <v>-5.7000000000000002E-2</v>
      </c>
    </row>
    <row r="104" spans="2:13">
      <c r="B104" s="600">
        <v>45495</v>
      </c>
      <c r="C104" s="184" t="s">
        <v>795</v>
      </c>
      <c r="D104" s="184" t="s">
        <v>796</v>
      </c>
      <c r="E104" s="184" t="s">
        <v>797</v>
      </c>
      <c r="F104" s="184" t="s">
        <v>798</v>
      </c>
      <c r="G104" s="184" t="s">
        <v>679</v>
      </c>
      <c r="I104" s="601">
        <v>-3.0000000000000001E-3</v>
      </c>
      <c r="J104" s="601">
        <v>1E-3</v>
      </c>
      <c r="K104" s="601">
        <v>-0.01</v>
      </c>
      <c r="L104" s="601">
        <v>-8.9999999999999993E-3</v>
      </c>
      <c r="M104" s="601">
        <v>4.0000000000000001E-3</v>
      </c>
    </row>
    <row r="105" spans="2:13">
      <c r="B105" s="600">
        <v>45492</v>
      </c>
      <c r="C105" s="184" t="s">
        <v>799</v>
      </c>
      <c r="D105" s="184" t="s">
        <v>800</v>
      </c>
      <c r="E105" s="184" t="s">
        <v>801</v>
      </c>
      <c r="F105" s="184" t="s">
        <v>802</v>
      </c>
      <c r="G105" s="184" t="s">
        <v>803</v>
      </c>
      <c r="I105" s="601">
        <v>8.9999999999999993E-3</v>
      </c>
      <c r="J105" s="601">
        <v>-1.0999999999999999E-2</v>
      </c>
      <c r="K105" s="601">
        <v>-6.0000000000000001E-3</v>
      </c>
      <c r="L105" s="601">
        <v>-1.0999999999999999E-2</v>
      </c>
      <c r="M105" s="601">
        <v>-3.0000000000000001E-3</v>
      </c>
    </row>
    <row r="106" spans="2:13">
      <c r="B106" s="600">
        <v>45491</v>
      </c>
      <c r="C106" s="184" t="s">
        <v>760</v>
      </c>
      <c r="D106" s="184" t="s">
        <v>587</v>
      </c>
      <c r="E106" s="184" t="s">
        <v>804</v>
      </c>
      <c r="F106" s="184" t="s">
        <v>805</v>
      </c>
      <c r="G106" s="184" t="s">
        <v>806</v>
      </c>
      <c r="I106" s="601">
        <v>-1.0999999999999999E-2</v>
      </c>
      <c r="J106" s="601">
        <v>-3.0000000000000001E-3</v>
      </c>
      <c r="K106" s="601">
        <v>3.0000000000000001E-3</v>
      </c>
      <c r="L106" s="601">
        <v>0</v>
      </c>
      <c r="M106" s="601">
        <v>4.0000000000000001E-3</v>
      </c>
    </row>
    <row r="107" spans="2:13">
      <c r="B107" s="600">
        <v>45490</v>
      </c>
      <c r="C107" s="184" t="s">
        <v>807</v>
      </c>
      <c r="D107" s="184" t="s">
        <v>808</v>
      </c>
      <c r="E107" s="184" t="s">
        <v>809</v>
      </c>
      <c r="F107" s="184" t="s">
        <v>810</v>
      </c>
      <c r="G107" s="184" t="s">
        <v>811</v>
      </c>
      <c r="I107" s="601">
        <v>1.4999999999999999E-2</v>
      </c>
      <c r="J107" s="601">
        <v>2.1000000000000001E-2</v>
      </c>
      <c r="K107" s="601">
        <v>3.1E-2</v>
      </c>
      <c r="L107" s="601">
        <v>1E-3</v>
      </c>
      <c r="M107" s="601">
        <v>8.0000000000000002E-3</v>
      </c>
    </row>
    <row r="108" spans="2:13">
      <c r="B108" s="600">
        <v>45489</v>
      </c>
      <c r="C108" s="184" t="s">
        <v>755</v>
      </c>
      <c r="D108" s="184" t="s">
        <v>812</v>
      </c>
      <c r="E108" s="184" t="s">
        <v>813</v>
      </c>
      <c r="F108" s="184" t="s">
        <v>599</v>
      </c>
      <c r="G108" s="184" t="s">
        <v>707</v>
      </c>
      <c r="I108" s="601">
        <v>0.01</v>
      </c>
      <c r="J108" s="601">
        <v>6.0000000000000001E-3</v>
      </c>
      <c r="K108" s="601">
        <v>5.0000000000000001E-3</v>
      </c>
      <c r="L108" s="601">
        <v>-6.0000000000000001E-3</v>
      </c>
      <c r="M108" s="601">
        <v>0.01</v>
      </c>
    </row>
    <row r="109" spans="2:13">
      <c r="B109" s="600">
        <v>45488</v>
      </c>
      <c r="C109" s="184" t="s">
        <v>733</v>
      </c>
      <c r="D109" s="184" t="s">
        <v>814</v>
      </c>
      <c r="E109" s="184" t="s">
        <v>815</v>
      </c>
      <c r="F109" s="184" t="s">
        <v>816</v>
      </c>
      <c r="G109" s="184" t="s">
        <v>817</v>
      </c>
      <c r="I109" s="601">
        <v>4.0000000000000001E-3</v>
      </c>
      <c r="J109" s="601">
        <v>0</v>
      </c>
      <c r="K109" s="601">
        <v>-1.4999999999999999E-2</v>
      </c>
      <c r="L109" s="601">
        <v>-0.04</v>
      </c>
      <c r="M109" s="601">
        <v>-4.0000000000000001E-3</v>
      </c>
    </row>
    <row r="110" spans="2:13">
      <c r="B110" s="600">
        <v>45485</v>
      </c>
      <c r="C110" s="184" t="s">
        <v>818</v>
      </c>
      <c r="D110" s="184" t="s">
        <v>819</v>
      </c>
      <c r="E110" s="184" t="s">
        <v>820</v>
      </c>
      <c r="F110" s="184" t="s">
        <v>821</v>
      </c>
      <c r="G110" s="184" t="s">
        <v>822</v>
      </c>
      <c r="I110" s="601">
        <v>-4.0000000000000001E-3</v>
      </c>
      <c r="J110" s="601">
        <v>1.2E-2</v>
      </c>
      <c r="K110" s="601">
        <v>1.4999999999999999E-2</v>
      </c>
      <c r="L110" s="601">
        <v>2E-3</v>
      </c>
      <c r="M110" s="601">
        <v>4.0000000000000001E-3</v>
      </c>
    </row>
    <row r="111" spans="2:13">
      <c r="B111" s="600">
        <v>45484</v>
      </c>
      <c r="C111" s="184" t="s">
        <v>823</v>
      </c>
      <c r="D111" s="184" t="s">
        <v>824</v>
      </c>
      <c r="E111" s="184" t="s">
        <v>825</v>
      </c>
      <c r="F111" s="184" t="s">
        <v>826</v>
      </c>
      <c r="G111" s="184" t="s">
        <v>827</v>
      </c>
      <c r="I111" s="601">
        <v>1.2E-2</v>
      </c>
      <c r="J111" s="601">
        <v>6.0000000000000001E-3</v>
      </c>
      <c r="K111" s="601">
        <v>2E-3</v>
      </c>
      <c r="L111" s="601">
        <v>2.5000000000000001E-2</v>
      </c>
      <c r="M111" s="601">
        <v>2E-3</v>
      </c>
    </row>
    <row r="112" spans="2:13">
      <c r="B112" s="600">
        <v>45483</v>
      </c>
      <c r="C112" s="184" t="s">
        <v>435</v>
      </c>
      <c r="D112" s="184" t="s">
        <v>504</v>
      </c>
      <c r="E112" s="184" t="s">
        <v>828</v>
      </c>
      <c r="F112" s="184" t="s">
        <v>829</v>
      </c>
      <c r="G112" s="184" t="s">
        <v>830</v>
      </c>
      <c r="I112" s="601">
        <v>-6.0000000000000001E-3</v>
      </c>
      <c r="J112" s="601">
        <v>1.6E-2</v>
      </c>
      <c r="K112" s="601">
        <v>0.01</v>
      </c>
      <c r="L112" s="601">
        <v>4.0000000000000001E-3</v>
      </c>
      <c r="M112" s="601">
        <v>0.01</v>
      </c>
    </row>
    <row r="113" spans="2:13">
      <c r="B113" s="600">
        <v>45482</v>
      </c>
      <c r="C113" s="184" t="s">
        <v>737</v>
      </c>
      <c r="D113" s="184" t="s">
        <v>831</v>
      </c>
      <c r="E113" s="184" t="s">
        <v>832</v>
      </c>
      <c r="F113" s="184" t="s">
        <v>833</v>
      </c>
      <c r="G113" s="184" t="s">
        <v>834</v>
      </c>
      <c r="I113" s="601">
        <v>-8.0000000000000002E-3</v>
      </c>
      <c r="J113" s="601">
        <v>-1.0999999999999999E-2</v>
      </c>
      <c r="K113" s="601">
        <v>-1E-3</v>
      </c>
      <c r="L113" s="601">
        <v>-7.0000000000000001E-3</v>
      </c>
      <c r="M113" s="601">
        <v>1E-3</v>
      </c>
    </row>
    <row r="114" spans="2:13">
      <c r="B114" s="600">
        <v>45481</v>
      </c>
      <c r="C114" s="184" t="s">
        <v>835</v>
      </c>
      <c r="D114" s="184" t="s">
        <v>836</v>
      </c>
      <c r="E114" s="184" t="s">
        <v>837</v>
      </c>
      <c r="F114" s="184" t="s">
        <v>838</v>
      </c>
      <c r="G114" s="184" t="s">
        <v>839</v>
      </c>
      <c r="I114" s="601">
        <v>-6.0000000000000001E-3</v>
      </c>
      <c r="J114" s="601">
        <v>3.0000000000000001E-3</v>
      </c>
      <c r="K114" s="601">
        <v>-1.4E-2</v>
      </c>
      <c r="L114" s="601">
        <v>-0.02</v>
      </c>
      <c r="M114" s="601">
        <v>7.0000000000000001E-3</v>
      </c>
    </row>
    <row r="115" spans="2:13">
      <c r="B115" s="600">
        <v>45478</v>
      </c>
      <c r="C115" s="184" t="s">
        <v>840</v>
      </c>
      <c r="D115" s="184" t="s">
        <v>841</v>
      </c>
      <c r="E115" s="184" t="s">
        <v>842</v>
      </c>
      <c r="F115" s="184" t="s">
        <v>843</v>
      </c>
      <c r="G115" s="184" t="s">
        <v>844</v>
      </c>
      <c r="I115" s="601">
        <v>0</v>
      </c>
      <c r="J115" s="601">
        <v>0</v>
      </c>
      <c r="K115" s="601">
        <v>0</v>
      </c>
      <c r="L115" s="601">
        <v>0</v>
      </c>
      <c r="M115" s="601">
        <v>0</v>
      </c>
    </row>
    <row r="116" spans="2:13">
      <c r="B116" s="600">
        <v>45477</v>
      </c>
      <c r="C116" s="184" t="s">
        <v>840</v>
      </c>
      <c r="D116" s="184" t="s">
        <v>841</v>
      </c>
      <c r="E116" s="184" t="s">
        <v>842</v>
      </c>
      <c r="F116" s="184" t="s">
        <v>843</v>
      </c>
      <c r="G116" s="184" t="s">
        <v>844</v>
      </c>
      <c r="I116" s="601">
        <v>-8.0000000000000002E-3</v>
      </c>
      <c r="J116" s="601">
        <v>2E-3</v>
      </c>
      <c r="K116" s="601">
        <v>1.0999999999999999E-2</v>
      </c>
      <c r="L116" s="601">
        <v>3.5000000000000003E-2</v>
      </c>
      <c r="M116" s="601">
        <v>6.0000000000000001E-3</v>
      </c>
    </row>
    <row r="117" spans="2:13">
      <c r="B117" s="600">
        <v>45476</v>
      </c>
      <c r="C117" s="184" t="s">
        <v>845</v>
      </c>
      <c r="D117" s="184" t="s">
        <v>846</v>
      </c>
      <c r="E117" s="184" t="s">
        <v>847</v>
      </c>
      <c r="F117" s="184" t="s">
        <v>848</v>
      </c>
      <c r="G117" s="184" t="s">
        <v>849</v>
      </c>
      <c r="I117" s="601">
        <v>1E-3</v>
      </c>
      <c r="J117" s="601">
        <v>-5.0000000000000001E-3</v>
      </c>
      <c r="K117" s="601">
        <v>-6.0000000000000001E-3</v>
      </c>
      <c r="L117" s="601">
        <v>-3.3000000000000002E-2</v>
      </c>
      <c r="M117" s="601">
        <v>-3.0000000000000001E-3</v>
      </c>
    </row>
    <row r="118" spans="2:13">
      <c r="B118" s="600">
        <v>45475</v>
      </c>
      <c r="C118" s="184" t="s">
        <v>850</v>
      </c>
      <c r="D118" s="184" t="s">
        <v>851</v>
      </c>
      <c r="E118" s="184" t="s">
        <v>852</v>
      </c>
      <c r="F118" s="184" t="s">
        <v>853</v>
      </c>
      <c r="G118" s="184" t="s">
        <v>854</v>
      </c>
      <c r="I118" s="601">
        <v>-2E-3</v>
      </c>
      <c r="J118" s="601">
        <v>1.2E-2</v>
      </c>
      <c r="K118" s="601">
        <v>4.0000000000000001E-3</v>
      </c>
      <c r="L118" s="601">
        <v>0.01</v>
      </c>
      <c r="M118" s="601">
        <v>1E-3</v>
      </c>
    </row>
    <row r="119" spans="2:13">
      <c r="B119" s="600">
        <v>45474</v>
      </c>
      <c r="C119" s="184" t="s">
        <v>855</v>
      </c>
      <c r="D119" s="184" t="s">
        <v>856</v>
      </c>
      <c r="E119" s="184" t="s">
        <v>857</v>
      </c>
      <c r="F119" s="184" t="s">
        <v>858</v>
      </c>
      <c r="G119" s="184" t="s">
        <v>859</v>
      </c>
      <c r="I119" s="601">
        <v>7.0000000000000001E-3</v>
      </c>
      <c r="J119" s="601">
        <v>-8.0000000000000002E-3</v>
      </c>
      <c r="K119" s="601">
        <v>-1.2E-2</v>
      </c>
      <c r="L119" s="601">
        <v>-4.0000000000000001E-3</v>
      </c>
      <c r="M119" s="601">
        <v>-3.0000000000000001E-3</v>
      </c>
    </row>
    <row r="120" spans="2:13">
      <c r="B120" s="600">
        <v>45471</v>
      </c>
      <c r="C120" s="184" t="s">
        <v>860</v>
      </c>
      <c r="D120" s="184" t="s">
        <v>861</v>
      </c>
      <c r="E120" s="184" t="s">
        <v>862</v>
      </c>
      <c r="F120" s="184" t="s">
        <v>863</v>
      </c>
      <c r="G120" s="184" t="s">
        <v>864</v>
      </c>
      <c r="I120" s="601">
        <v>1E-3</v>
      </c>
      <c r="J120" s="601">
        <v>1E-3</v>
      </c>
      <c r="K120" s="601">
        <v>-8.0000000000000002E-3</v>
      </c>
      <c r="L120" s="601">
        <v>5.0000000000000001E-3</v>
      </c>
      <c r="M120" s="601">
        <v>-8.0000000000000002E-3</v>
      </c>
    </row>
    <row r="121" spans="2:13">
      <c r="B121" s="600">
        <v>45470</v>
      </c>
      <c r="C121" s="184" t="s">
        <v>865</v>
      </c>
      <c r="D121" s="184" t="s">
        <v>866</v>
      </c>
      <c r="E121" s="184" t="s">
        <v>867</v>
      </c>
      <c r="F121" s="184" t="s">
        <v>868</v>
      </c>
      <c r="G121" s="184" t="s">
        <v>869</v>
      </c>
      <c r="I121" s="601">
        <v>5.0000000000000001E-3</v>
      </c>
      <c r="J121" s="601">
        <v>3.0000000000000001E-3</v>
      </c>
      <c r="K121" s="601">
        <v>-3.0000000000000001E-3</v>
      </c>
      <c r="L121" s="601">
        <v>-0.02</v>
      </c>
      <c r="M121" s="601">
        <v>1E-3</v>
      </c>
    </row>
    <row r="122" spans="2:13">
      <c r="B122" s="600">
        <v>45469</v>
      </c>
      <c r="C122" s="184" t="s">
        <v>870</v>
      </c>
      <c r="D122" s="184" t="s">
        <v>871</v>
      </c>
      <c r="E122" s="184" t="s">
        <v>872</v>
      </c>
      <c r="F122" s="184" t="s">
        <v>873</v>
      </c>
      <c r="G122" s="184" t="s">
        <v>874</v>
      </c>
      <c r="I122" s="601">
        <v>-1.2E-2</v>
      </c>
      <c r="J122" s="601">
        <v>-1.4999999999999999E-2</v>
      </c>
      <c r="K122" s="601">
        <v>-4.0000000000000001E-3</v>
      </c>
      <c r="L122" s="601">
        <v>-2E-3</v>
      </c>
      <c r="M122" s="601">
        <v>5.0000000000000001E-3</v>
      </c>
    </row>
    <row r="123" spans="2:13">
      <c r="B123" s="600">
        <v>45468</v>
      </c>
      <c r="C123" s="184" t="s">
        <v>875</v>
      </c>
      <c r="D123" s="184" t="s">
        <v>876</v>
      </c>
      <c r="E123" s="184" t="s">
        <v>877</v>
      </c>
      <c r="F123" s="184" t="s">
        <v>878</v>
      </c>
      <c r="G123" s="184" t="s">
        <v>385</v>
      </c>
      <c r="I123" s="601">
        <v>4.0000000000000001E-3</v>
      </c>
      <c r="J123" s="601">
        <v>-7.0000000000000001E-3</v>
      </c>
      <c r="K123" s="601">
        <v>-4.0000000000000001E-3</v>
      </c>
      <c r="L123" s="601">
        <v>-1.2999999999999999E-2</v>
      </c>
      <c r="M123" s="601">
        <v>-8.9999999999999993E-3</v>
      </c>
    </row>
    <row r="124" spans="2:13">
      <c r="B124" s="600">
        <v>45467</v>
      </c>
      <c r="C124" s="184" t="s">
        <v>879</v>
      </c>
      <c r="D124" s="184" t="s">
        <v>880</v>
      </c>
      <c r="E124" s="184" t="s">
        <v>881</v>
      </c>
      <c r="F124" s="184" t="s">
        <v>882</v>
      </c>
      <c r="G124" s="184" t="s">
        <v>883</v>
      </c>
      <c r="I124" s="601">
        <v>1.2E-2</v>
      </c>
      <c r="J124" s="601">
        <v>2.9000000000000001E-2</v>
      </c>
      <c r="K124" s="601">
        <v>5.0000000000000001E-3</v>
      </c>
      <c r="L124" s="601">
        <v>6.0000000000000001E-3</v>
      </c>
      <c r="M124" s="601">
        <v>2E-3</v>
      </c>
    </row>
    <row r="125" spans="2:13">
      <c r="B125" s="600">
        <v>45464</v>
      </c>
      <c r="C125" s="184" t="s">
        <v>884</v>
      </c>
      <c r="D125" s="184" t="s">
        <v>885</v>
      </c>
      <c r="E125" s="184" t="s">
        <v>886</v>
      </c>
      <c r="F125" s="184" t="s">
        <v>887</v>
      </c>
      <c r="G125" s="184" t="s">
        <v>888</v>
      </c>
      <c r="I125" s="601">
        <v>-0.01</v>
      </c>
      <c r="J125" s="601">
        <v>0</v>
      </c>
      <c r="K125" s="601">
        <v>4.0000000000000001E-3</v>
      </c>
      <c r="L125" s="601">
        <v>3.0000000000000001E-3</v>
      </c>
      <c r="M125" s="601">
        <v>-5.0000000000000001E-3</v>
      </c>
    </row>
    <row r="126" spans="2:13">
      <c r="B126" s="600">
        <v>45463</v>
      </c>
      <c r="C126" s="184" t="s">
        <v>755</v>
      </c>
      <c r="D126" s="184" t="s">
        <v>889</v>
      </c>
      <c r="E126" s="184" t="s">
        <v>890</v>
      </c>
      <c r="F126" s="184" t="s">
        <v>891</v>
      </c>
      <c r="G126" s="184" t="s">
        <v>892</v>
      </c>
      <c r="I126" s="601">
        <v>0</v>
      </c>
      <c r="J126" s="601">
        <v>0</v>
      </c>
      <c r="K126" s="601">
        <v>0</v>
      </c>
      <c r="L126" s="601">
        <v>0</v>
      </c>
      <c r="M126" s="601">
        <v>0</v>
      </c>
    </row>
    <row r="127" spans="2:13">
      <c r="B127" s="600">
        <v>45462</v>
      </c>
      <c r="C127" s="184" t="s">
        <v>755</v>
      </c>
      <c r="D127" s="184" t="s">
        <v>889</v>
      </c>
      <c r="E127" s="184" t="s">
        <v>890</v>
      </c>
      <c r="F127" s="184" t="s">
        <v>891</v>
      </c>
      <c r="G127" s="184" t="s">
        <v>892</v>
      </c>
      <c r="I127" s="601">
        <v>-8.9999999999999993E-3</v>
      </c>
      <c r="J127" s="601">
        <v>-4.0000000000000001E-3</v>
      </c>
      <c r="K127" s="601">
        <v>1E-3</v>
      </c>
      <c r="L127" s="601">
        <v>-3.0000000000000001E-3</v>
      </c>
      <c r="M127" s="601">
        <v>-1.0999999999999999E-2</v>
      </c>
    </row>
    <row r="128" spans="2:13">
      <c r="B128" s="600">
        <v>45461</v>
      </c>
      <c r="C128" s="184" t="s">
        <v>893</v>
      </c>
      <c r="D128" s="184" t="s">
        <v>894</v>
      </c>
      <c r="E128" s="184" t="s">
        <v>895</v>
      </c>
      <c r="F128" s="184" t="s">
        <v>896</v>
      </c>
      <c r="G128" s="184" t="s">
        <v>897</v>
      </c>
      <c r="I128" s="601">
        <v>-7.0000000000000001E-3</v>
      </c>
      <c r="J128" s="601">
        <v>-2E-3</v>
      </c>
      <c r="K128" s="601">
        <v>2E-3</v>
      </c>
      <c r="L128" s="601">
        <v>5.0000000000000001E-3</v>
      </c>
      <c r="M128" s="601">
        <v>8.9999999999999993E-3</v>
      </c>
    </row>
    <row r="129" spans="2:13">
      <c r="B129" s="600">
        <v>45460</v>
      </c>
      <c r="C129" s="184" t="s">
        <v>898</v>
      </c>
      <c r="D129" s="184" t="s">
        <v>871</v>
      </c>
      <c r="E129" s="184" t="s">
        <v>899</v>
      </c>
      <c r="F129" s="184" t="s">
        <v>900</v>
      </c>
      <c r="G129" s="184" t="s">
        <v>901</v>
      </c>
      <c r="I129" s="601">
        <v>3.0000000000000001E-3</v>
      </c>
      <c r="J129" s="601">
        <v>-2.1000000000000001E-2</v>
      </c>
      <c r="K129" s="601">
        <v>1.4E-2</v>
      </c>
      <c r="L129" s="601">
        <v>3.5000000000000003E-2</v>
      </c>
      <c r="M129" s="601">
        <v>7.0000000000000001E-3</v>
      </c>
    </row>
    <row r="130" spans="2:13">
      <c r="B130" s="600">
        <v>45457</v>
      </c>
      <c r="C130" s="184" t="s">
        <v>902</v>
      </c>
      <c r="D130" s="184" t="s">
        <v>903</v>
      </c>
      <c r="E130" s="184" t="s">
        <v>904</v>
      </c>
      <c r="F130" s="184" t="s">
        <v>905</v>
      </c>
      <c r="G130" s="184" t="s">
        <v>906</v>
      </c>
      <c r="I130" s="601">
        <v>-7.0000000000000001E-3</v>
      </c>
      <c r="J130" s="601">
        <v>7.0000000000000001E-3</v>
      </c>
      <c r="K130" s="601">
        <v>3.0000000000000001E-3</v>
      </c>
      <c r="L130" s="601">
        <v>-4.0000000000000001E-3</v>
      </c>
      <c r="M130" s="601">
        <v>0</v>
      </c>
    </row>
    <row r="131" spans="2:13">
      <c r="B131" s="600">
        <v>45456</v>
      </c>
      <c r="C131" s="184" t="s">
        <v>907</v>
      </c>
      <c r="D131" s="184" t="s">
        <v>908</v>
      </c>
      <c r="E131" s="184" t="s">
        <v>909</v>
      </c>
      <c r="F131" s="184" t="s">
        <v>910</v>
      </c>
      <c r="G131" s="184" t="s">
        <v>834</v>
      </c>
      <c r="I131" s="601">
        <v>-2E-3</v>
      </c>
      <c r="J131" s="601">
        <v>-8.9999999999999993E-3</v>
      </c>
      <c r="K131" s="601">
        <v>-3.0000000000000001E-3</v>
      </c>
      <c r="L131" s="601">
        <v>8.0000000000000002E-3</v>
      </c>
      <c r="M131" s="601">
        <v>3.1E-2</v>
      </c>
    </row>
    <row r="132" spans="2:13">
      <c r="B132" s="600">
        <v>45455</v>
      </c>
      <c r="C132" s="184" t="s">
        <v>911</v>
      </c>
      <c r="D132" s="184" t="s">
        <v>912</v>
      </c>
      <c r="E132" s="184" t="s">
        <v>913</v>
      </c>
      <c r="F132" s="184" t="s">
        <v>914</v>
      </c>
      <c r="G132" s="184" t="s">
        <v>915</v>
      </c>
      <c r="I132" s="601">
        <v>-5.0000000000000001E-3</v>
      </c>
      <c r="J132" s="601">
        <v>-1.7999999999999999E-2</v>
      </c>
      <c r="K132" s="601">
        <v>-8.0000000000000002E-3</v>
      </c>
      <c r="L132" s="601">
        <v>6.0000000000000001E-3</v>
      </c>
      <c r="M132" s="601">
        <v>-3.0000000000000001E-3</v>
      </c>
    </row>
    <row r="133" spans="2:13">
      <c r="B133" s="600">
        <v>45454</v>
      </c>
      <c r="C133" s="184" t="s">
        <v>916</v>
      </c>
      <c r="D133" s="184" t="s">
        <v>917</v>
      </c>
      <c r="E133" s="184" t="s">
        <v>918</v>
      </c>
      <c r="F133" s="184" t="s">
        <v>919</v>
      </c>
      <c r="G133" s="184" t="s">
        <v>920</v>
      </c>
      <c r="I133" s="601">
        <v>1.2999999999999999E-2</v>
      </c>
      <c r="J133" s="601">
        <v>-3.0000000000000001E-3</v>
      </c>
      <c r="K133" s="601">
        <v>-5.0000000000000001E-3</v>
      </c>
      <c r="L133" s="601">
        <v>-3.0000000000000001E-3</v>
      </c>
      <c r="M133" s="601">
        <v>1E-3</v>
      </c>
    </row>
    <row r="134" spans="2:13">
      <c r="B134" s="600">
        <v>45453</v>
      </c>
      <c r="C134" s="184" t="s">
        <v>921</v>
      </c>
      <c r="D134" s="184" t="s">
        <v>922</v>
      </c>
      <c r="E134" s="184" t="s">
        <v>923</v>
      </c>
      <c r="F134" s="184" t="s">
        <v>924</v>
      </c>
      <c r="G134" s="184" t="s">
        <v>925</v>
      </c>
      <c r="I134" s="601">
        <v>-1E-3</v>
      </c>
      <c r="J134" s="601">
        <v>-2.5000000000000001E-2</v>
      </c>
      <c r="K134" s="601">
        <v>-0.03</v>
      </c>
      <c r="L134" s="601">
        <v>3.0000000000000001E-3</v>
      </c>
      <c r="M134" s="601">
        <v>7.0000000000000001E-3</v>
      </c>
    </row>
    <row r="135" spans="2:13">
      <c r="B135" s="600">
        <v>45450</v>
      </c>
      <c r="C135" s="184" t="s">
        <v>898</v>
      </c>
      <c r="D135" s="184" t="s">
        <v>926</v>
      </c>
      <c r="E135" s="184" t="s">
        <v>927</v>
      </c>
      <c r="F135" s="184" t="s">
        <v>928</v>
      </c>
      <c r="G135" s="184" t="s">
        <v>929</v>
      </c>
      <c r="I135" s="601">
        <v>-0.01</v>
      </c>
      <c r="J135" s="601">
        <v>-6.0000000000000001E-3</v>
      </c>
      <c r="K135" s="601">
        <v>-1.2E-2</v>
      </c>
      <c r="L135" s="601">
        <v>3.0000000000000001E-3</v>
      </c>
      <c r="M135" s="601">
        <v>-1.7999999999999999E-2</v>
      </c>
    </row>
    <row r="136" spans="2:13">
      <c r="B136" s="600">
        <v>45449</v>
      </c>
      <c r="C136" s="184" t="s">
        <v>930</v>
      </c>
      <c r="D136" s="184" t="s">
        <v>931</v>
      </c>
      <c r="E136" s="184" t="s">
        <v>932</v>
      </c>
      <c r="F136" s="184" t="s">
        <v>933</v>
      </c>
      <c r="G136" s="184" t="s">
        <v>934</v>
      </c>
      <c r="I136" s="601">
        <v>-3.0000000000000001E-3</v>
      </c>
      <c r="J136" s="601">
        <v>-5.0000000000000001E-3</v>
      </c>
      <c r="K136" s="601">
        <v>-2E-3</v>
      </c>
      <c r="L136" s="601">
        <v>0</v>
      </c>
      <c r="M136" s="601">
        <v>1E-3</v>
      </c>
    </row>
    <row r="137" spans="2:13">
      <c r="B137" s="600">
        <v>45448</v>
      </c>
      <c r="C137" s="184" t="s">
        <v>935</v>
      </c>
      <c r="D137" s="184" t="s">
        <v>936</v>
      </c>
      <c r="E137" s="184" t="s">
        <v>937</v>
      </c>
      <c r="F137" s="184" t="s">
        <v>938</v>
      </c>
      <c r="G137" s="184" t="s">
        <v>939</v>
      </c>
      <c r="I137" s="601">
        <v>-1E-3</v>
      </c>
      <c r="J137" s="601">
        <v>-8.9999999999999993E-3</v>
      </c>
      <c r="K137" s="601">
        <v>-2E-3</v>
      </c>
      <c r="L137" s="601">
        <v>-1E-3</v>
      </c>
      <c r="M137" s="601">
        <v>-4.0000000000000001E-3</v>
      </c>
    </row>
    <row r="138" spans="2:13">
      <c r="B138" s="600">
        <v>45447</v>
      </c>
      <c r="C138" s="184" t="s">
        <v>940</v>
      </c>
      <c r="D138" s="184" t="s">
        <v>941</v>
      </c>
      <c r="E138" s="184" t="s">
        <v>942</v>
      </c>
      <c r="F138" s="184" t="s">
        <v>943</v>
      </c>
      <c r="G138" s="184" t="s">
        <v>944</v>
      </c>
      <c r="I138" s="601">
        <v>-8.9999999999999993E-3</v>
      </c>
      <c r="J138" s="601">
        <v>1.9E-2</v>
      </c>
      <c r="K138" s="601">
        <v>1.6E-2</v>
      </c>
      <c r="L138" s="601">
        <v>0</v>
      </c>
      <c r="M138" s="601">
        <v>1.9E-2</v>
      </c>
    </row>
    <row r="139" spans="2:13">
      <c r="B139" s="600">
        <v>45446</v>
      </c>
      <c r="C139" s="184" t="s">
        <v>945</v>
      </c>
      <c r="D139" s="184" t="s">
        <v>946</v>
      </c>
      <c r="E139" s="184" t="s">
        <v>947</v>
      </c>
      <c r="F139" s="184" t="s">
        <v>948</v>
      </c>
      <c r="G139" s="184" t="s">
        <v>949</v>
      </c>
      <c r="I139" s="601">
        <v>-4.0000000000000001E-3</v>
      </c>
      <c r="J139" s="601">
        <v>-7.0000000000000001E-3</v>
      </c>
      <c r="K139" s="601">
        <v>-0.01</v>
      </c>
      <c r="L139" s="601">
        <v>0</v>
      </c>
      <c r="M139" s="601">
        <v>1.2E-2</v>
      </c>
    </row>
    <row r="140" spans="2:13">
      <c r="B140" s="600">
        <v>45443</v>
      </c>
      <c r="C140" s="184" t="s">
        <v>950</v>
      </c>
      <c r="D140" s="184" t="s">
        <v>951</v>
      </c>
      <c r="E140" s="184" t="s">
        <v>952</v>
      </c>
      <c r="F140" s="184" t="s">
        <v>953</v>
      </c>
      <c r="G140" s="184" t="s">
        <v>954</v>
      </c>
      <c r="I140" s="601">
        <v>6.0000000000000001E-3</v>
      </c>
      <c r="J140" s="601">
        <v>2.4E-2</v>
      </c>
      <c r="K140" s="601">
        <v>1.4E-2</v>
      </c>
      <c r="L140" s="601">
        <v>1.4999999999999999E-2</v>
      </c>
      <c r="M140" s="601">
        <v>2.8000000000000001E-2</v>
      </c>
    </row>
    <row r="141" spans="2:13">
      <c r="B141" s="600">
        <v>45442</v>
      </c>
      <c r="C141" s="184" t="s">
        <v>955</v>
      </c>
      <c r="D141" s="184" t="s">
        <v>956</v>
      </c>
      <c r="E141" s="184" t="s">
        <v>957</v>
      </c>
      <c r="F141" s="184" t="s">
        <v>958</v>
      </c>
      <c r="G141" s="184" t="s">
        <v>959</v>
      </c>
      <c r="I141" s="601">
        <v>8.0000000000000002E-3</v>
      </c>
      <c r="J141" s="601">
        <v>-2E-3</v>
      </c>
      <c r="K141" s="601">
        <v>-4.0000000000000001E-3</v>
      </c>
      <c r="L141" s="601">
        <v>1.0999999999999999E-2</v>
      </c>
      <c r="M141" s="601">
        <v>1.2E-2</v>
      </c>
    </row>
    <row r="142" spans="2:13">
      <c r="B142" s="600">
        <v>45441</v>
      </c>
      <c r="C142" s="184" t="s">
        <v>960</v>
      </c>
      <c r="D142" s="184" t="s">
        <v>961</v>
      </c>
      <c r="E142" s="184" t="s">
        <v>962</v>
      </c>
      <c r="F142" s="184" t="s">
        <v>963</v>
      </c>
      <c r="G142" s="184" t="s">
        <v>964</v>
      </c>
      <c r="I142" s="601">
        <v>0</v>
      </c>
      <c r="J142" s="601">
        <v>-2.1000000000000001E-2</v>
      </c>
      <c r="K142" s="601">
        <v>-1.2999999999999999E-2</v>
      </c>
      <c r="L142" s="601">
        <v>-6.0000000000000001E-3</v>
      </c>
      <c r="M142" s="601">
        <v>-8.0000000000000002E-3</v>
      </c>
    </row>
    <row r="143" spans="2:13">
      <c r="B143" s="600">
        <v>45440</v>
      </c>
      <c r="C143" s="184" t="s">
        <v>960</v>
      </c>
      <c r="D143" s="184" t="s">
        <v>965</v>
      </c>
      <c r="E143" s="184" t="s">
        <v>966</v>
      </c>
      <c r="F143" s="184" t="s">
        <v>967</v>
      </c>
      <c r="G143" s="184" t="s">
        <v>968</v>
      </c>
      <c r="I143" s="601">
        <v>0</v>
      </c>
      <c r="J143" s="601">
        <v>0</v>
      </c>
      <c r="K143" s="601">
        <v>0</v>
      </c>
      <c r="L143" s="601">
        <v>0</v>
      </c>
      <c r="M143" s="601">
        <v>0</v>
      </c>
    </row>
    <row r="144" spans="2:13">
      <c r="B144" s="600">
        <v>45439</v>
      </c>
      <c r="C144" s="184" t="s">
        <v>960</v>
      </c>
      <c r="D144" s="184" t="s">
        <v>965</v>
      </c>
      <c r="E144" s="184" t="s">
        <v>966</v>
      </c>
      <c r="F144" s="184" t="s">
        <v>967</v>
      </c>
      <c r="G144" s="184" t="s">
        <v>968</v>
      </c>
      <c r="I144" s="601">
        <v>0</v>
      </c>
      <c r="J144" s="601">
        <v>3.0000000000000001E-3</v>
      </c>
      <c r="K144" s="601">
        <v>-2.5999999999999999E-2</v>
      </c>
      <c r="L144" s="601">
        <v>-1.2E-2</v>
      </c>
      <c r="M144" s="601">
        <v>-2.1000000000000001E-2</v>
      </c>
    </row>
    <row r="145" spans="2:13">
      <c r="B145" s="600">
        <v>45436</v>
      </c>
      <c r="C145" s="184" t="s">
        <v>940</v>
      </c>
      <c r="D145" s="184" t="s">
        <v>969</v>
      </c>
      <c r="E145" s="184" t="s">
        <v>970</v>
      </c>
      <c r="F145" s="184" t="s">
        <v>971</v>
      </c>
      <c r="G145" s="184" t="s">
        <v>972</v>
      </c>
      <c r="I145" s="601">
        <v>-5.0000000000000001E-3</v>
      </c>
      <c r="J145" s="601">
        <v>-0.02</v>
      </c>
      <c r="K145" s="601">
        <v>-7.0000000000000001E-3</v>
      </c>
      <c r="L145" s="601">
        <v>1.4E-2</v>
      </c>
      <c r="M145" s="601">
        <v>1E-3</v>
      </c>
    </row>
    <row r="146" spans="2:13">
      <c r="B146" s="600">
        <v>45435</v>
      </c>
      <c r="C146" s="184" t="s">
        <v>973</v>
      </c>
      <c r="D146" s="184" t="s">
        <v>974</v>
      </c>
      <c r="E146" s="184" t="s">
        <v>975</v>
      </c>
      <c r="F146" s="184" t="s">
        <v>976</v>
      </c>
      <c r="G146" s="184" t="s">
        <v>977</v>
      </c>
      <c r="I146" s="601">
        <v>-6.0000000000000001E-3</v>
      </c>
      <c r="J146" s="601">
        <v>-2.1999999999999999E-2</v>
      </c>
      <c r="K146" s="601">
        <v>-1.4999999999999999E-2</v>
      </c>
      <c r="L146" s="601">
        <v>-1.4999999999999999E-2</v>
      </c>
      <c r="M146" s="601">
        <v>-1.4999999999999999E-2</v>
      </c>
    </row>
    <row r="147" spans="2:13">
      <c r="B147" s="600">
        <v>45434</v>
      </c>
      <c r="C147" s="184" t="s">
        <v>978</v>
      </c>
      <c r="D147" s="184" t="s">
        <v>979</v>
      </c>
      <c r="E147" s="184" t="s">
        <v>885</v>
      </c>
      <c r="F147" s="184" t="s">
        <v>980</v>
      </c>
      <c r="G147" s="184" t="s">
        <v>981</v>
      </c>
      <c r="I147" s="601">
        <v>5.0000000000000001E-3</v>
      </c>
      <c r="J147" s="601">
        <v>-8.9999999999999993E-3</v>
      </c>
      <c r="K147" s="601">
        <v>6.0000000000000001E-3</v>
      </c>
      <c r="L147" s="601">
        <v>-8.0000000000000002E-3</v>
      </c>
      <c r="M147" s="601">
        <v>1E-3</v>
      </c>
    </row>
    <row r="148" spans="2:13">
      <c r="B148" s="600">
        <v>45433</v>
      </c>
      <c r="C148" s="184" t="s">
        <v>982</v>
      </c>
      <c r="D148" s="184" t="s">
        <v>983</v>
      </c>
      <c r="E148" s="184" t="s">
        <v>984</v>
      </c>
      <c r="F148" s="184" t="s">
        <v>985</v>
      </c>
      <c r="G148" s="184" t="s">
        <v>454</v>
      </c>
      <c r="I148" s="601">
        <v>-7.0000000000000001E-3</v>
      </c>
      <c r="J148" s="601">
        <v>-4.0000000000000001E-3</v>
      </c>
      <c r="K148" s="601">
        <v>4.0000000000000001E-3</v>
      </c>
      <c r="L148" s="601">
        <v>2E-3</v>
      </c>
      <c r="M148" s="601">
        <v>1E-3</v>
      </c>
    </row>
    <row r="149" spans="2:13">
      <c r="B149" s="600">
        <v>45432</v>
      </c>
      <c r="C149" s="184" t="s">
        <v>950</v>
      </c>
      <c r="D149" s="184" t="s">
        <v>986</v>
      </c>
      <c r="E149" s="184" t="s">
        <v>987</v>
      </c>
      <c r="F149" s="184" t="s">
        <v>988</v>
      </c>
      <c r="G149" s="184" t="s">
        <v>989</v>
      </c>
      <c r="I149" s="601">
        <v>1E-3</v>
      </c>
      <c r="J149" s="601">
        <v>5.0000000000000001E-3</v>
      </c>
      <c r="K149" s="601">
        <v>-0.01</v>
      </c>
      <c r="L149" s="601">
        <v>-1.9E-2</v>
      </c>
      <c r="M149" s="601">
        <v>-5.0000000000000001E-3</v>
      </c>
    </row>
    <row r="150" spans="2:13">
      <c r="B150" s="600">
        <v>45429</v>
      </c>
      <c r="C150" s="184" t="s">
        <v>990</v>
      </c>
      <c r="D150" s="184" t="s">
        <v>991</v>
      </c>
      <c r="E150" s="184" t="s">
        <v>992</v>
      </c>
      <c r="F150" s="184" t="s">
        <v>993</v>
      </c>
      <c r="G150" s="184" t="s">
        <v>994</v>
      </c>
      <c r="I150" s="601">
        <v>-1.2999999999999999E-2</v>
      </c>
      <c r="J150" s="601">
        <v>-5.0000000000000001E-3</v>
      </c>
      <c r="K150" s="601">
        <v>-5.0000000000000001E-3</v>
      </c>
      <c r="L150" s="601">
        <v>0</v>
      </c>
      <c r="M150" s="601">
        <v>-3.0000000000000001E-3</v>
      </c>
    </row>
    <row r="151" spans="2:13">
      <c r="B151" s="600">
        <v>45428</v>
      </c>
      <c r="C151" s="184" t="s">
        <v>995</v>
      </c>
      <c r="D151" s="184" t="s">
        <v>996</v>
      </c>
      <c r="E151" s="184" t="s">
        <v>997</v>
      </c>
      <c r="F151" s="184" t="s">
        <v>998</v>
      </c>
      <c r="G151" s="184" t="s">
        <v>999</v>
      </c>
      <c r="I151" s="601">
        <v>4.0000000000000001E-3</v>
      </c>
      <c r="J151" s="601">
        <v>1.2999999999999999E-2</v>
      </c>
      <c r="K151" s="601">
        <v>0.02</v>
      </c>
      <c r="L151" s="601">
        <v>1.2E-2</v>
      </c>
      <c r="M151" s="601">
        <v>4.0000000000000001E-3</v>
      </c>
    </row>
    <row r="152" spans="2:13">
      <c r="B152" s="600">
        <v>45427</v>
      </c>
      <c r="C152" s="184" t="s">
        <v>1000</v>
      </c>
      <c r="D152" s="184" t="s">
        <v>1001</v>
      </c>
      <c r="E152" s="184" t="s">
        <v>1002</v>
      </c>
      <c r="F152" s="184" t="s">
        <v>1003</v>
      </c>
      <c r="G152" s="184" t="s">
        <v>1004</v>
      </c>
      <c r="I152" s="601">
        <v>0</v>
      </c>
      <c r="J152" s="601">
        <v>-1.7000000000000001E-2</v>
      </c>
      <c r="K152" s="601">
        <v>-2E-3</v>
      </c>
      <c r="L152" s="601">
        <v>-7.0000000000000001E-3</v>
      </c>
      <c r="M152" s="601">
        <v>-7.0000000000000001E-3</v>
      </c>
    </row>
    <row r="153" spans="2:13">
      <c r="B153" s="600">
        <v>45426</v>
      </c>
      <c r="C153" s="184" t="s">
        <v>1005</v>
      </c>
      <c r="D153" s="184" t="s">
        <v>1006</v>
      </c>
      <c r="E153" s="184" t="s">
        <v>1007</v>
      </c>
      <c r="F153" s="184" t="s">
        <v>1008</v>
      </c>
      <c r="G153" s="184" t="s">
        <v>1009</v>
      </c>
      <c r="I153" s="601">
        <v>5.0000000000000001E-3</v>
      </c>
      <c r="J153" s="601">
        <v>-3.0000000000000001E-3</v>
      </c>
      <c r="K153" s="601">
        <v>-6.0000000000000001E-3</v>
      </c>
      <c r="L153" s="601">
        <v>-1.7999999999999999E-2</v>
      </c>
      <c r="M153" s="601">
        <v>-8.9999999999999993E-3</v>
      </c>
    </row>
    <row r="154" spans="2:13">
      <c r="B154" s="600">
        <v>45425</v>
      </c>
      <c r="C154" s="184" t="s">
        <v>1010</v>
      </c>
      <c r="D154" s="184" t="s">
        <v>1011</v>
      </c>
      <c r="E154" s="184" t="s">
        <v>1012</v>
      </c>
      <c r="F154" s="184" t="s">
        <v>1013</v>
      </c>
      <c r="G154" s="184" t="s">
        <v>1014</v>
      </c>
      <c r="I154" s="601">
        <v>-2E-3</v>
      </c>
      <c r="J154" s="601">
        <v>2.3E-2</v>
      </c>
      <c r="K154" s="601">
        <v>6.0000000000000001E-3</v>
      </c>
      <c r="L154" s="601">
        <v>-1.2E-2</v>
      </c>
      <c r="M154" s="601">
        <v>-3.0000000000000001E-3</v>
      </c>
    </row>
    <row r="155" spans="2:13">
      <c r="B155" s="600">
        <v>45422</v>
      </c>
      <c r="C155" s="184" t="s">
        <v>1015</v>
      </c>
      <c r="D155" s="184" t="s">
        <v>1016</v>
      </c>
      <c r="E155" s="184" t="s">
        <v>1017</v>
      </c>
      <c r="F155" s="184" t="s">
        <v>1018</v>
      </c>
      <c r="G155" s="184" t="s">
        <v>1019</v>
      </c>
      <c r="I155" s="601">
        <v>2E-3</v>
      </c>
      <c r="J155" s="601">
        <v>2.3E-2</v>
      </c>
      <c r="K155" s="601">
        <v>0.01</v>
      </c>
      <c r="L155" s="601">
        <v>5.0000000000000001E-3</v>
      </c>
      <c r="M155" s="601">
        <v>0</v>
      </c>
    </row>
    <row r="156" spans="2:13">
      <c r="B156" s="600">
        <v>45421</v>
      </c>
      <c r="C156" s="184" t="s">
        <v>1020</v>
      </c>
      <c r="D156" s="184" t="s">
        <v>1021</v>
      </c>
      <c r="E156" s="184" t="s">
        <v>1022</v>
      </c>
      <c r="F156" s="184" t="s">
        <v>1023</v>
      </c>
      <c r="G156" s="184" t="s">
        <v>1024</v>
      </c>
      <c r="I156" s="601">
        <v>-2E-3</v>
      </c>
      <c r="J156" s="601">
        <v>1E-3</v>
      </c>
      <c r="K156" s="601">
        <v>4.0000000000000001E-3</v>
      </c>
      <c r="L156" s="601">
        <v>8.9999999999999993E-3</v>
      </c>
      <c r="M156" s="601">
        <v>5.0000000000000001E-3</v>
      </c>
    </row>
    <row r="157" spans="2:13">
      <c r="B157" s="600">
        <v>45420</v>
      </c>
      <c r="C157" s="184" t="s">
        <v>1015</v>
      </c>
      <c r="D157" s="184" t="s">
        <v>1025</v>
      </c>
      <c r="E157" s="184" t="s">
        <v>1026</v>
      </c>
      <c r="F157" s="184" t="s">
        <v>1027</v>
      </c>
      <c r="G157" s="184" t="s">
        <v>1028</v>
      </c>
      <c r="I157" s="601">
        <v>7.0000000000000001E-3</v>
      </c>
      <c r="J157" s="601">
        <v>8.9999999999999993E-3</v>
      </c>
      <c r="K157" s="601">
        <v>-3.0000000000000001E-3</v>
      </c>
      <c r="L157" s="601">
        <v>-1E-3</v>
      </c>
      <c r="M157" s="601">
        <v>0</v>
      </c>
    </row>
    <row r="158" spans="2:13">
      <c r="B158" s="600">
        <v>45419</v>
      </c>
      <c r="C158" s="184" t="s">
        <v>1029</v>
      </c>
      <c r="D158" s="184" t="s">
        <v>1030</v>
      </c>
      <c r="E158" s="184" t="s">
        <v>1031</v>
      </c>
      <c r="F158" s="184" t="s">
        <v>1032</v>
      </c>
      <c r="G158" s="184" t="s">
        <v>1033</v>
      </c>
      <c r="I158" s="601">
        <v>-1E-3</v>
      </c>
      <c r="J158" s="601">
        <v>8.0000000000000002E-3</v>
      </c>
      <c r="K158" s="601">
        <v>1.2999999999999999E-2</v>
      </c>
      <c r="L158" s="601">
        <v>5.0000000000000001E-3</v>
      </c>
      <c r="M158" s="601">
        <v>0</v>
      </c>
    </row>
    <row r="159" spans="2:13">
      <c r="B159" s="600">
        <v>45418</v>
      </c>
      <c r="C159" s="184" t="s">
        <v>990</v>
      </c>
      <c r="D159" s="184" t="s">
        <v>1034</v>
      </c>
      <c r="E159" s="184" t="s">
        <v>1035</v>
      </c>
      <c r="F159" s="184" t="s">
        <v>1036</v>
      </c>
      <c r="G159" s="184" t="s">
        <v>1037</v>
      </c>
      <c r="I159" s="601">
        <v>2E-3</v>
      </c>
      <c r="J159" s="601">
        <v>-7.0000000000000001E-3</v>
      </c>
      <c r="K159" s="601">
        <v>-2E-3</v>
      </c>
      <c r="L159" s="601">
        <v>5.0000000000000001E-3</v>
      </c>
      <c r="M159" s="601">
        <v>-1E-3</v>
      </c>
    </row>
    <row r="160" spans="2:13">
      <c r="B160" s="600">
        <v>45415</v>
      </c>
      <c r="C160" s="184" t="s">
        <v>1038</v>
      </c>
      <c r="D160" s="184" t="s">
        <v>1039</v>
      </c>
      <c r="E160" s="184" t="s">
        <v>1040</v>
      </c>
      <c r="F160" s="184" t="s">
        <v>1041</v>
      </c>
      <c r="G160" s="184" t="s">
        <v>1042</v>
      </c>
      <c r="I160" s="601">
        <v>-7.0000000000000001E-3</v>
      </c>
      <c r="J160" s="601">
        <v>0.01</v>
      </c>
      <c r="K160" s="601">
        <v>4.0000000000000001E-3</v>
      </c>
      <c r="L160" s="601">
        <v>8.0000000000000002E-3</v>
      </c>
      <c r="M160" s="601">
        <v>-3.0000000000000001E-3</v>
      </c>
    </row>
    <row r="161" spans="2:13">
      <c r="B161" s="600">
        <v>45414</v>
      </c>
      <c r="C161" s="184" t="s">
        <v>1043</v>
      </c>
      <c r="D161" s="184" t="s">
        <v>1044</v>
      </c>
      <c r="E161" s="184" t="s">
        <v>1045</v>
      </c>
      <c r="F161" s="184" t="s">
        <v>1046</v>
      </c>
      <c r="G161" s="184" t="s">
        <v>1047</v>
      </c>
      <c r="I161" s="601">
        <v>7.0000000000000001E-3</v>
      </c>
      <c r="J161" s="601">
        <v>1.0999999999999999E-2</v>
      </c>
      <c r="K161" s="601">
        <v>2E-3</v>
      </c>
      <c r="L161" s="601">
        <v>1E-3</v>
      </c>
      <c r="M161" s="601">
        <v>0</v>
      </c>
    </row>
    <row r="162" spans="2:13">
      <c r="B162" s="600">
        <v>45413</v>
      </c>
      <c r="C162" s="184" t="s">
        <v>1048</v>
      </c>
      <c r="D162" s="184" t="s">
        <v>1049</v>
      </c>
      <c r="E162" s="184" t="s">
        <v>1050</v>
      </c>
      <c r="F162" s="184" t="s">
        <v>1051</v>
      </c>
      <c r="G162" s="184" t="s">
        <v>1052</v>
      </c>
      <c r="I162" s="601">
        <v>8.9999999999999993E-3</v>
      </c>
      <c r="J162" s="601">
        <v>-1E-3</v>
      </c>
      <c r="K162" s="601">
        <v>-4.0000000000000001E-3</v>
      </c>
      <c r="L162" s="601">
        <v>2E-3</v>
      </c>
      <c r="M162" s="601">
        <v>0</v>
      </c>
    </row>
    <row r="163" spans="2:13">
      <c r="B163" s="600">
        <v>45412</v>
      </c>
      <c r="C163" s="184" t="s">
        <v>1053</v>
      </c>
      <c r="D163" s="184" t="s">
        <v>1054</v>
      </c>
      <c r="E163" s="184" t="s">
        <v>1055</v>
      </c>
      <c r="F163" s="184" t="s">
        <v>1056</v>
      </c>
      <c r="G163" s="184" t="s">
        <v>1057</v>
      </c>
      <c r="I163" s="601">
        <v>1E-3</v>
      </c>
      <c r="J163" s="601">
        <v>8.0000000000000002E-3</v>
      </c>
      <c r="K163" s="601">
        <v>-1E-3</v>
      </c>
      <c r="L163" s="601">
        <v>-0.03</v>
      </c>
      <c r="M163" s="601">
        <v>4.0000000000000001E-3</v>
      </c>
    </row>
    <row r="164" spans="2:13">
      <c r="B164" s="600">
        <v>45411</v>
      </c>
      <c r="C164" s="184" t="s">
        <v>940</v>
      </c>
      <c r="D164" s="184" t="s">
        <v>1058</v>
      </c>
      <c r="E164" s="184" t="s">
        <v>1059</v>
      </c>
      <c r="F164" s="184" t="s">
        <v>1060</v>
      </c>
      <c r="G164" s="184" t="s">
        <v>1028</v>
      </c>
      <c r="I164" s="601">
        <v>1.2E-2</v>
      </c>
      <c r="J164" s="601">
        <v>3.4000000000000002E-2</v>
      </c>
      <c r="K164" s="601">
        <v>3.0000000000000001E-3</v>
      </c>
      <c r="L164" s="601">
        <v>4.0000000000000001E-3</v>
      </c>
      <c r="M164" s="601">
        <v>5.0000000000000001E-3</v>
      </c>
    </row>
    <row r="165" spans="2:13">
      <c r="B165" s="600">
        <v>45408</v>
      </c>
      <c r="C165" s="184" t="s">
        <v>1061</v>
      </c>
      <c r="D165" s="184" t="s">
        <v>1062</v>
      </c>
      <c r="E165" s="184" t="s">
        <v>1063</v>
      </c>
      <c r="F165" s="184" t="s">
        <v>1064</v>
      </c>
      <c r="G165" s="184" t="s">
        <v>1065</v>
      </c>
      <c r="I165" s="601">
        <v>1.0999999999999999E-2</v>
      </c>
      <c r="J165" s="601">
        <v>-5.0000000000000001E-3</v>
      </c>
      <c r="K165" s="601">
        <v>-6.0000000000000001E-3</v>
      </c>
      <c r="L165" s="601">
        <v>-6.0000000000000001E-3</v>
      </c>
      <c r="M165" s="601">
        <v>-8.9999999999999993E-3</v>
      </c>
    </row>
    <row r="166" spans="2:13">
      <c r="B166" s="600">
        <v>45407</v>
      </c>
      <c r="C166" s="184" t="s">
        <v>1066</v>
      </c>
      <c r="D166" s="184" t="s">
        <v>1067</v>
      </c>
      <c r="E166" s="184" t="s">
        <v>1068</v>
      </c>
      <c r="F166" s="184" t="s">
        <v>1069</v>
      </c>
      <c r="G166" s="184" t="s">
        <v>1070</v>
      </c>
      <c r="I166" s="601">
        <v>-7.0000000000000001E-3</v>
      </c>
      <c r="J166" s="601">
        <v>-5.0000000000000001E-3</v>
      </c>
      <c r="K166" s="601">
        <v>-4.0000000000000001E-3</v>
      </c>
      <c r="L166" s="601">
        <v>1E-3</v>
      </c>
      <c r="M166" s="601">
        <v>-0.01</v>
      </c>
    </row>
    <row r="167" spans="2:13">
      <c r="B167" s="600">
        <v>45406</v>
      </c>
      <c r="C167" s="184" t="s">
        <v>1071</v>
      </c>
      <c r="D167" s="184" t="s">
        <v>1072</v>
      </c>
      <c r="E167" s="184" t="s">
        <v>1026</v>
      </c>
      <c r="F167" s="184" t="s">
        <v>1073</v>
      </c>
      <c r="G167" s="184" t="s">
        <v>1074</v>
      </c>
      <c r="I167" s="601">
        <v>-1.2999999999999999E-2</v>
      </c>
      <c r="J167" s="601">
        <v>6.0000000000000001E-3</v>
      </c>
      <c r="K167" s="601">
        <v>3.5999999999999997E-2</v>
      </c>
      <c r="L167" s="601">
        <v>0</v>
      </c>
      <c r="M167" s="601">
        <v>1.2999999999999999E-2</v>
      </c>
    </row>
    <row r="168" spans="2:13">
      <c r="B168" s="600">
        <v>45405</v>
      </c>
      <c r="C168" s="184" t="s">
        <v>1075</v>
      </c>
      <c r="D168" s="184" t="s">
        <v>1076</v>
      </c>
      <c r="E168" s="184" t="s">
        <v>1077</v>
      </c>
      <c r="F168" s="184" t="s">
        <v>1078</v>
      </c>
      <c r="G168" s="184" t="s">
        <v>1079</v>
      </c>
      <c r="I168" s="601">
        <v>4.0000000000000001E-3</v>
      </c>
      <c r="J168" s="601">
        <v>4.0000000000000001E-3</v>
      </c>
      <c r="K168" s="601">
        <v>-0.03</v>
      </c>
      <c r="L168" s="601">
        <v>7.0000000000000001E-3</v>
      </c>
      <c r="M168" s="601">
        <v>5.5E-2</v>
      </c>
    </row>
    <row r="169" spans="2:13">
      <c r="B169" s="600">
        <v>45404</v>
      </c>
      <c r="C169" s="184" t="s">
        <v>1080</v>
      </c>
      <c r="D169" s="184" t="s">
        <v>1081</v>
      </c>
      <c r="E169" s="184" t="s">
        <v>1082</v>
      </c>
      <c r="F169" s="184" t="s">
        <v>1083</v>
      </c>
      <c r="G169" s="184" t="s">
        <v>1084</v>
      </c>
      <c r="I169" s="601">
        <v>-6.0000000000000001E-3</v>
      </c>
      <c r="J169" s="601">
        <v>7.0000000000000001E-3</v>
      </c>
      <c r="K169" s="601">
        <v>1.2999999999999999E-2</v>
      </c>
      <c r="L169" s="601">
        <v>-4.0000000000000001E-3</v>
      </c>
      <c r="M169" s="601">
        <v>1.7000000000000001E-2</v>
      </c>
    </row>
    <row r="170" spans="2:13">
      <c r="B170" s="600">
        <v>45401</v>
      </c>
      <c r="C170" s="184" t="s">
        <v>935</v>
      </c>
      <c r="D170" s="184" t="s">
        <v>1085</v>
      </c>
      <c r="E170" s="184" t="s">
        <v>1086</v>
      </c>
      <c r="F170" s="184" t="s">
        <v>1023</v>
      </c>
      <c r="G170" s="184" t="s">
        <v>1087</v>
      </c>
      <c r="I170" s="601">
        <v>-5.0000000000000001E-3</v>
      </c>
      <c r="J170" s="601">
        <v>1E-3</v>
      </c>
      <c r="K170" s="601">
        <v>1.0999999999999999E-2</v>
      </c>
      <c r="L170" s="601">
        <v>8.0000000000000002E-3</v>
      </c>
      <c r="M170" s="601">
        <v>0.01</v>
      </c>
    </row>
    <row r="171" spans="2:13">
      <c r="B171" s="600">
        <v>45400</v>
      </c>
      <c r="C171" s="184" t="s">
        <v>1088</v>
      </c>
      <c r="D171" s="184" t="s">
        <v>1089</v>
      </c>
      <c r="E171" s="184" t="s">
        <v>1090</v>
      </c>
      <c r="F171" s="184" t="s">
        <v>1091</v>
      </c>
      <c r="G171" s="184" t="s">
        <v>1092</v>
      </c>
      <c r="I171" s="601">
        <v>1E-3</v>
      </c>
      <c r="J171" s="601">
        <v>1.2999999999999999E-2</v>
      </c>
      <c r="K171" s="601">
        <v>1.6E-2</v>
      </c>
      <c r="L171" s="601">
        <v>5.0000000000000001E-3</v>
      </c>
      <c r="M171" s="601">
        <v>-3.0000000000000001E-3</v>
      </c>
    </row>
    <row r="172" spans="2:13">
      <c r="B172" s="600">
        <v>45399</v>
      </c>
      <c r="C172" s="184" t="s">
        <v>1093</v>
      </c>
      <c r="D172" s="184" t="s">
        <v>856</v>
      </c>
      <c r="E172" s="184" t="s">
        <v>1094</v>
      </c>
      <c r="F172" s="184" t="s">
        <v>1036</v>
      </c>
      <c r="G172" s="184" t="s">
        <v>1095</v>
      </c>
      <c r="I172" s="601">
        <v>1.0999999999999999E-2</v>
      </c>
      <c r="J172" s="601">
        <v>-5.0000000000000001E-3</v>
      </c>
      <c r="K172" s="601">
        <v>1.2E-2</v>
      </c>
      <c r="L172" s="601">
        <v>-2E-3</v>
      </c>
      <c r="M172" s="601">
        <v>5.0000000000000001E-3</v>
      </c>
    </row>
    <row r="173" spans="2:13">
      <c r="B173" s="600">
        <v>45398</v>
      </c>
      <c r="C173" s="184" t="s">
        <v>790</v>
      </c>
      <c r="D173" s="184" t="s">
        <v>1096</v>
      </c>
      <c r="E173" s="184" t="s">
        <v>472</v>
      </c>
      <c r="F173" s="184" t="s">
        <v>1097</v>
      </c>
      <c r="G173" s="184" t="s">
        <v>1098</v>
      </c>
      <c r="I173" s="601">
        <v>-1E-3</v>
      </c>
      <c r="J173" s="601">
        <v>4.0000000000000001E-3</v>
      </c>
      <c r="K173" s="601">
        <v>3.0000000000000001E-3</v>
      </c>
      <c r="L173" s="601">
        <v>-3.0000000000000001E-3</v>
      </c>
      <c r="M173" s="601">
        <v>-1E-3</v>
      </c>
    </row>
    <row r="174" spans="2:13">
      <c r="B174" s="600">
        <v>45397</v>
      </c>
      <c r="C174" s="184" t="s">
        <v>666</v>
      </c>
      <c r="D174" s="184" t="s">
        <v>1099</v>
      </c>
      <c r="E174" s="184" t="s">
        <v>1100</v>
      </c>
      <c r="F174" s="184" t="s">
        <v>1101</v>
      </c>
      <c r="G174" s="184" t="s">
        <v>1102</v>
      </c>
      <c r="I174" s="601">
        <v>-7.0000000000000001E-3</v>
      </c>
      <c r="J174" s="601">
        <v>-1.7000000000000001E-2</v>
      </c>
      <c r="K174" s="601">
        <v>-7.0000000000000001E-3</v>
      </c>
      <c r="L174" s="601">
        <v>-1.4E-2</v>
      </c>
      <c r="M174" s="601">
        <v>1.2E-2</v>
      </c>
    </row>
    <row r="175" spans="2:13">
      <c r="B175" s="600">
        <v>45394</v>
      </c>
      <c r="C175" s="184" t="s">
        <v>780</v>
      </c>
      <c r="D175" s="184" t="s">
        <v>1103</v>
      </c>
      <c r="E175" s="184" t="s">
        <v>1104</v>
      </c>
      <c r="F175" s="184" t="s">
        <v>1105</v>
      </c>
      <c r="G175" s="184" t="s">
        <v>1106</v>
      </c>
      <c r="I175" s="601">
        <v>-1.4E-2</v>
      </c>
      <c r="J175" s="601">
        <v>-0.02</v>
      </c>
      <c r="K175" s="601">
        <v>-2E-3</v>
      </c>
      <c r="L175" s="601">
        <v>-2.3E-2</v>
      </c>
      <c r="M175" s="601">
        <v>-1.7000000000000001E-2</v>
      </c>
    </row>
    <row r="176" spans="2:13">
      <c r="B176" s="600">
        <v>45393</v>
      </c>
      <c r="C176" s="184" t="s">
        <v>1107</v>
      </c>
      <c r="D176" s="184" t="s">
        <v>1108</v>
      </c>
      <c r="E176" s="184" t="s">
        <v>1109</v>
      </c>
      <c r="F176" s="184" t="s">
        <v>1110</v>
      </c>
      <c r="G176" s="184" t="s">
        <v>1111</v>
      </c>
      <c r="I176" s="601">
        <v>-8.9999999999999993E-3</v>
      </c>
      <c r="J176" s="601">
        <v>-1.2999999999999999E-2</v>
      </c>
      <c r="K176" s="601">
        <v>-3.0000000000000001E-3</v>
      </c>
      <c r="L176" s="601">
        <v>1.2999999999999999E-2</v>
      </c>
      <c r="M176" s="601">
        <v>-8.0000000000000002E-3</v>
      </c>
    </row>
    <row r="177" spans="2:13">
      <c r="B177" s="600">
        <v>45392</v>
      </c>
      <c r="C177" s="184" t="s">
        <v>703</v>
      </c>
      <c r="D177" s="184" t="s">
        <v>1112</v>
      </c>
      <c r="E177" s="184" t="s">
        <v>1113</v>
      </c>
      <c r="F177" s="184" t="s">
        <v>1114</v>
      </c>
      <c r="G177" s="184" t="s">
        <v>1115</v>
      </c>
      <c r="I177" s="601">
        <v>-3.0000000000000001E-3</v>
      </c>
      <c r="J177" s="601">
        <v>-1.2999999999999999E-2</v>
      </c>
      <c r="K177" s="601">
        <v>-0.01</v>
      </c>
      <c r="L177" s="601">
        <v>7.0000000000000001E-3</v>
      </c>
      <c r="M177" s="601">
        <v>-6.0000000000000001E-3</v>
      </c>
    </row>
    <row r="178" spans="2:13">
      <c r="B178" s="600">
        <v>45391</v>
      </c>
      <c r="C178" s="184" t="s">
        <v>680</v>
      </c>
      <c r="D178" s="184" t="s">
        <v>1116</v>
      </c>
      <c r="E178" s="184" t="s">
        <v>1117</v>
      </c>
      <c r="F178" s="184" t="s">
        <v>1118</v>
      </c>
      <c r="G178" s="184" t="s">
        <v>1119</v>
      </c>
      <c r="I178" s="601">
        <v>-1E-3</v>
      </c>
      <c r="J178" s="601">
        <v>2E-3</v>
      </c>
      <c r="K178" s="601">
        <v>6.0000000000000001E-3</v>
      </c>
      <c r="L178" s="601">
        <v>-1.0999999999999999E-2</v>
      </c>
      <c r="M178" s="601">
        <v>1.4999999999999999E-2</v>
      </c>
    </row>
    <row r="179" spans="2:13">
      <c r="B179" s="600">
        <v>45390</v>
      </c>
      <c r="C179" s="184" t="s">
        <v>1120</v>
      </c>
      <c r="D179" s="184" t="s">
        <v>1121</v>
      </c>
      <c r="E179" s="184" t="s">
        <v>1122</v>
      </c>
      <c r="F179" s="184" t="s">
        <v>1123</v>
      </c>
      <c r="G179" s="184" t="s">
        <v>1124</v>
      </c>
      <c r="I179" s="601">
        <v>-3.0000000000000001E-3</v>
      </c>
      <c r="J179" s="601">
        <v>2E-3</v>
      </c>
      <c r="K179" s="601">
        <v>3.0000000000000001E-3</v>
      </c>
      <c r="L179" s="601">
        <v>1E-3</v>
      </c>
      <c r="M179" s="601">
        <v>-2E-3</v>
      </c>
    </row>
    <row r="180" spans="2:13">
      <c r="B180" s="600">
        <v>45387</v>
      </c>
      <c r="C180" s="184" t="s">
        <v>1125</v>
      </c>
      <c r="D180" s="184" t="s">
        <v>1126</v>
      </c>
      <c r="E180" s="184" t="s">
        <v>1127</v>
      </c>
      <c r="F180" s="184" t="s">
        <v>1128</v>
      </c>
      <c r="G180" s="184" t="s">
        <v>1129</v>
      </c>
      <c r="I180" s="601">
        <v>-5.0000000000000001E-3</v>
      </c>
      <c r="J180" s="601">
        <v>-1.0999999999999999E-2</v>
      </c>
      <c r="K180" s="601">
        <v>-3.0000000000000001E-3</v>
      </c>
      <c r="L180" s="601">
        <v>5.0000000000000001E-3</v>
      </c>
      <c r="M180" s="601">
        <v>-2E-3</v>
      </c>
    </row>
    <row r="181" spans="2:13">
      <c r="B181" s="600">
        <v>45386</v>
      </c>
      <c r="C181" s="184" t="s">
        <v>1130</v>
      </c>
      <c r="D181" s="184" t="s">
        <v>1131</v>
      </c>
      <c r="E181" s="184" t="s">
        <v>1132</v>
      </c>
      <c r="F181" s="184" t="s">
        <v>1133</v>
      </c>
      <c r="G181" s="184" t="s">
        <v>1134</v>
      </c>
      <c r="I181" s="601">
        <v>-5.0000000000000001E-3</v>
      </c>
      <c r="J181" s="601">
        <v>6.0000000000000001E-3</v>
      </c>
      <c r="K181" s="601">
        <v>0</v>
      </c>
      <c r="L181" s="601">
        <v>-0.01</v>
      </c>
      <c r="M181" s="601">
        <v>3.0000000000000001E-3</v>
      </c>
    </row>
    <row r="182" spans="2:13">
      <c r="B182" s="600">
        <v>45385</v>
      </c>
      <c r="C182" s="184" t="s">
        <v>1135</v>
      </c>
      <c r="D182" s="184" t="s">
        <v>1136</v>
      </c>
      <c r="E182" s="184" t="s">
        <v>1137</v>
      </c>
      <c r="F182" s="184" t="s">
        <v>1138</v>
      </c>
      <c r="G182" s="184" t="s">
        <v>1139</v>
      </c>
      <c r="I182" s="601">
        <v>7.0000000000000001E-3</v>
      </c>
      <c r="J182" s="601">
        <v>-2.8000000000000001E-2</v>
      </c>
      <c r="K182" s="601">
        <v>-0.01</v>
      </c>
      <c r="L182" s="601">
        <v>-2E-3</v>
      </c>
      <c r="M182" s="601">
        <v>-1.2999999999999999E-2</v>
      </c>
    </row>
    <row r="183" spans="2:13">
      <c r="B183" s="600">
        <v>45384</v>
      </c>
      <c r="C183" s="184" t="s">
        <v>1140</v>
      </c>
      <c r="D183" s="184" t="s">
        <v>1141</v>
      </c>
      <c r="E183" s="184" t="s">
        <v>1142</v>
      </c>
      <c r="F183" s="184" t="s">
        <v>1143</v>
      </c>
      <c r="G183" s="184" t="s">
        <v>1144</v>
      </c>
      <c r="I183" s="601">
        <v>-0.01</v>
      </c>
      <c r="J183" s="601">
        <v>1.0999999999999999E-2</v>
      </c>
      <c r="K183" s="601">
        <v>-8.9999999999999993E-3</v>
      </c>
      <c r="L183" s="601">
        <v>5.0000000000000001E-3</v>
      </c>
      <c r="M183" s="601">
        <v>-8.9999999999999993E-3</v>
      </c>
    </row>
    <row r="184" spans="2:13">
      <c r="B184" s="600">
        <v>45383</v>
      </c>
      <c r="C184" s="184" t="s">
        <v>1145</v>
      </c>
      <c r="D184" s="184" t="s">
        <v>1146</v>
      </c>
      <c r="E184" s="184" t="s">
        <v>1147</v>
      </c>
      <c r="F184" s="184" t="s">
        <v>1123</v>
      </c>
      <c r="G184" s="184" t="s">
        <v>1148</v>
      </c>
      <c r="I184" s="601">
        <v>0</v>
      </c>
      <c r="J184" s="601">
        <v>0</v>
      </c>
      <c r="K184" s="601">
        <v>0</v>
      </c>
      <c r="L184" s="601">
        <v>0</v>
      </c>
      <c r="M184" s="601">
        <v>0</v>
      </c>
    </row>
    <row r="185" spans="2:13">
      <c r="B185" s="600">
        <v>45380</v>
      </c>
      <c r="C185" s="184" t="s">
        <v>1145</v>
      </c>
      <c r="D185" s="184" t="s">
        <v>1146</v>
      </c>
      <c r="E185" s="184" t="s">
        <v>1147</v>
      </c>
      <c r="F185" s="184" t="s">
        <v>1123</v>
      </c>
      <c r="G185" s="184" t="s">
        <v>1148</v>
      </c>
      <c r="I185" s="601">
        <v>-7.0000000000000001E-3</v>
      </c>
      <c r="J185" s="601">
        <v>1.9E-2</v>
      </c>
      <c r="K185" s="601">
        <v>-1.2E-2</v>
      </c>
      <c r="L185" s="601">
        <v>-2.1000000000000001E-2</v>
      </c>
      <c r="M185" s="601">
        <v>-4.0000000000000001E-3</v>
      </c>
    </row>
    <row r="186" spans="2:13">
      <c r="B186" s="600">
        <v>45379</v>
      </c>
      <c r="C186" s="184" t="s">
        <v>1149</v>
      </c>
      <c r="D186" s="184" t="s">
        <v>1150</v>
      </c>
      <c r="E186" s="184" t="s">
        <v>500</v>
      </c>
      <c r="F186" s="184" t="s">
        <v>1151</v>
      </c>
      <c r="G186" s="184" t="s">
        <v>1152</v>
      </c>
      <c r="I186" s="601">
        <v>1E-3</v>
      </c>
      <c r="J186" s="601">
        <v>4.0000000000000001E-3</v>
      </c>
      <c r="K186" s="601">
        <v>8.0000000000000002E-3</v>
      </c>
      <c r="L186" s="601">
        <v>-1E-3</v>
      </c>
      <c r="M186" s="601">
        <v>1.6E-2</v>
      </c>
    </row>
    <row r="187" spans="2:13">
      <c r="B187" s="600">
        <v>45378</v>
      </c>
      <c r="C187" s="184" t="s">
        <v>1153</v>
      </c>
      <c r="D187" s="184" t="s">
        <v>1154</v>
      </c>
      <c r="E187" s="184" t="s">
        <v>1155</v>
      </c>
      <c r="F187" s="184" t="s">
        <v>1156</v>
      </c>
      <c r="G187" s="184" t="s">
        <v>1157</v>
      </c>
      <c r="I187" s="601">
        <v>4.0000000000000001E-3</v>
      </c>
      <c r="J187" s="601">
        <v>1.4999999999999999E-2</v>
      </c>
      <c r="K187" s="601">
        <v>5.0000000000000001E-3</v>
      </c>
      <c r="L187" s="601">
        <v>0.01</v>
      </c>
      <c r="M187" s="601">
        <v>8.9999999999999993E-3</v>
      </c>
    </row>
    <row r="188" spans="2:13">
      <c r="B188" s="600">
        <v>45377</v>
      </c>
      <c r="C188" s="184" t="s">
        <v>1158</v>
      </c>
      <c r="D188" s="184" t="s">
        <v>1159</v>
      </c>
      <c r="E188" s="184" t="s">
        <v>1160</v>
      </c>
      <c r="F188" s="184" t="s">
        <v>1161</v>
      </c>
      <c r="G188" s="184" t="s">
        <v>1162</v>
      </c>
      <c r="I188" s="601">
        <v>1.2999999999999999E-2</v>
      </c>
      <c r="J188" s="601">
        <v>-7.0000000000000001E-3</v>
      </c>
      <c r="K188" s="601">
        <v>1E-3</v>
      </c>
      <c r="L188" s="601">
        <v>-4.0000000000000001E-3</v>
      </c>
      <c r="M188" s="601">
        <v>7.0000000000000001E-3</v>
      </c>
    </row>
    <row r="189" spans="2:13">
      <c r="B189" s="600">
        <v>45376</v>
      </c>
      <c r="C189" s="184" t="s">
        <v>1163</v>
      </c>
      <c r="D189" s="184" t="s">
        <v>1164</v>
      </c>
      <c r="E189" s="184" t="s">
        <v>1165</v>
      </c>
      <c r="F189" s="184" t="s">
        <v>1166</v>
      </c>
      <c r="G189" s="184" t="s">
        <v>1167</v>
      </c>
      <c r="I189" s="601">
        <v>7.0000000000000001E-3</v>
      </c>
      <c r="J189" s="601">
        <v>-2.9000000000000001E-2</v>
      </c>
      <c r="K189" s="601">
        <v>3.0000000000000001E-3</v>
      </c>
      <c r="L189" s="601">
        <v>8.0000000000000002E-3</v>
      </c>
      <c r="M189" s="601">
        <v>2E-3</v>
      </c>
    </row>
    <row r="190" spans="2:13">
      <c r="B190" s="600">
        <v>45373</v>
      </c>
      <c r="C190" s="184" t="s">
        <v>995</v>
      </c>
      <c r="D190" s="184" t="s">
        <v>1168</v>
      </c>
      <c r="E190" s="184" t="s">
        <v>1169</v>
      </c>
      <c r="F190" s="184" t="s">
        <v>1170</v>
      </c>
      <c r="G190" s="184" t="s">
        <v>1171</v>
      </c>
      <c r="I190" s="601">
        <v>-5.0000000000000001E-3</v>
      </c>
      <c r="J190" s="601">
        <v>-7.0000000000000001E-3</v>
      </c>
      <c r="K190" s="601">
        <v>-2E-3</v>
      </c>
      <c r="L190" s="601">
        <v>-4.0000000000000001E-3</v>
      </c>
      <c r="M190" s="601">
        <v>1E-3</v>
      </c>
    </row>
    <row r="191" spans="2:13">
      <c r="B191" s="600">
        <v>45372</v>
      </c>
      <c r="C191" s="184" t="s">
        <v>1172</v>
      </c>
      <c r="D191" s="184" t="s">
        <v>1173</v>
      </c>
      <c r="E191" s="184" t="s">
        <v>1174</v>
      </c>
      <c r="F191" s="184" t="s">
        <v>1175</v>
      </c>
      <c r="G191" s="184" t="s">
        <v>1176</v>
      </c>
      <c r="I191" s="601">
        <v>1E-3</v>
      </c>
      <c r="J191" s="601">
        <v>6.0000000000000001E-3</v>
      </c>
      <c r="K191" s="601">
        <v>3.0000000000000001E-3</v>
      </c>
      <c r="L191" s="601">
        <v>3.0000000000000001E-3</v>
      </c>
      <c r="M191" s="601">
        <v>3.0000000000000001E-3</v>
      </c>
    </row>
    <row r="192" spans="2:13">
      <c r="B192" s="600">
        <v>45371</v>
      </c>
      <c r="C192" s="184" t="s">
        <v>1177</v>
      </c>
      <c r="D192" s="184" t="s">
        <v>1178</v>
      </c>
      <c r="E192" s="184" t="s">
        <v>1179</v>
      </c>
      <c r="F192" s="184" t="s">
        <v>1180</v>
      </c>
      <c r="G192" s="184" t="s">
        <v>1181</v>
      </c>
      <c r="I192" s="601">
        <v>1.2999999999999999E-2</v>
      </c>
      <c r="J192" s="601">
        <v>-2.1000000000000001E-2</v>
      </c>
      <c r="K192" s="601">
        <v>0</v>
      </c>
      <c r="L192" s="601">
        <v>-1E-3</v>
      </c>
      <c r="M192" s="601">
        <v>-5.0000000000000001E-3</v>
      </c>
    </row>
    <row r="193" spans="2:13">
      <c r="B193" s="600">
        <v>45370</v>
      </c>
      <c r="C193" s="184" t="s">
        <v>1043</v>
      </c>
      <c r="D193" s="184" t="s">
        <v>1182</v>
      </c>
      <c r="E193" s="184" t="s">
        <v>1183</v>
      </c>
      <c r="F193" s="184" t="s">
        <v>1184</v>
      </c>
      <c r="G193" s="184" t="s">
        <v>1185</v>
      </c>
      <c r="I193" s="601">
        <v>-5.0000000000000001E-3</v>
      </c>
      <c r="J193" s="601">
        <v>2.5999999999999999E-2</v>
      </c>
      <c r="K193" s="601">
        <v>3.0000000000000001E-3</v>
      </c>
      <c r="L193" s="601">
        <v>8.9999999999999993E-3</v>
      </c>
      <c r="M193" s="601">
        <v>7.0000000000000001E-3</v>
      </c>
    </row>
    <row r="194" spans="2:13">
      <c r="B194" s="600">
        <v>45369</v>
      </c>
      <c r="C194" s="184" t="s">
        <v>1186</v>
      </c>
      <c r="D194" s="184" t="s">
        <v>1187</v>
      </c>
      <c r="E194" s="184" t="s">
        <v>1188</v>
      </c>
      <c r="F194" s="184" t="s">
        <v>1189</v>
      </c>
      <c r="G194" s="184" t="s">
        <v>1190</v>
      </c>
      <c r="I194" s="601">
        <v>1E-3</v>
      </c>
      <c r="J194" s="601">
        <v>1.7999999999999999E-2</v>
      </c>
      <c r="K194" s="601">
        <v>0.04</v>
      </c>
      <c r="L194" s="601">
        <v>-5.0000000000000001E-3</v>
      </c>
      <c r="M194" s="601">
        <v>-2E-3</v>
      </c>
    </row>
    <row r="195" spans="2:13">
      <c r="B195" s="600">
        <v>45366</v>
      </c>
      <c r="C195" s="184" t="s">
        <v>1005</v>
      </c>
      <c r="D195" s="184" t="s">
        <v>1191</v>
      </c>
      <c r="E195" s="184" t="s">
        <v>1192</v>
      </c>
      <c r="F195" s="184" t="s">
        <v>1193</v>
      </c>
      <c r="G195" s="184" t="s">
        <v>1194</v>
      </c>
      <c r="I195" s="601">
        <v>8.9999999999999993E-3</v>
      </c>
      <c r="J195" s="601">
        <v>-8.0000000000000002E-3</v>
      </c>
      <c r="K195" s="601">
        <v>-1E-3</v>
      </c>
      <c r="L195" s="601">
        <v>2.5999999999999999E-2</v>
      </c>
      <c r="M195" s="601">
        <v>-3.0000000000000001E-3</v>
      </c>
    </row>
    <row r="196" spans="2:13">
      <c r="B196" s="600">
        <v>45365</v>
      </c>
      <c r="C196" s="184" t="s">
        <v>990</v>
      </c>
      <c r="D196" s="184" t="s">
        <v>1195</v>
      </c>
      <c r="E196" s="184" t="s">
        <v>1196</v>
      </c>
      <c r="F196" s="184" t="s">
        <v>1197</v>
      </c>
      <c r="G196" s="184" t="s">
        <v>1176</v>
      </c>
      <c r="I196" s="601">
        <v>-1.6E-2</v>
      </c>
      <c r="J196" s="601">
        <v>-4.0000000000000001E-3</v>
      </c>
      <c r="K196" s="601">
        <v>-3.0000000000000001E-3</v>
      </c>
      <c r="L196" s="601">
        <v>-1.0999999999999999E-2</v>
      </c>
      <c r="M196" s="601">
        <v>-2.4E-2</v>
      </c>
    </row>
    <row r="197" spans="2:13">
      <c r="B197" s="600">
        <v>45364</v>
      </c>
      <c r="C197" s="184" t="s">
        <v>1198</v>
      </c>
      <c r="D197" s="184" t="s">
        <v>1199</v>
      </c>
      <c r="E197" s="184" t="s">
        <v>1200</v>
      </c>
      <c r="F197" s="184" t="s">
        <v>1201</v>
      </c>
      <c r="G197" s="184" t="s">
        <v>1202</v>
      </c>
      <c r="I197" s="601">
        <v>0</v>
      </c>
      <c r="J197" s="601">
        <v>-3.0000000000000001E-3</v>
      </c>
      <c r="K197" s="601">
        <v>5.0000000000000001E-3</v>
      </c>
      <c r="L197" s="601">
        <v>7.0000000000000001E-3</v>
      </c>
      <c r="M197" s="601">
        <v>8.9999999999999993E-3</v>
      </c>
    </row>
    <row r="198" spans="2:13">
      <c r="B198" s="600">
        <v>45363</v>
      </c>
      <c r="C198" s="184" t="s">
        <v>1203</v>
      </c>
      <c r="D198" s="184" t="s">
        <v>1204</v>
      </c>
      <c r="E198" s="184" t="s">
        <v>1205</v>
      </c>
      <c r="F198" s="184" t="s">
        <v>1206</v>
      </c>
      <c r="G198" s="184" t="s">
        <v>1207</v>
      </c>
      <c r="I198" s="601">
        <v>4.0000000000000001E-3</v>
      </c>
      <c r="J198" s="601">
        <v>-1.2999999999999999E-2</v>
      </c>
      <c r="K198" s="601">
        <v>-1E-3</v>
      </c>
      <c r="L198" s="601">
        <v>0</v>
      </c>
      <c r="M198" s="601">
        <v>-1E-3</v>
      </c>
    </row>
    <row r="199" spans="2:13">
      <c r="B199" s="600">
        <v>45362</v>
      </c>
      <c r="C199" s="184" t="s">
        <v>1208</v>
      </c>
      <c r="D199" s="184" t="s">
        <v>1209</v>
      </c>
      <c r="E199" s="184" t="s">
        <v>1210</v>
      </c>
      <c r="F199" s="184" t="s">
        <v>1211</v>
      </c>
      <c r="G199" s="184" t="s">
        <v>1212</v>
      </c>
      <c r="I199" s="601">
        <v>0</v>
      </c>
      <c r="J199" s="601">
        <v>2.3E-2</v>
      </c>
      <c r="K199" s="601">
        <v>0.01</v>
      </c>
      <c r="L199" s="601">
        <v>1.7000000000000001E-2</v>
      </c>
      <c r="M199" s="601">
        <v>8.9999999999999993E-3</v>
      </c>
    </row>
    <row r="200" spans="2:13">
      <c r="B200" s="600">
        <v>45359</v>
      </c>
      <c r="C200" s="184" t="s">
        <v>703</v>
      </c>
      <c r="D200" s="184" t="s">
        <v>1213</v>
      </c>
      <c r="E200" s="184" t="s">
        <v>378</v>
      </c>
      <c r="F200" s="184" t="s">
        <v>572</v>
      </c>
      <c r="G200" s="184" t="s">
        <v>1214</v>
      </c>
      <c r="I200" s="601">
        <v>4.0000000000000001E-3</v>
      </c>
      <c r="J200" s="601">
        <v>1.0999999999999999E-2</v>
      </c>
      <c r="K200" s="601">
        <v>0</v>
      </c>
      <c r="L200" s="601">
        <v>8.9999999999999993E-3</v>
      </c>
      <c r="M200" s="601">
        <v>-2E-3</v>
      </c>
    </row>
    <row r="201" spans="2:13">
      <c r="B201" s="600">
        <v>45358</v>
      </c>
      <c r="C201" s="184" t="s">
        <v>1215</v>
      </c>
      <c r="D201" s="184" t="s">
        <v>1216</v>
      </c>
      <c r="E201" s="184" t="s">
        <v>1217</v>
      </c>
      <c r="F201" s="184" t="s">
        <v>1218</v>
      </c>
      <c r="G201" s="184" t="s">
        <v>1219</v>
      </c>
      <c r="I201" s="601">
        <v>1.6E-2</v>
      </c>
      <c r="J201" s="601">
        <v>-2E-3</v>
      </c>
      <c r="K201" s="601">
        <v>1E-3</v>
      </c>
      <c r="L201" s="601">
        <v>2.8000000000000001E-2</v>
      </c>
      <c r="M201" s="601">
        <v>8.9999999999999993E-3</v>
      </c>
    </row>
    <row r="202" spans="2:13">
      <c r="B202" s="600">
        <v>45357</v>
      </c>
      <c r="C202" s="184" t="s">
        <v>775</v>
      </c>
      <c r="D202" s="184" t="s">
        <v>1220</v>
      </c>
      <c r="E202" s="184" t="s">
        <v>1221</v>
      </c>
      <c r="F202" s="184" t="s">
        <v>1222</v>
      </c>
      <c r="G202" s="184" t="s">
        <v>1176</v>
      </c>
      <c r="I202" s="601">
        <v>8.9999999999999993E-3</v>
      </c>
      <c r="J202" s="601">
        <v>2.8000000000000001E-2</v>
      </c>
      <c r="K202" s="601">
        <v>6.0000000000000001E-3</v>
      </c>
      <c r="L202" s="601">
        <v>1E-3</v>
      </c>
      <c r="M202" s="601">
        <v>0.01</v>
      </c>
    </row>
    <row r="203" spans="2:13">
      <c r="B203" s="600">
        <v>45356</v>
      </c>
      <c r="C203" s="184" t="s">
        <v>713</v>
      </c>
      <c r="D203" s="184" t="s">
        <v>1223</v>
      </c>
      <c r="E203" s="184" t="s">
        <v>1224</v>
      </c>
      <c r="F203" s="184" t="s">
        <v>1225</v>
      </c>
      <c r="G203" s="184" t="s">
        <v>1226</v>
      </c>
      <c r="I203" s="601">
        <v>7.0000000000000001E-3</v>
      </c>
      <c r="J203" s="601">
        <v>1.9E-2</v>
      </c>
      <c r="K203" s="601">
        <v>-0.02</v>
      </c>
      <c r="L203" s="601">
        <v>0</v>
      </c>
      <c r="M203" s="601">
        <v>1E-3</v>
      </c>
    </row>
    <row r="204" spans="2:13">
      <c r="B204" s="600">
        <v>45355</v>
      </c>
      <c r="C204" s="184" t="s">
        <v>661</v>
      </c>
      <c r="D204" s="184" t="s">
        <v>1227</v>
      </c>
      <c r="E204" s="184" t="s">
        <v>1228</v>
      </c>
      <c r="F204" s="184" t="s">
        <v>1229</v>
      </c>
      <c r="G204" s="184" t="s">
        <v>1230</v>
      </c>
      <c r="I204" s="601">
        <v>-6.0000000000000001E-3</v>
      </c>
      <c r="J204" s="601">
        <v>-2.1999999999999999E-2</v>
      </c>
      <c r="K204" s="601">
        <v>5.0000000000000001E-3</v>
      </c>
      <c r="L204" s="601">
        <v>-8.0000000000000002E-3</v>
      </c>
      <c r="M204" s="601">
        <v>5.0000000000000001E-3</v>
      </c>
    </row>
    <row r="205" spans="2:13">
      <c r="B205" s="600">
        <v>45352</v>
      </c>
      <c r="C205" s="184" t="s">
        <v>1231</v>
      </c>
      <c r="D205" s="184" t="s">
        <v>1232</v>
      </c>
      <c r="E205" s="184" t="s">
        <v>1233</v>
      </c>
      <c r="F205" s="184" t="s">
        <v>1234</v>
      </c>
      <c r="G205" s="184" t="s">
        <v>1235</v>
      </c>
      <c r="I205" s="601">
        <v>-1E-3</v>
      </c>
      <c r="J205" s="601">
        <v>1E-3</v>
      </c>
      <c r="K205" s="601">
        <v>-5.0000000000000001E-3</v>
      </c>
      <c r="L205" s="601">
        <v>6.0000000000000001E-3</v>
      </c>
      <c r="M205" s="601">
        <v>1.4E-2</v>
      </c>
    </row>
    <row r="206" spans="2:13">
      <c r="B206" s="600">
        <v>45351</v>
      </c>
      <c r="C206" s="184" t="s">
        <v>930</v>
      </c>
      <c r="D206" s="184" t="s">
        <v>1236</v>
      </c>
      <c r="E206" s="184" t="s">
        <v>1237</v>
      </c>
      <c r="F206" s="184" t="s">
        <v>1238</v>
      </c>
      <c r="G206" s="184" t="s">
        <v>1239</v>
      </c>
      <c r="I206" s="601">
        <v>-1.0999999999999999E-2</v>
      </c>
      <c r="J206" s="601">
        <v>8.9999999999999993E-3</v>
      </c>
      <c r="K206" s="601">
        <v>-0.01</v>
      </c>
      <c r="L206" s="601">
        <v>4.0000000000000001E-3</v>
      </c>
      <c r="M206" s="601">
        <v>0</v>
      </c>
    </row>
    <row r="207" spans="2:13">
      <c r="B207" s="600">
        <v>45350</v>
      </c>
      <c r="C207" s="184" t="s">
        <v>982</v>
      </c>
      <c r="D207" s="184" t="s">
        <v>1240</v>
      </c>
      <c r="E207" s="184" t="s">
        <v>1241</v>
      </c>
      <c r="F207" s="184" t="s">
        <v>1242</v>
      </c>
      <c r="G207" s="184" t="s">
        <v>1243</v>
      </c>
      <c r="I207" s="601">
        <v>-1.4E-2</v>
      </c>
      <c r="J207" s="601">
        <v>-5.0000000000000001E-3</v>
      </c>
      <c r="K207" s="601">
        <v>-7.0000000000000001E-3</v>
      </c>
      <c r="L207" s="601">
        <v>1E-3</v>
      </c>
      <c r="M207" s="601">
        <v>0</v>
      </c>
    </row>
    <row r="208" spans="2:13">
      <c r="B208" s="600">
        <v>45349</v>
      </c>
      <c r="C208" s="184" t="s">
        <v>1005</v>
      </c>
      <c r="D208" s="184" t="s">
        <v>1244</v>
      </c>
      <c r="E208" s="184" t="s">
        <v>1245</v>
      </c>
      <c r="F208" s="184" t="s">
        <v>1246</v>
      </c>
      <c r="G208" s="184" t="s">
        <v>1247</v>
      </c>
      <c r="I208" s="601">
        <v>-3.5999999999999997E-2</v>
      </c>
      <c r="J208" s="601">
        <v>-8.0000000000000002E-3</v>
      </c>
      <c r="K208" s="601">
        <v>-1E-3</v>
      </c>
      <c r="L208" s="601">
        <v>1E-3</v>
      </c>
      <c r="M208" s="601">
        <v>0</v>
      </c>
    </row>
    <row r="209" spans="2:13">
      <c r="B209" s="600">
        <v>45348</v>
      </c>
      <c r="C209" s="184" t="s">
        <v>1248</v>
      </c>
      <c r="D209" s="184" t="s">
        <v>1249</v>
      </c>
      <c r="E209" s="184" t="s">
        <v>1250</v>
      </c>
      <c r="F209" s="184" t="s">
        <v>1251</v>
      </c>
      <c r="G209" s="184" t="s">
        <v>1243</v>
      </c>
      <c r="I209" s="601">
        <v>6.0000000000000001E-3</v>
      </c>
      <c r="J209" s="601">
        <v>-2.7E-2</v>
      </c>
      <c r="K209" s="601">
        <v>-8.0000000000000002E-3</v>
      </c>
      <c r="L209" s="601">
        <v>-2E-3</v>
      </c>
      <c r="M209" s="601">
        <v>-3.0000000000000001E-3</v>
      </c>
    </row>
    <row r="210" spans="2:13">
      <c r="B210" s="600">
        <v>45345</v>
      </c>
      <c r="C210" s="184" t="s">
        <v>1149</v>
      </c>
      <c r="D210" s="184" t="s">
        <v>1252</v>
      </c>
      <c r="E210" s="184" t="s">
        <v>1253</v>
      </c>
      <c r="F210" s="184" t="s">
        <v>1254</v>
      </c>
      <c r="G210" s="184" t="s">
        <v>1255</v>
      </c>
      <c r="I210" s="601">
        <v>8.0000000000000002E-3</v>
      </c>
      <c r="J210" s="601">
        <v>1E-3</v>
      </c>
      <c r="K210" s="601">
        <v>8.0000000000000002E-3</v>
      </c>
      <c r="L210" s="601">
        <v>6.0000000000000001E-3</v>
      </c>
      <c r="M210" s="601">
        <v>5.0000000000000001E-3</v>
      </c>
    </row>
    <row r="211" spans="2:13">
      <c r="B211" s="600">
        <v>45344</v>
      </c>
      <c r="C211" s="184" t="s">
        <v>1256</v>
      </c>
      <c r="D211" s="184" t="s">
        <v>1191</v>
      </c>
      <c r="E211" s="184" t="s">
        <v>1257</v>
      </c>
      <c r="F211" s="184" t="s">
        <v>706</v>
      </c>
      <c r="G211" s="184" t="s">
        <v>1258</v>
      </c>
      <c r="I211" s="601">
        <v>2E-3</v>
      </c>
      <c r="J211" s="601">
        <v>5.0000000000000001E-3</v>
      </c>
      <c r="K211" s="601">
        <v>-3.0000000000000001E-3</v>
      </c>
      <c r="L211" s="601">
        <v>0</v>
      </c>
      <c r="M211" s="601">
        <v>5.0000000000000001E-3</v>
      </c>
    </row>
    <row r="212" spans="2:13">
      <c r="B212" s="600">
        <v>45343</v>
      </c>
      <c r="C212" s="184" t="s">
        <v>1259</v>
      </c>
      <c r="D212" s="184" t="s">
        <v>1260</v>
      </c>
      <c r="E212" s="184" t="s">
        <v>1261</v>
      </c>
      <c r="F212" s="184" t="s">
        <v>1262</v>
      </c>
      <c r="G212" s="184" t="s">
        <v>1263</v>
      </c>
      <c r="I212" s="601">
        <v>-2E-3</v>
      </c>
      <c r="J212" s="601">
        <v>-6.0000000000000001E-3</v>
      </c>
      <c r="K212" s="601">
        <v>1E-3</v>
      </c>
      <c r="L212" s="601">
        <v>1E-3</v>
      </c>
      <c r="M212" s="601">
        <v>1.0999999999999999E-2</v>
      </c>
    </row>
    <row r="213" spans="2:13">
      <c r="B213" s="600">
        <v>45342</v>
      </c>
      <c r="C213" s="184" t="s">
        <v>1256</v>
      </c>
      <c r="D213" s="184" t="s">
        <v>1264</v>
      </c>
      <c r="E213" s="184" t="s">
        <v>1265</v>
      </c>
      <c r="F213" s="184" t="s">
        <v>1266</v>
      </c>
      <c r="G213" s="184" t="s">
        <v>1267</v>
      </c>
      <c r="I213" s="601">
        <v>0</v>
      </c>
      <c r="J213" s="601">
        <v>0</v>
      </c>
      <c r="K213" s="601">
        <v>0</v>
      </c>
      <c r="L213" s="601">
        <v>0</v>
      </c>
      <c r="M213" s="601">
        <v>0</v>
      </c>
    </row>
    <row r="214" spans="2:13">
      <c r="B214" s="600">
        <v>45341</v>
      </c>
      <c r="C214" s="184" t="s">
        <v>1256</v>
      </c>
      <c r="D214" s="184" t="s">
        <v>1264</v>
      </c>
      <c r="E214" s="184" t="s">
        <v>1265</v>
      </c>
      <c r="F214" s="184" t="s">
        <v>1266</v>
      </c>
      <c r="G214" s="184" t="s">
        <v>1267</v>
      </c>
      <c r="I214" s="601">
        <v>-1.4E-2</v>
      </c>
      <c r="J214" s="601">
        <v>1.2999999999999999E-2</v>
      </c>
      <c r="K214" s="601">
        <v>1.4E-2</v>
      </c>
      <c r="L214" s="601">
        <v>6.0000000000000001E-3</v>
      </c>
      <c r="M214" s="601">
        <v>7.0000000000000001E-3</v>
      </c>
    </row>
    <row r="215" spans="2:13">
      <c r="B215" s="600">
        <v>45338</v>
      </c>
      <c r="C215" s="184" t="s">
        <v>1268</v>
      </c>
      <c r="D215" s="184" t="s">
        <v>1269</v>
      </c>
      <c r="E215" s="184" t="s">
        <v>1270</v>
      </c>
      <c r="F215" s="184" t="s">
        <v>1271</v>
      </c>
      <c r="G215" s="184" t="s">
        <v>1272</v>
      </c>
      <c r="I215" s="601">
        <v>1.2999999999999999E-2</v>
      </c>
      <c r="J215" s="601">
        <v>-7.0000000000000001E-3</v>
      </c>
      <c r="K215" s="601">
        <v>-8.9999999999999993E-3</v>
      </c>
      <c r="L215" s="601">
        <v>-4.0000000000000001E-3</v>
      </c>
      <c r="M215" s="601">
        <v>-4.0000000000000001E-3</v>
      </c>
    </row>
    <row r="216" spans="2:13">
      <c r="B216" s="600">
        <v>45337</v>
      </c>
      <c r="C216" s="184" t="s">
        <v>1145</v>
      </c>
      <c r="D216" s="184" t="s">
        <v>1273</v>
      </c>
      <c r="E216" s="184" t="s">
        <v>1274</v>
      </c>
      <c r="F216" s="184" t="s">
        <v>1275</v>
      </c>
      <c r="G216" s="184" t="s">
        <v>1276</v>
      </c>
      <c r="I216" s="601">
        <v>4.0000000000000001E-3</v>
      </c>
      <c r="J216" s="601">
        <v>7.0000000000000001E-3</v>
      </c>
      <c r="K216" s="601">
        <v>2E-3</v>
      </c>
      <c r="L216" s="601">
        <v>5.0000000000000001E-3</v>
      </c>
      <c r="M216" s="601">
        <v>3.0000000000000001E-3</v>
      </c>
    </row>
    <row r="217" spans="2:13">
      <c r="B217" s="600">
        <v>45336</v>
      </c>
      <c r="C217" s="184" t="s">
        <v>1277</v>
      </c>
      <c r="D217" s="184" t="s">
        <v>1278</v>
      </c>
      <c r="E217" s="184" t="s">
        <v>1279</v>
      </c>
      <c r="F217" s="184" t="s">
        <v>1280</v>
      </c>
      <c r="G217" s="184" t="s">
        <v>1281</v>
      </c>
      <c r="I217" s="601">
        <v>-2E-3</v>
      </c>
      <c r="J217" s="601">
        <v>-1.7999999999999999E-2</v>
      </c>
      <c r="K217" s="601">
        <v>-8.0000000000000002E-3</v>
      </c>
      <c r="L217" s="601">
        <v>-4.0000000000000001E-3</v>
      </c>
      <c r="M217" s="601">
        <v>-1E-3</v>
      </c>
    </row>
    <row r="218" spans="2:13">
      <c r="B218" s="600">
        <v>45335</v>
      </c>
      <c r="C218" s="184" t="s">
        <v>1282</v>
      </c>
      <c r="D218" s="184" t="s">
        <v>1283</v>
      </c>
      <c r="E218" s="184" t="s">
        <v>1284</v>
      </c>
      <c r="F218" s="184" t="s">
        <v>1285</v>
      </c>
      <c r="G218" s="184" t="s">
        <v>1286</v>
      </c>
      <c r="I218" s="601">
        <v>0</v>
      </c>
      <c r="J218" s="601">
        <v>6.0000000000000001E-3</v>
      </c>
      <c r="K218" s="601">
        <v>-0.01</v>
      </c>
      <c r="L218" s="601">
        <v>-0.01</v>
      </c>
      <c r="M218" s="601">
        <v>-1.2999999999999999E-2</v>
      </c>
    </row>
    <row r="219" spans="2:13">
      <c r="B219" s="600">
        <v>45334</v>
      </c>
      <c r="C219" s="184" t="s">
        <v>1287</v>
      </c>
      <c r="D219" s="184" t="s">
        <v>1288</v>
      </c>
      <c r="E219" s="184" t="s">
        <v>1117</v>
      </c>
      <c r="F219" s="184" t="s">
        <v>1289</v>
      </c>
      <c r="G219" s="184" t="s">
        <v>1290</v>
      </c>
      <c r="I219" s="601">
        <v>3.0000000000000001E-3</v>
      </c>
      <c r="J219" s="601">
        <v>-8.9999999999999993E-3</v>
      </c>
      <c r="K219" s="601">
        <v>1.7999999999999999E-2</v>
      </c>
      <c r="L219" s="601">
        <v>1.9E-2</v>
      </c>
      <c r="M219" s="601">
        <v>2E-3</v>
      </c>
    </row>
    <row r="220" spans="2:13">
      <c r="B220" s="600">
        <v>45331</v>
      </c>
      <c r="C220" s="184" t="s">
        <v>1291</v>
      </c>
      <c r="D220" s="184" t="s">
        <v>1292</v>
      </c>
      <c r="E220" s="184" t="s">
        <v>1293</v>
      </c>
      <c r="F220" s="184" t="s">
        <v>1294</v>
      </c>
      <c r="G220" s="184" t="s">
        <v>1295</v>
      </c>
      <c r="I220" s="601">
        <v>-7.0000000000000001E-3</v>
      </c>
      <c r="J220" s="601">
        <v>-3.4000000000000002E-2</v>
      </c>
      <c r="K220" s="601">
        <v>-3.5999999999999997E-2</v>
      </c>
      <c r="L220" s="601">
        <v>-2E-3</v>
      </c>
      <c r="M220" s="601">
        <v>-4.0000000000000001E-3</v>
      </c>
    </row>
    <row r="221" spans="2:13">
      <c r="B221" s="600">
        <v>45330</v>
      </c>
      <c r="C221" s="184" t="s">
        <v>1296</v>
      </c>
      <c r="D221" s="184" t="s">
        <v>1297</v>
      </c>
      <c r="E221" s="184" t="s">
        <v>1298</v>
      </c>
      <c r="F221" s="184" t="s">
        <v>696</v>
      </c>
      <c r="G221" s="184" t="s">
        <v>1299</v>
      </c>
      <c r="I221" s="601">
        <v>7.0000000000000001E-3</v>
      </c>
      <c r="J221" s="601">
        <v>4.1000000000000002E-2</v>
      </c>
      <c r="K221" s="601">
        <v>1.4E-2</v>
      </c>
      <c r="L221" s="601">
        <v>-6.0000000000000001E-3</v>
      </c>
      <c r="M221" s="601">
        <v>-7.0000000000000001E-3</v>
      </c>
    </row>
    <row r="222" spans="2:13">
      <c r="B222" s="600">
        <v>45329</v>
      </c>
      <c r="C222" s="184" t="s">
        <v>1291</v>
      </c>
      <c r="D222" s="184" t="s">
        <v>1300</v>
      </c>
      <c r="E222" s="184" t="s">
        <v>1301</v>
      </c>
      <c r="F222" s="184" t="s">
        <v>1302</v>
      </c>
      <c r="G222" s="184" t="s">
        <v>1303</v>
      </c>
      <c r="I222" s="601">
        <v>-2E-3</v>
      </c>
      <c r="J222" s="601">
        <v>-3.0000000000000001E-3</v>
      </c>
      <c r="K222" s="601">
        <v>0</v>
      </c>
      <c r="L222" s="601">
        <v>-1.7000000000000001E-2</v>
      </c>
      <c r="M222" s="601">
        <v>-2E-3</v>
      </c>
    </row>
    <row r="223" spans="2:13">
      <c r="B223" s="600">
        <v>45328</v>
      </c>
      <c r="C223" s="184" t="s">
        <v>1259</v>
      </c>
      <c r="D223" s="184" t="s">
        <v>1304</v>
      </c>
      <c r="E223" s="184" t="s">
        <v>725</v>
      </c>
      <c r="F223" s="184" t="s">
        <v>1305</v>
      </c>
      <c r="G223" s="184" t="s">
        <v>1306</v>
      </c>
      <c r="I223" s="601">
        <v>0</v>
      </c>
      <c r="J223" s="601">
        <v>-8.0000000000000002E-3</v>
      </c>
      <c r="K223" s="601">
        <v>3.0000000000000001E-3</v>
      </c>
      <c r="L223" s="601">
        <v>6.0000000000000001E-3</v>
      </c>
      <c r="M223" s="601">
        <v>3.0000000000000001E-3</v>
      </c>
    </row>
    <row r="224" spans="2:13">
      <c r="B224" s="600">
        <v>45327</v>
      </c>
      <c r="C224" s="184" t="s">
        <v>1135</v>
      </c>
      <c r="D224" s="184" t="s">
        <v>1307</v>
      </c>
      <c r="E224" s="184" t="s">
        <v>407</v>
      </c>
      <c r="F224" s="184" t="s">
        <v>1308</v>
      </c>
      <c r="G224" s="184" t="s">
        <v>1309</v>
      </c>
      <c r="I224" s="601">
        <v>-6.0000000000000001E-3</v>
      </c>
      <c r="J224" s="601">
        <v>-6.0000000000000001E-3</v>
      </c>
      <c r="K224" s="601">
        <v>0</v>
      </c>
      <c r="L224" s="601">
        <v>-1.4E-2</v>
      </c>
      <c r="M224" s="601">
        <v>-0.01</v>
      </c>
    </row>
    <row r="225" spans="2:13">
      <c r="B225" s="600">
        <v>45324</v>
      </c>
      <c r="C225" s="184" t="s">
        <v>1296</v>
      </c>
      <c r="D225" s="184" t="s">
        <v>1310</v>
      </c>
      <c r="E225" s="184" t="s">
        <v>1311</v>
      </c>
      <c r="F225" s="184" t="s">
        <v>1312</v>
      </c>
      <c r="G225" s="184" t="s">
        <v>1313</v>
      </c>
      <c r="I225" s="601">
        <v>-3.0000000000000001E-3</v>
      </c>
      <c r="J225" s="601">
        <v>-4.0000000000000001E-3</v>
      </c>
      <c r="K225" s="601">
        <v>-4.0000000000000001E-3</v>
      </c>
      <c r="L225" s="601">
        <v>-8.0000000000000002E-3</v>
      </c>
      <c r="M225" s="601">
        <v>-8.9999999999999993E-3</v>
      </c>
    </row>
    <row r="226" spans="2:13">
      <c r="B226" s="600">
        <v>45323</v>
      </c>
      <c r="C226" s="184" t="s">
        <v>1314</v>
      </c>
      <c r="D226" s="184" t="s">
        <v>1315</v>
      </c>
      <c r="E226" s="184" t="s">
        <v>1316</v>
      </c>
      <c r="F226" s="184" t="s">
        <v>1317</v>
      </c>
      <c r="G226" s="184" t="s">
        <v>1318</v>
      </c>
      <c r="I226" s="601">
        <v>8.9999999999999993E-3</v>
      </c>
      <c r="J226" s="601">
        <v>2.5000000000000001E-2</v>
      </c>
      <c r="K226" s="601">
        <v>1.9E-2</v>
      </c>
      <c r="L226" s="601">
        <v>3.1E-2</v>
      </c>
      <c r="M226" s="601">
        <v>0.02</v>
      </c>
    </row>
    <row r="227" spans="2:13">
      <c r="B227" s="600">
        <v>45322</v>
      </c>
      <c r="C227" s="184" t="s">
        <v>1319</v>
      </c>
      <c r="D227" s="184" t="s">
        <v>1191</v>
      </c>
      <c r="E227" s="184" t="s">
        <v>557</v>
      </c>
      <c r="F227" s="184" t="s">
        <v>1320</v>
      </c>
      <c r="G227" s="184" t="s">
        <v>1321</v>
      </c>
      <c r="I227" s="601">
        <v>-2.1000000000000001E-2</v>
      </c>
      <c r="J227" s="601">
        <v>-1.9E-2</v>
      </c>
      <c r="K227" s="601">
        <v>-6.0000000000000001E-3</v>
      </c>
      <c r="L227" s="601">
        <v>-1.2999999999999999E-2</v>
      </c>
      <c r="M227" s="601">
        <v>-6.0000000000000001E-3</v>
      </c>
    </row>
    <row r="228" spans="2:13">
      <c r="B228" s="600">
        <v>45321</v>
      </c>
      <c r="C228" s="184" t="s">
        <v>1322</v>
      </c>
      <c r="D228" s="184" t="s">
        <v>1323</v>
      </c>
      <c r="E228" s="184" t="s">
        <v>1324</v>
      </c>
      <c r="F228" s="184" t="s">
        <v>1325</v>
      </c>
      <c r="G228" s="184" t="s">
        <v>1326</v>
      </c>
      <c r="I228" s="601">
        <v>-1E-3</v>
      </c>
      <c r="J228" s="601">
        <v>2.4E-2</v>
      </c>
      <c r="K228" s="601">
        <v>8.9999999999999993E-3</v>
      </c>
      <c r="L228" s="601">
        <v>-8.9999999999999993E-3</v>
      </c>
      <c r="M228" s="601">
        <v>4.0000000000000001E-3</v>
      </c>
    </row>
    <row r="229" spans="2:13">
      <c r="B229" s="600">
        <v>45320</v>
      </c>
      <c r="C229" s="184" t="s">
        <v>1327</v>
      </c>
      <c r="D229" s="184" t="s">
        <v>1328</v>
      </c>
      <c r="E229" s="184" t="s">
        <v>1329</v>
      </c>
      <c r="F229" s="184" t="s">
        <v>1330</v>
      </c>
      <c r="G229" s="184" t="s">
        <v>1331</v>
      </c>
      <c r="I229" s="601">
        <v>-6.0000000000000001E-3</v>
      </c>
      <c r="J229" s="601">
        <v>1.4E-2</v>
      </c>
      <c r="K229" s="601">
        <v>2E-3</v>
      </c>
      <c r="L229" s="601">
        <v>5.0000000000000001E-3</v>
      </c>
      <c r="M229" s="601">
        <v>1E-3</v>
      </c>
    </row>
    <row r="230" spans="2:13">
      <c r="B230" s="600">
        <v>45317</v>
      </c>
      <c r="C230" s="184" t="s">
        <v>1332</v>
      </c>
      <c r="D230" s="184" t="s">
        <v>1333</v>
      </c>
      <c r="E230" s="184" t="s">
        <v>1274</v>
      </c>
      <c r="F230" s="184" t="s">
        <v>1334</v>
      </c>
      <c r="G230" s="184" t="s">
        <v>1239</v>
      </c>
      <c r="I230" s="601">
        <v>1E-3</v>
      </c>
      <c r="J230" s="601">
        <v>4.0000000000000001E-3</v>
      </c>
      <c r="K230" s="601">
        <v>8.0000000000000002E-3</v>
      </c>
      <c r="L230" s="601">
        <v>-3.0000000000000001E-3</v>
      </c>
      <c r="M230" s="601">
        <v>6.0000000000000001E-3</v>
      </c>
    </row>
    <row r="231" spans="2:13">
      <c r="B231" s="600">
        <v>45316</v>
      </c>
      <c r="C231" s="184" t="s">
        <v>1335</v>
      </c>
      <c r="D231" s="184" t="s">
        <v>1336</v>
      </c>
      <c r="E231" s="184" t="s">
        <v>1337</v>
      </c>
      <c r="F231" s="184" t="s">
        <v>1338</v>
      </c>
      <c r="G231" s="184" t="s">
        <v>1339</v>
      </c>
      <c r="I231" s="601">
        <v>-1E-3</v>
      </c>
      <c r="J231" s="601">
        <v>0</v>
      </c>
      <c r="K231" s="601">
        <v>6.0000000000000001E-3</v>
      </c>
      <c r="L231" s="601">
        <v>1.0999999999999999E-2</v>
      </c>
      <c r="M231" s="601">
        <v>2.1000000000000001E-2</v>
      </c>
    </row>
    <row r="232" spans="2:13">
      <c r="B232" s="600">
        <v>45315</v>
      </c>
      <c r="C232" s="184" t="s">
        <v>1340</v>
      </c>
      <c r="D232" s="184" t="s">
        <v>1341</v>
      </c>
      <c r="E232" s="184" t="s">
        <v>1342</v>
      </c>
      <c r="F232" s="184" t="s">
        <v>1343</v>
      </c>
      <c r="G232" s="184" t="s">
        <v>1344</v>
      </c>
      <c r="I232" s="601">
        <v>1E-3</v>
      </c>
      <c r="J232" s="601">
        <v>-1.4E-2</v>
      </c>
      <c r="K232" s="601">
        <v>-1.2E-2</v>
      </c>
      <c r="L232" s="601">
        <v>-2.1999999999999999E-2</v>
      </c>
      <c r="M232" s="601">
        <v>-5.5E-2</v>
      </c>
    </row>
    <row r="233" spans="2:13">
      <c r="B233" s="600">
        <v>45314</v>
      </c>
      <c r="C233" s="184" t="s">
        <v>1345</v>
      </c>
      <c r="D233" s="184" t="s">
        <v>1112</v>
      </c>
      <c r="E233" s="184" t="s">
        <v>1346</v>
      </c>
      <c r="F233" s="184" t="s">
        <v>1347</v>
      </c>
      <c r="G233" s="184" t="s">
        <v>1348</v>
      </c>
      <c r="I233" s="601">
        <v>-5.0000000000000001E-3</v>
      </c>
      <c r="J233" s="601">
        <v>0.02</v>
      </c>
      <c r="K233" s="601">
        <v>1.4999999999999999E-2</v>
      </c>
      <c r="L233" s="601">
        <v>5.0000000000000001E-3</v>
      </c>
      <c r="M233" s="601">
        <v>2.1000000000000001E-2</v>
      </c>
    </row>
    <row r="234" spans="2:13">
      <c r="B234" s="600">
        <v>45313</v>
      </c>
      <c r="C234" s="184" t="s">
        <v>1349</v>
      </c>
      <c r="D234" s="184" t="s">
        <v>1350</v>
      </c>
      <c r="E234" s="184" t="s">
        <v>432</v>
      </c>
      <c r="F234" s="184" t="s">
        <v>1351</v>
      </c>
      <c r="G234" s="184" t="s">
        <v>1352</v>
      </c>
      <c r="I234" s="601">
        <v>-4.0000000000000001E-3</v>
      </c>
      <c r="J234" s="601">
        <v>-1.2E-2</v>
      </c>
      <c r="K234" s="601">
        <v>-4.0000000000000001E-3</v>
      </c>
      <c r="L234" s="601">
        <v>-8.9999999999999993E-3</v>
      </c>
      <c r="M234" s="601">
        <v>-4.0000000000000001E-3</v>
      </c>
    </row>
    <row r="235" spans="2:13">
      <c r="B235" s="600">
        <v>45310</v>
      </c>
      <c r="C235" s="184" t="s">
        <v>1353</v>
      </c>
      <c r="D235" s="184" t="s">
        <v>1354</v>
      </c>
      <c r="E235" s="184" t="s">
        <v>1355</v>
      </c>
      <c r="F235" s="184" t="s">
        <v>1051</v>
      </c>
      <c r="G235" s="184" t="s">
        <v>1356</v>
      </c>
      <c r="I235" s="601">
        <v>3.0000000000000001E-3</v>
      </c>
      <c r="J235" s="601">
        <v>-5.0000000000000001E-3</v>
      </c>
      <c r="K235" s="601">
        <v>-8.0000000000000002E-3</v>
      </c>
      <c r="L235" s="601">
        <v>1E-3</v>
      </c>
      <c r="M235" s="601">
        <v>-2E-3</v>
      </c>
    </row>
    <row r="236" spans="2:13">
      <c r="B236" s="600">
        <v>45309</v>
      </c>
      <c r="C236" s="184" t="s">
        <v>1357</v>
      </c>
      <c r="D236" s="184" t="s">
        <v>1358</v>
      </c>
      <c r="E236" s="184" t="s">
        <v>1359</v>
      </c>
      <c r="F236" s="184" t="s">
        <v>616</v>
      </c>
      <c r="G236" s="184" t="s">
        <v>1360</v>
      </c>
      <c r="I236" s="601">
        <v>-3.0000000000000001E-3</v>
      </c>
      <c r="J236" s="601">
        <v>0</v>
      </c>
      <c r="K236" s="601">
        <v>4.0000000000000001E-3</v>
      </c>
      <c r="L236" s="601">
        <v>4.0000000000000001E-3</v>
      </c>
      <c r="M236" s="601">
        <v>-2E-3</v>
      </c>
    </row>
    <row r="237" spans="2:13">
      <c r="B237" s="600">
        <v>45308</v>
      </c>
      <c r="C237" s="184" t="s">
        <v>1361</v>
      </c>
      <c r="D237" s="184" t="s">
        <v>1362</v>
      </c>
      <c r="E237" s="184" t="s">
        <v>1363</v>
      </c>
      <c r="F237" s="184" t="s">
        <v>1364</v>
      </c>
      <c r="G237" s="184" t="s">
        <v>1365</v>
      </c>
      <c r="I237" s="601">
        <v>-1.2999999999999999E-2</v>
      </c>
      <c r="J237" s="601">
        <v>0</v>
      </c>
      <c r="K237" s="601">
        <v>2E-3</v>
      </c>
      <c r="L237" s="601">
        <v>-1.0999999999999999E-2</v>
      </c>
      <c r="M237" s="601">
        <v>2E-3</v>
      </c>
    </row>
    <row r="238" spans="2:13">
      <c r="B238" s="600">
        <v>45307</v>
      </c>
      <c r="C238" s="184" t="s">
        <v>1366</v>
      </c>
      <c r="D238" s="184" t="s">
        <v>1367</v>
      </c>
      <c r="E238" s="184" t="s">
        <v>1368</v>
      </c>
      <c r="F238" s="184" t="s">
        <v>1369</v>
      </c>
      <c r="G238" s="184" t="s">
        <v>1370</v>
      </c>
      <c r="I238" s="601">
        <v>0</v>
      </c>
      <c r="J238" s="601">
        <v>0</v>
      </c>
      <c r="K238" s="601">
        <v>0</v>
      </c>
      <c r="L238" s="601">
        <v>0</v>
      </c>
      <c r="M238" s="601">
        <v>0</v>
      </c>
    </row>
    <row r="239" spans="2:13">
      <c r="B239" s="600">
        <v>45306</v>
      </c>
      <c r="C239" s="184" t="s">
        <v>1366</v>
      </c>
      <c r="D239" s="184" t="s">
        <v>1367</v>
      </c>
      <c r="E239" s="184" t="s">
        <v>1368</v>
      </c>
      <c r="F239" s="184" t="s">
        <v>1369</v>
      </c>
      <c r="G239" s="184" t="s">
        <v>1370</v>
      </c>
      <c r="I239" s="601">
        <v>-1.7999999999999999E-2</v>
      </c>
      <c r="J239" s="601">
        <v>5.0000000000000001E-3</v>
      </c>
      <c r="K239" s="601">
        <v>-7.0000000000000001E-3</v>
      </c>
      <c r="L239" s="601">
        <v>-1.0999999999999999E-2</v>
      </c>
      <c r="M239" s="601">
        <v>-8.9999999999999993E-3</v>
      </c>
    </row>
    <row r="240" spans="2:13">
      <c r="B240" s="600">
        <v>45303</v>
      </c>
      <c r="C240" s="184" t="s">
        <v>1371</v>
      </c>
      <c r="D240" s="184" t="s">
        <v>1372</v>
      </c>
      <c r="E240" s="184" t="s">
        <v>1373</v>
      </c>
      <c r="F240" s="184" t="s">
        <v>1374</v>
      </c>
      <c r="G240" s="184" t="s">
        <v>1375</v>
      </c>
      <c r="I240" s="601">
        <v>-8.0000000000000002E-3</v>
      </c>
      <c r="J240" s="601">
        <v>1E-3</v>
      </c>
      <c r="K240" s="601">
        <v>7.0000000000000001E-3</v>
      </c>
      <c r="L240" s="601">
        <v>3.0000000000000001E-3</v>
      </c>
      <c r="M240" s="601">
        <v>3.0000000000000001E-3</v>
      </c>
    </row>
    <row r="241" spans="2:13">
      <c r="B241" s="600">
        <v>45302</v>
      </c>
      <c r="C241" s="184" t="s">
        <v>1376</v>
      </c>
      <c r="D241" s="184" t="s">
        <v>1377</v>
      </c>
      <c r="E241" s="184" t="s">
        <v>1378</v>
      </c>
      <c r="F241" s="184" t="s">
        <v>1379</v>
      </c>
      <c r="G241" s="184" t="s">
        <v>1380</v>
      </c>
      <c r="I241" s="601">
        <v>-7.0000000000000001E-3</v>
      </c>
      <c r="J241" s="601">
        <v>4.0000000000000001E-3</v>
      </c>
      <c r="K241" s="601">
        <v>-5.0000000000000001E-3</v>
      </c>
      <c r="L241" s="601">
        <v>0.01</v>
      </c>
      <c r="M241" s="601">
        <v>4.0000000000000001E-3</v>
      </c>
    </row>
    <row r="242" spans="2:13">
      <c r="B242" s="600">
        <v>45301</v>
      </c>
      <c r="C242" s="184" t="s">
        <v>1381</v>
      </c>
      <c r="D242" s="184" t="s">
        <v>1382</v>
      </c>
      <c r="E242" s="184" t="s">
        <v>1383</v>
      </c>
      <c r="F242" s="184" t="s">
        <v>1384</v>
      </c>
      <c r="G242" s="184" t="s">
        <v>1385</v>
      </c>
      <c r="I242" s="601">
        <v>-2E-3</v>
      </c>
      <c r="J242" s="601">
        <v>-1.7999999999999999E-2</v>
      </c>
      <c r="K242" s="601">
        <v>-1E-3</v>
      </c>
      <c r="L242" s="601">
        <v>5.0000000000000001E-3</v>
      </c>
      <c r="M242" s="601">
        <v>-3.0000000000000001E-3</v>
      </c>
    </row>
    <row r="243" spans="2:13">
      <c r="B243" s="600">
        <v>45300</v>
      </c>
      <c r="C243" s="184" t="s">
        <v>1386</v>
      </c>
      <c r="D243" s="184" t="s">
        <v>1387</v>
      </c>
      <c r="E243" s="184" t="s">
        <v>1359</v>
      </c>
      <c r="F243" s="184" t="s">
        <v>1388</v>
      </c>
      <c r="G243" s="184" t="s">
        <v>1389</v>
      </c>
      <c r="I243" s="601">
        <v>5.0000000000000001E-3</v>
      </c>
      <c r="J243" s="601">
        <v>8.9999999999999993E-3</v>
      </c>
      <c r="K243" s="601">
        <v>-1.0999999999999999E-2</v>
      </c>
      <c r="L243" s="601">
        <v>1.4E-2</v>
      </c>
      <c r="M243" s="601">
        <v>3.0000000000000001E-3</v>
      </c>
    </row>
    <row r="244" spans="2:13">
      <c r="B244" s="600">
        <v>45299</v>
      </c>
      <c r="C244" s="184" t="s">
        <v>1390</v>
      </c>
      <c r="D244" s="184" t="s">
        <v>1391</v>
      </c>
      <c r="E244" s="184" t="s">
        <v>1392</v>
      </c>
      <c r="F244" s="184" t="s">
        <v>1234</v>
      </c>
      <c r="G244" s="184" t="s">
        <v>1393</v>
      </c>
      <c r="I244" s="601">
        <v>-2E-3</v>
      </c>
      <c r="J244" s="601">
        <v>0.02</v>
      </c>
      <c r="K244" s="601">
        <v>1E-3</v>
      </c>
      <c r="L244" s="601">
        <v>0.01</v>
      </c>
      <c r="M244" s="601">
        <v>8.0000000000000002E-3</v>
      </c>
    </row>
    <row r="245" spans="2:13">
      <c r="B245" s="600">
        <v>45296</v>
      </c>
      <c r="C245" s="184" t="s">
        <v>1394</v>
      </c>
      <c r="D245" s="184" t="s">
        <v>1395</v>
      </c>
      <c r="E245" s="184" t="s">
        <v>1396</v>
      </c>
      <c r="F245" s="184" t="s">
        <v>1397</v>
      </c>
      <c r="G245" s="184" t="s">
        <v>1398</v>
      </c>
      <c r="I245" s="601">
        <v>2.1999999999999999E-2</v>
      </c>
      <c r="J245" s="601">
        <v>-1.4999999999999999E-2</v>
      </c>
      <c r="K245" s="601">
        <v>-1.4999999999999999E-2</v>
      </c>
      <c r="L245" s="601">
        <v>2.1000000000000001E-2</v>
      </c>
      <c r="M245" s="601">
        <v>-2E-3</v>
      </c>
    </row>
    <row r="246" spans="2:13">
      <c r="B246" s="600">
        <v>45295</v>
      </c>
      <c r="C246" s="184" t="s">
        <v>1399</v>
      </c>
      <c r="D246" s="184" t="s">
        <v>1400</v>
      </c>
      <c r="E246" s="184" t="s">
        <v>1301</v>
      </c>
      <c r="F246" s="184" t="s">
        <v>1401</v>
      </c>
      <c r="G246" s="184" t="s">
        <v>1402</v>
      </c>
      <c r="I246" s="601">
        <v>-7.0000000000000001E-3</v>
      </c>
      <c r="J246" s="601">
        <v>-7.0000000000000001E-3</v>
      </c>
      <c r="K246" s="601">
        <v>-8.9999999999999993E-3</v>
      </c>
      <c r="L246" s="601">
        <v>4.0000000000000001E-3</v>
      </c>
      <c r="M246" s="601">
        <v>6.0000000000000001E-3</v>
      </c>
    </row>
    <row r="247" spans="2:13">
      <c r="B247" s="600">
        <v>45294</v>
      </c>
      <c r="C247" s="184" t="s">
        <v>1371</v>
      </c>
      <c r="D247" s="184" t="s">
        <v>551</v>
      </c>
      <c r="E247" s="184" t="s">
        <v>490</v>
      </c>
      <c r="F247" s="184" t="s">
        <v>491</v>
      </c>
      <c r="G247" s="184" t="s">
        <v>1403</v>
      </c>
      <c r="I247" s="601">
        <v>-5.0000000000000001E-3</v>
      </c>
      <c r="J247" s="601">
        <v>-1E-3</v>
      </c>
      <c r="K247" s="601">
        <v>0</v>
      </c>
      <c r="L247" s="601">
        <v>-0.01</v>
      </c>
      <c r="M247" s="601">
        <v>-5.0000000000000001E-3</v>
      </c>
    </row>
    <row r="248" spans="2:13">
      <c r="B248" s="600">
        <v>45293</v>
      </c>
      <c r="C248" s="184" t="s">
        <v>1404</v>
      </c>
      <c r="D248" s="184" t="s">
        <v>1112</v>
      </c>
      <c r="E248" s="184" t="s">
        <v>1405</v>
      </c>
      <c r="F248" s="184" t="s">
        <v>1406</v>
      </c>
      <c r="G248" s="184" t="s">
        <v>1407</v>
      </c>
      <c r="I248" s="601">
        <v>0</v>
      </c>
      <c r="J248" s="601">
        <v>0</v>
      </c>
      <c r="K248" s="601">
        <v>0</v>
      </c>
      <c r="L248" s="601">
        <v>0</v>
      </c>
      <c r="M248" s="601">
        <v>0</v>
      </c>
    </row>
    <row r="249" spans="2:13">
      <c r="B249" s="600">
        <v>45292</v>
      </c>
      <c r="C249" s="184" t="s">
        <v>1404</v>
      </c>
      <c r="D249" s="184" t="s">
        <v>1112</v>
      </c>
      <c r="E249" s="184" t="s">
        <v>1405</v>
      </c>
      <c r="F249" s="184" t="s">
        <v>1406</v>
      </c>
      <c r="G249" s="184" t="s">
        <v>1407</v>
      </c>
      <c r="I249" s="601">
        <v>-7.0000000000000001E-3</v>
      </c>
      <c r="J249" s="601">
        <v>0.03</v>
      </c>
      <c r="K249" s="601">
        <v>1.7999999999999999E-2</v>
      </c>
      <c r="L249" s="601">
        <v>8.9999999999999993E-3</v>
      </c>
      <c r="M249" s="601">
        <v>7.0000000000000001E-3</v>
      </c>
    </row>
    <row r="250" spans="2:13">
      <c r="B250" s="600">
        <v>45289</v>
      </c>
      <c r="C250" s="184" t="s">
        <v>1408</v>
      </c>
      <c r="D250" s="184" t="s">
        <v>1409</v>
      </c>
      <c r="E250" s="184" t="s">
        <v>477</v>
      </c>
      <c r="F250" s="184" t="s">
        <v>1410</v>
      </c>
      <c r="G250" s="184" t="s">
        <v>1411</v>
      </c>
      <c r="I250" s="601">
        <v>0</v>
      </c>
      <c r="J250" s="601">
        <v>1.2999999999999999E-2</v>
      </c>
      <c r="K250" s="601">
        <v>3.0000000000000001E-3</v>
      </c>
      <c r="L250" s="601">
        <v>-2E-3</v>
      </c>
      <c r="M250" s="601">
        <v>6.0000000000000001E-3</v>
      </c>
    </row>
    <row r="251" spans="2:13">
      <c r="B251" s="600">
        <v>45288</v>
      </c>
      <c r="C251" s="184" t="s">
        <v>1390</v>
      </c>
      <c r="D251" s="184" t="s">
        <v>1412</v>
      </c>
      <c r="E251" s="184" t="s">
        <v>1413</v>
      </c>
      <c r="F251" s="184" t="s">
        <v>1414</v>
      </c>
      <c r="G251" s="184" t="s">
        <v>1415</v>
      </c>
      <c r="I251" s="601">
        <v>0.01</v>
      </c>
      <c r="J251" s="601">
        <v>1E-3</v>
      </c>
      <c r="K251" s="601">
        <v>0</v>
      </c>
      <c r="L251" s="601">
        <v>8.0000000000000002E-3</v>
      </c>
      <c r="M251" s="601">
        <v>4.0000000000000001E-3</v>
      </c>
    </row>
    <row r="252" spans="2:13">
      <c r="B252" s="600">
        <v>45287</v>
      </c>
      <c r="C252" s="184" t="s">
        <v>1416</v>
      </c>
      <c r="D252" s="184" t="s">
        <v>1417</v>
      </c>
      <c r="E252" s="184" t="s">
        <v>583</v>
      </c>
      <c r="F252" s="184" t="s">
        <v>1418</v>
      </c>
      <c r="G252" s="184" t="s">
        <v>1419</v>
      </c>
      <c r="I252" s="601">
        <v>1E-3</v>
      </c>
      <c r="J252" s="601">
        <v>3.0000000000000001E-3</v>
      </c>
      <c r="K252" s="601">
        <v>3.0000000000000001E-3</v>
      </c>
      <c r="L252" s="601">
        <v>5.0000000000000001E-3</v>
      </c>
      <c r="M252" s="601">
        <v>2E-3</v>
      </c>
    </row>
    <row r="253" spans="2:13">
      <c r="B253" s="600">
        <v>45286</v>
      </c>
      <c r="C253" s="184" t="s">
        <v>1420</v>
      </c>
      <c r="D253" s="184" t="s">
        <v>1421</v>
      </c>
      <c r="E253" s="184" t="s">
        <v>1422</v>
      </c>
      <c r="F253" s="184" t="s">
        <v>1423</v>
      </c>
      <c r="G253" s="184" t="s">
        <v>1424</v>
      </c>
      <c r="I253" s="601">
        <v>0</v>
      </c>
      <c r="J253" s="601">
        <v>0</v>
      </c>
      <c r="K253" s="601">
        <v>0</v>
      </c>
      <c r="L253" s="601">
        <v>0</v>
      </c>
      <c r="M253" s="601">
        <v>0</v>
      </c>
    </row>
    <row r="254" spans="2:13">
      <c r="B254" s="600">
        <v>45285</v>
      </c>
      <c r="C254" s="184" t="s">
        <v>1420</v>
      </c>
      <c r="D254" s="184" t="s">
        <v>1421</v>
      </c>
      <c r="E254" s="184" t="s">
        <v>1422</v>
      </c>
      <c r="F254" s="184" t="s">
        <v>1423</v>
      </c>
      <c r="G254" s="184" t="s">
        <v>1424</v>
      </c>
      <c r="I254" s="601">
        <v>8.9999999999999993E-3</v>
      </c>
      <c r="J254" s="601">
        <v>5.0000000000000001E-3</v>
      </c>
      <c r="K254" s="601">
        <v>7.0000000000000001E-3</v>
      </c>
      <c r="L254" s="601">
        <v>5.0000000000000001E-3</v>
      </c>
      <c r="M254" s="601">
        <v>-1E-3</v>
      </c>
    </row>
    <row r="255" spans="2:13">
      <c r="B255" s="600">
        <v>45282</v>
      </c>
      <c r="C255" s="184" t="s">
        <v>1425</v>
      </c>
      <c r="D255" s="184" t="s">
        <v>1426</v>
      </c>
      <c r="E255" s="184" t="s">
        <v>1427</v>
      </c>
      <c r="F255" s="184" t="s">
        <v>1428</v>
      </c>
      <c r="G255" s="184" t="s">
        <v>1429</v>
      </c>
      <c r="I255" s="601">
        <v>-1.0999999999999999E-2</v>
      </c>
      <c r="J255" s="601">
        <v>8.0000000000000002E-3</v>
      </c>
      <c r="K255" s="601">
        <v>4.0000000000000001E-3</v>
      </c>
      <c r="L255" s="601">
        <v>8.9999999999999993E-3</v>
      </c>
      <c r="M255" s="601">
        <v>7.0000000000000001E-3</v>
      </c>
    </row>
    <row r="256" spans="2:13">
      <c r="B256" s="600">
        <v>45281</v>
      </c>
      <c r="C256" s="184" t="s">
        <v>1430</v>
      </c>
      <c r="D256" s="184" t="s">
        <v>1431</v>
      </c>
      <c r="E256" s="184" t="s">
        <v>1432</v>
      </c>
      <c r="F256" s="184" t="s">
        <v>1433</v>
      </c>
      <c r="G256" s="184" t="s">
        <v>1434</v>
      </c>
      <c r="I256" s="601">
        <v>1E-3</v>
      </c>
      <c r="J256" s="601">
        <v>8.0000000000000002E-3</v>
      </c>
      <c r="K256" s="601">
        <v>8.0000000000000002E-3</v>
      </c>
      <c r="L256" s="601">
        <v>3.0000000000000001E-3</v>
      </c>
      <c r="M256" s="601">
        <v>5.0000000000000001E-3</v>
      </c>
    </row>
    <row r="257" spans="2:13">
      <c r="B257" s="600">
        <v>45280</v>
      </c>
      <c r="C257" s="184" t="s">
        <v>1416</v>
      </c>
      <c r="D257" s="184" t="s">
        <v>1435</v>
      </c>
      <c r="E257" s="184" t="s">
        <v>1436</v>
      </c>
      <c r="F257" s="184" t="s">
        <v>1437</v>
      </c>
      <c r="G257" s="184" t="s">
        <v>1438</v>
      </c>
      <c r="I257" s="601">
        <v>6.0000000000000001E-3</v>
      </c>
      <c r="J257" s="601">
        <v>-1.7000000000000001E-2</v>
      </c>
      <c r="K257" s="601">
        <v>-1.2999999999999999E-2</v>
      </c>
      <c r="L257" s="601">
        <v>-2.5000000000000001E-2</v>
      </c>
      <c r="M257" s="601">
        <v>-1.6E-2</v>
      </c>
    </row>
    <row r="258" spans="2:13">
      <c r="B258" s="600">
        <v>45279</v>
      </c>
      <c r="C258" s="184" t="s">
        <v>1439</v>
      </c>
      <c r="D258" s="184" t="s">
        <v>1440</v>
      </c>
      <c r="E258" s="184" t="s">
        <v>1441</v>
      </c>
      <c r="F258" s="184" t="s">
        <v>1442</v>
      </c>
      <c r="G258" s="184" t="s">
        <v>1443</v>
      </c>
      <c r="I258" s="601">
        <v>-8.9999999999999993E-3</v>
      </c>
      <c r="J258" s="601">
        <v>2E-3</v>
      </c>
      <c r="K258" s="601">
        <v>-6.0000000000000001E-3</v>
      </c>
      <c r="L258" s="601">
        <v>8.9999999999999993E-3</v>
      </c>
      <c r="M258" s="601">
        <v>1E-3</v>
      </c>
    </row>
    <row r="259" spans="2:13">
      <c r="B259" s="600">
        <v>45278</v>
      </c>
      <c r="C259" s="184" t="s">
        <v>1404</v>
      </c>
      <c r="D259" s="184" t="s">
        <v>1444</v>
      </c>
      <c r="E259" s="184" t="s">
        <v>1445</v>
      </c>
      <c r="F259" s="184" t="s">
        <v>1446</v>
      </c>
      <c r="G259" s="184" t="s">
        <v>1447</v>
      </c>
      <c r="I259" s="601">
        <v>8.0000000000000002E-3</v>
      </c>
      <c r="J259" s="601">
        <v>3.0000000000000001E-3</v>
      </c>
      <c r="K259" s="601">
        <v>1.0999999999999999E-2</v>
      </c>
      <c r="L259" s="601">
        <v>0.01</v>
      </c>
      <c r="M259" s="601">
        <v>0.01</v>
      </c>
    </row>
    <row r="260" spans="2:13">
      <c r="B260" s="600">
        <v>45275</v>
      </c>
      <c r="C260" s="184" t="s">
        <v>1448</v>
      </c>
      <c r="D260" s="184" t="s">
        <v>1449</v>
      </c>
      <c r="E260" s="184" t="s">
        <v>1450</v>
      </c>
      <c r="F260" s="184" t="s">
        <v>1451</v>
      </c>
      <c r="G260" s="184" t="s">
        <v>1452</v>
      </c>
      <c r="I260" s="601">
        <v>2E-3</v>
      </c>
      <c r="J260" s="601">
        <v>-2.4E-2</v>
      </c>
      <c r="K260" s="601">
        <v>-7.0000000000000001E-3</v>
      </c>
      <c r="L260" s="601">
        <v>-1.9E-2</v>
      </c>
      <c r="M260" s="601">
        <v>-1.2E-2</v>
      </c>
    </row>
    <row r="261" spans="2:13">
      <c r="B261" s="600">
        <v>45274</v>
      </c>
      <c r="C261" s="184" t="s">
        <v>1439</v>
      </c>
      <c r="D261" s="184" t="s">
        <v>1240</v>
      </c>
      <c r="E261" s="184" t="s">
        <v>1257</v>
      </c>
      <c r="F261" s="184" t="s">
        <v>1453</v>
      </c>
      <c r="G261" s="184" t="s">
        <v>1454</v>
      </c>
      <c r="I261" s="601">
        <v>8.0000000000000002E-3</v>
      </c>
      <c r="J261" s="601">
        <v>-1.4E-2</v>
      </c>
      <c r="K261" s="601">
        <v>-2.1999999999999999E-2</v>
      </c>
      <c r="L261" s="601">
        <v>-6.0000000000000001E-3</v>
      </c>
      <c r="M261" s="601">
        <v>-2.1999999999999999E-2</v>
      </c>
    </row>
    <row r="262" spans="2:13">
      <c r="B262" s="600">
        <v>45273</v>
      </c>
      <c r="C262" s="184" t="s">
        <v>1455</v>
      </c>
      <c r="D262" s="184" t="s">
        <v>1456</v>
      </c>
      <c r="E262" s="184" t="s">
        <v>1457</v>
      </c>
      <c r="F262" s="184" t="s">
        <v>1458</v>
      </c>
      <c r="G262" s="184" t="s">
        <v>1226</v>
      </c>
      <c r="I262" s="601">
        <v>1.2E-2</v>
      </c>
      <c r="J262" s="601">
        <v>2.1999999999999999E-2</v>
      </c>
      <c r="K262" s="601">
        <v>2.1000000000000001E-2</v>
      </c>
      <c r="L262" s="601">
        <v>2.9000000000000001E-2</v>
      </c>
      <c r="M262" s="601">
        <v>1.4999999999999999E-2</v>
      </c>
    </row>
    <row r="263" spans="2:13">
      <c r="B263" s="600">
        <v>45272</v>
      </c>
      <c r="C263" s="184" t="s">
        <v>1459</v>
      </c>
      <c r="D263" s="184" t="s">
        <v>1460</v>
      </c>
      <c r="E263" s="184" t="s">
        <v>1461</v>
      </c>
      <c r="F263" s="184" t="s">
        <v>1462</v>
      </c>
      <c r="G263" s="184" t="s">
        <v>1463</v>
      </c>
      <c r="I263" s="601">
        <v>-8.0000000000000002E-3</v>
      </c>
      <c r="J263" s="601">
        <v>-8.9999999999999993E-3</v>
      </c>
      <c r="K263" s="601">
        <v>4.0000000000000001E-3</v>
      </c>
      <c r="L263" s="601">
        <v>1E-3</v>
      </c>
      <c r="M263" s="601">
        <v>7.0000000000000001E-3</v>
      </c>
    </row>
    <row r="264" spans="2:13">
      <c r="B264" s="600">
        <v>45271</v>
      </c>
      <c r="C264" s="184" t="s">
        <v>1464</v>
      </c>
      <c r="D264" s="184" t="s">
        <v>1465</v>
      </c>
      <c r="E264" s="184" t="s">
        <v>1466</v>
      </c>
      <c r="F264" s="184" t="s">
        <v>1467</v>
      </c>
      <c r="G264" s="184" t="s">
        <v>1321</v>
      </c>
      <c r="I264" s="601">
        <v>7.0000000000000001E-3</v>
      </c>
      <c r="J264" s="601">
        <v>3.0000000000000001E-3</v>
      </c>
      <c r="K264" s="601">
        <v>1.2999999999999999E-2</v>
      </c>
      <c r="L264" s="601">
        <v>5.0000000000000001E-3</v>
      </c>
      <c r="M264" s="601">
        <v>8.9999999999999993E-3</v>
      </c>
    </row>
    <row r="265" spans="2:13">
      <c r="B265" s="600">
        <v>45268</v>
      </c>
      <c r="C265" s="184" t="s">
        <v>1468</v>
      </c>
      <c r="D265" s="184" t="s">
        <v>1469</v>
      </c>
      <c r="E265" s="184" t="s">
        <v>1470</v>
      </c>
      <c r="F265" s="184" t="s">
        <v>1471</v>
      </c>
      <c r="G265" s="184" t="s">
        <v>1472</v>
      </c>
      <c r="I265" s="601">
        <v>7.0000000000000001E-3</v>
      </c>
      <c r="J265" s="601">
        <v>-1.7999999999999999E-2</v>
      </c>
      <c r="K265" s="601">
        <v>-1.0999999999999999E-2</v>
      </c>
      <c r="L265" s="601">
        <v>-6.0000000000000001E-3</v>
      </c>
      <c r="M265" s="601">
        <v>-1.2999999999999999E-2</v>
      </c>
    </row>
    <row r="266" spans="2:13">
      <c r="B266" s="600">
        <v>45267</v>
      </c>
      <c r="C266" s="184" t="s">
        <v>1473</v>
      </c>
      <c r="D266" s="184" t="s">
        <v>1474</v>
      </c>
      <c r="E266" s="184" t="s">
        <v>1475</v>
      </c>
      <c r="F266" s="184" t="s">
        <v>1476</v>
      </c>
      <c r="G266" s="184" t="s">
        <v>1477</v>
      </c>
      <c r="I266" s="601">
        <v>8.9999999999999993E-3</v>
      </c>
      <c r="J266" s="601">
        <v>-1E-3</v>
      </c>
      <c r="K266" s="601">
        <v>0</v>
      </c>
      <c r="L266" s="601">
        <v>3.0000000000000001E-3</v>
      </c>
      <c r="M266" s="601">
        <v>-8.0000000000000002E-3</v>
      </c>
    </row>
    <row r="267" spans="2:13">
      <c r="B267" s="600">
        <v>45266</v>
      </c>
      <c r="C267" s="184" t="s">
        <v>1478</v>
      </c>
      <c r="D267" s="184" t="s">
        <v>1479</v>
      </c>
      <c r="E267" s="184" t="s">
        <v>1480</v>
      </c>
      <c r="F267" s="184" t="s">
        <v>1481</v>
      </c>
      <c r="G267" s="184" t="s">
        <v>1482</v>
      </c>
      <c r="I267" s="601">
        <v>3.0000000000000001E-3</v>
      </c>
      <c r="J267" s="601">
        <v>7.0000000000000001E-3</v>
      </c>
      <c r="K267" s="601">
        <v>-3.0000000000000001E-3</v>
      </c>
      <c r="L267" s="601">
        <v>-7.0000000000000001E-3</v>
      </c>
      <c r="M267" s="601">
        <v>8.0000000000000002E-3</v>
      </c>
    </row>
    <row r="268" spans="2:13">
      <c r="B268" s="600">
        <v>45265</v>
      </c>
      <c r="C268" s="184" t="s">
        <v>1483</v>
      </c>
      <c r="D268" s="184" t="s">
        <v>1484</v>
      </c>
      <c r="E268" s="184" t="s">
        <v>1485</v>
      </c>
      <c r="F268" s="184" t="s">
        <v>1486</v>
      </c>
      <c r="G268" s="184" t="s">
        <v>1487</v>
      </c>
      <c r="I268" s="601">
        <v>0</v>
      </c>
      <c r="J268" s="601">
        <v>-1.4E-2</v>
      </c>
      <c r="K268" s="601">
        <v>-7.0000000000000001E-3</v>
      </c>
      <c r="L268" s="601">
        <v>-1.4999999999999999E-2</v>
      </c>
      <c r="M268" s="601">
        <v>-2.1999999999999999E-2</v>
      </c>
    </row>
    <row r="269" spans="2:13">
      <c r="B269" s="600">
        <v>45264</v>
      </c>
      <c r="C269" s="184" t="s">
        <v>1483</v>
      </c>
      <c r="D269" s="184" t="s">
        <v>1488</v>
      </c>
      <c r="E269" s="184" t="s">
        <v>1127</v>
      </c>
      <c r="F269" s="184" t="s">
        <v>1489</v>
      </c>
      <c r="G269" s="184" t="s">
        <v>1375</v>
      </c>
      <c r="I269" s="601">
        <v>-8.9999999999999993E-3</v>
      </c>
      <c r="J269" s="601">
        <v>-2E-3</v>
      </c>
      <c r="K269" s="601">
        <v>3.0000000000000001E-3</v>
      </c>
      <c r="L269" s="601">
        <v>-7.0000000000000001E-3</v>
      </c>
      <c r="M269" s="601">
        <v>1E-3</v>
      </c>
    </row>
    <row r="270" spans="2:13">
      <c r="B270" s="600">
        <v>45261</v>
      </c>
      <c r="C270" s="184" t="s">
        <v>1490</v>
      </c>
      <c r="D270" s="184" t="s">
        <v>1491</v>
      </c>
      <c r="E270" s="184" t="s">
        <v>1492</v>
      </c>
      <c r="F270" s="184" t="s">
        <v>1493</v>
      </c>
      <c r="G270" s="184" t="s">
        <v>1494</v>
      </c>
      <c r="I270" s="601">
        <v>0.01</v>
      </c>
      <c r="J270" s="601">
        <v>1.6E-2</v>
      </c>
      <c r="K270" s="601">
        <v>2E-3</v>
      </c>
      <c r="L270" s="601">
        <v>6.0000000000000001E-3</v>
      </c>
      <c r="M270" s="601">
        <v>3.0000000000000001E-3</v>
      </c>
    </row>
    <row r="271" spans="2:13">
      <c r="B271" s="600">
        <v>45260</v>
      </c>
      <c r="C271" s="184" t="s">
        <v>1495</v>
      </c>
      <c r="D271" s="184" t="s">
        <v>1236</v>
      </c>
      <c r="E271" s="184" t="s">
        <v>1496</v>
      </c>
      <c r="F271" s="184" t="s">
        <v>1497</v>
      </c>
      <c r="G271" s="184" t="s">
        <v>1498</v>
      </c>
      <c r="I271" s="601">
        <v>2.1999999999999999E-2</v>
      </c>
      <c r="J271" s="601">
        <v>1.2E-2</v>
      </c>
      <c r="K271" s="601">
        <v>7.0000000000000001E-3</v>
      </c>
      <c r="L271" s="601">
        <v>1.0999999999999999E-2</v>
      </c>
      <c r="M271" s="601">
        <v>1.6E-2</v>
      </c>
    </row>
    <row r="272" spans="2:13">
      <c r="B272" s="600">
        <v>45259</v>
      </c>
      <c r="C272" s="184" t="s">
        <v>1145</v>
      </c>
      <c r="D272" s="184" t="s">
        <v>1499</v>
      </c>
      <c r="E272" s="184" t="s">
        <v>1500</v>
      </c>
      <c r="F272" s="184" t="s">
        <v>1501</v>
      </c>
      <c r="G272" s="184" t="s">
        <v>1463</v>
      </c>
      <c r="I272" s="601">
        <v>-8.0000000000000002E-3</v>
      </c>
      <c r="J272" s="601">
        <v>-1.7000000000000001E-2</v>
      </c>
      <c r="K272" s="601">
        <v>-0.01</v>
      </c>
      <c r="L272" s="601">
        <v>-1.6E-2</v>
      </c>
      <c r="M272" s="601">
        <v>-2E-3</v>
      </c>
    </row>
    <row r="273" spans="2:13">
      <c r="B273" s="600">
        <v>45258</v>
      </c>
      <c r="C273" s="184" t="s">
        <v>1502</v>
      </c>
      <c r="D273" s="184" t="s">
        <v>1503</v>
      </c>
      <c r="E273" s="184" t="s">
        <v>1422</v>
      </c>
      <c r="F273" s="184" t="s">
        <v>1504</v>
      </c>
      <c r="G273" s="184" t="s">
        <v>1505</v>
      </c>
      <c r="I273" s="601">
        <v>-1E-3</v>
      </c>
      <c r="J273" s="601">
        <v>3.0000000000000001E-3</v>
      </c>
      <c r="K273" s="601">
        <v>3.0000000000000001E-3</v>
      </c>
      <c r="L273" s="601">
        <v>1.6E-2</v>
      </c>
      <c r="M273" s="601">
        <v>-3.0000000000000001E-3</v>
      </c>
    </row>
    <row r="274" spans="2:13">
      <c r="B274" s="600">
        <v>45257</v>
      </c>
      <c r="C274" s="184" t="s">
        <v>1506</v>
      </c>
      <c r="D274" s="184" t="s">
        <v>1507</v>
      </c>
      <c r="E274" s="184" t="s">
        <v>1508</v>
      </c>
      <c r="F274" s="184" t="s">
        <v>1509</v>
      </c>
      <c r="G274" s="184" t="s">
        <v>1510</v>
      </c>
      <c r="I274" s="601">
        <v>1E-3</v>
      </c>
      <c r="J274" s="601">
        <v>-1.7000000000000001E-2</v>
      </c>
      <c r="K274" s="601">
        <v>-6.0000000000000001E-3</v>
      </c>
      <c r="L274" s="601">
        <v>-2E-3</v>
      </c>
      <c r="M274" s="601">
        <v>0</v>
      </c>
    </row>
    <row r="275" spans="2:13">
      <c r="B275" s="600">
        <v>45254</v>
      </c>
      <c r="C275" s="184" t="s">
        <v>1502</v>
      </c>
      <c r="D275" s="184" t="s">
        <v>1511</v>
      </c>
      <c r="E275" s="184" t="s">
        <v>1512</v>
      </c>
      <c r="F275" s="184" t="s">
        <v>1513</v>
      </c>
      <c r="G275" s="184" t="s">
        <v>1514</v>
      </c>
    </row>
  </sheetData>
  <conditionalFormatting sqref="C3:G7">
    <cfRule type="cellIs" dxfId="2" priority="1" operator="between">
      <formula>0.32</formula>
      <formula>0.5</formula>
    </cfRule>
    <cfRule type="cellIs" dxfId="1" priority="2" operator="lessThan">
      <formula>0.32</formula>
    </cfRule>
    <cfRule type="cellIs" dxfId="0" priority="3" operator="greaterThan">
      <formula>0.5</formula>
    </cfRule>
  </conditionalFormatting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F062-3C2B-E547-B324-AA9134CCE5AC}">
  <dimension ref="A1"/>
  <sheetViews>
    <sheetView showGridLines="0" workbookViewId="0">
      <selection activeCell="M15" sqref="M15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DCF</vt:lpstr>
      <vt:lpstr>Wall Street Consensus</vt:lpstr>
      <vt:lpstr>Ke</vt:lpstr>
      <vt:lpstr>Revenue</vt:lpstr>
      <vt:lpstr>Revenue Cleaned</vt:lpstr>
      <vt:lpstr>IS</vt:lpstr>
      <vt:lpstr>BS</vt:lpstr>
      <vt:lpstr>Fundamental Growth</vt:lpstr>
      <vt:lpstr>Derived CF</vt:lpstr>
      <vt:lpstr>Share Details</vt:lpstr>
      <vt:lpstr>PPE Detailed</vt:lpstr>
      <vt:lpstr>Comps</vt:lpstr>
      <vt:lpstr>Comps-Num</vt:lpstr>
      <vt:lpstr>Historic CF</vt:lpstr>
      <vt:lpstr>Debt Schedule</vt:lpstr>
      <vt:lpstr>Correlations</vt:lpstr>
      <vt:lpstr>Price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 Udainiya</dc:creator>
  <cp:lastModifiedBy>Kshitiz Udainiya</cp:lastModifiedBy>
  <dcterms:created xsi:type="dcterms:W3CDTF">2024-11-30T20:51:14Z</dcterms:created>
  <dcterms:modified xsi:type="dcterms:W3CDTF">2025-01-30T15:16:03Z</dcterms:modified>
</cp:coreProperties>
</file>