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defaultThemeVersion="166925"/>
  <mc:AlternateContent xmlns:mc="http://schemas.openxmlformats.org/markup-compatibility/2006">
    <mc:Choice Requires="x15">
      <x15ac:absPath xmlns:x15ac="http://schemas.microsoft.com/office/spreadsheetml/2010/11/ac" url="https://umd0-my.sharepoint.com/personal/kshitiz_umd_edu/Documents/Sprouts/"/>
    </mc:Choice>
  </mc:AlternateContent>
  <xr:revisionPtr revIDLastSave="0" documentId="8_{B7454A52-3332-4334-B747-689756E44490}" xr6:coauthVersionLast="47" xr6:coauthVersionMax="47" xr10:uidLastSave="{00000000-0000-0000-0000-000000000000}"/>
  <bookViews>
    <workbookView xWindow="0" yWindow="0" windowWidth="28800" windowHeight="18000" firstSheet="4" activeTab="7" xr2:uid="{CB6BB388-19BE-9748-985F-76A220464310}"/>
  </bookViews>
  <sheets>
    <sheet name="Cover" sheetId="15" r:id="rId1"/>
    <sheet name="DCF" sheetId="8" r:id="rId2"/>
    <sheet name="Wall Street Consensus" sheetId="11" state="hidden" r:id="rId3"/>
    <sheet name="Ke" sheetId="7" r:id="rId4"/>
    <sheet name="Revenue Model" sheetId="34" r:id="rId5"/>
    <sheet name="Properties" sheetId="35" r:id="rId6"/>
    <sheet name="IS" sheetId="2" r:id="rId7"/>
    <sheet name="BS" sheetId="3" r:id="rId8"/>
    <sheet name="Derived CF" sheetId="5" r:id="rId9"/>
    <sheet name="Historical CF" sheetId="33" r:id="rId10"/>
    <sheet name="Debt Schedule" sheetId="30" state="hidden" r:id="rId11"/>
    <sheet name="Correlation" sheetId="29" r:id="rId12"/>
    <sheet name="Historic CF" sheetId="27" state="hidden" r:id="rId13"/>
    <sheet name="Ratios" sheetId="28" r:id="rId14"/>
    <sheet name="Comps No Formula" sheetId="36" r:id="rId15"/>
    <sheet name="Comps" sheetId="10" r:id="rId16"/>
    <sheet name="Price History" sheetId="9" r:id="rId17"/>
    <sheet name="Yi's Quantitative Rankings" sheetId="32" r:id="rId18"/>
  </sheets>
  <calcPr calcId="191028" iterate="1"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 i="34" l="1"/>
  <c r="S85" i="3"/>
  <c r="K85" i="3"/>
  <c r="L85" i="3"/>
  <c r="M85" i="3"/>
  <c r="N85" i="3"/>
  <c r="O85" i="3"/>
  <c r="P85" i="3"/>
  <c r="Q85" i="3"/>
  <c r="R85" i="3"/>
  <c r="E85" i="3"/>
  <c r="F85" i="3"/>
  <c r="G85" i="3"/>
  <c r="H85" i="3"/>
  <c r="I85" i="3"/>
  <c r="D85" i="3"/>
  <c r="S25" i="34"/>
  <c r="J8" i="34"/>
  <c r="D25" i="2"/>
  <c r="E25" i="2"/>
  <c r="F25" i="2"/>
  <c r="G25" i="2"/>
  <c r="H25" i="2"/>
  <c r="I25" i="2"/>
  <c r="D19" i="7"/>
  <c r="L34" i="2"/>
  <c r="M34" i="2" s="1"/>
  <c r="N34" i="2" s="1"/>
  <c r="O34" i="2" s="1"/>
  <c r="P34" i="2" s="1"/>
  <c r="Q34" i="2" s="1"/>
  <c r="R34" i="2" s="1"/>
  <c r="S34" i="2" s="1"/>
  <c r="K34" i="2"/>
  <c r="K30" i="2"/>
  <c r="L30" i="2" s="1"/>
  <c r="M30" i="2" s="1"/>
  <c r="N30" i="2" s="1"/>
  <c r="O30" i="2" s="1"/>
  <c r="P30" i="2" s="1"/>
  <c r="Q30" i="2" s="1"/>
  <c r="R30" i="2" s="1"/>
  <c r="S30" i="2" s="1"/>
  <c r="J31" i="2"/>
  <c r="K29" i="34"/>
  <c r="L29" i="34" s="1"/>
  <c r="M29" i="34" s="1"/>
  <c r="K25" i="34"/>
  <c r="L25" i="34" s="1"/>
  <c r="M25" i="34" s="1"/>
  <c r="N25" i="34" s="1"/>
  <c r="O25" i="34" s="1"/>
  <c r="P25" i="34" s="1"/>
  <c r="Q25" i="34" s="1"/>
  <c r="R25" i="34" s="1"/>
  <c r="J85" i="3"/>
  <c r="E86" i="3"/>
  <c r="F86" i="3"/>
  <c r="G86" i="3"/>
  <c r="H86" i="3"/>
  <c r="I86" i="3"/>
  <c r="D86" i="3"/>
  <c r="P86" i="3"/>
  <c r="Q86" i="3" s="1"/>
  <c r="R86" i="3" s="1"/>
  <c r="S86" i="3" s="1"/>
  <c r="E84" i="3"/>
  <c r="F84" i="3"/>
  <c r="G84" i="3"/>
  <c r="H84" i="3"/>
  <c r="I84" i="3"/>
  <c r="D84" i="3"/>
  <c r="L45" i="3"/>
  <c r="N45" i="3" s="1"/>
  <c r="P45" i="3" s="1"/>
  <c r="Q45" i="3" s="1"/>
  <c r="R45" i="3" s="1"/>
  <c r="S45" i="3" s="1"/>
  <c r="E45" i="3"/>
  <c r="F45" i="3"/>
  <c r="G45" i="3"/>
  <c r="H45" i="3"/>
  <c r="I45" i="3"/>
  <c r="D45" i="3"/>
  <c r="N53" i="3"/>
  <c r="H53" i="3"/>
  <c r="I53" i="3"/>
  <c r="H116" i="3"/>
  <c r="I116" i="3"/>
  <c r="D69" i="2"/>
  <c r="E69" i="2"/>
  <c r="F69" i="2"/>
  <c r="G69" i="2"/>
  <c r="H69" i="2"/>
  <c r="I69" i="2"/>
  <c r="D70" i="2"/>
  <c r="E70" i="2"/>
  <c r="F70" i="2"/>
  <c r="G70" i="2"/>
  <c r="H70" i="2"/>
  <c r="I70" i="2"/>
  <c r="D71" i="2"/>
  <c r="E71" i="2"/>
  <c r="F71" i="2"/>
  <c r="G71" i="2"/>
  <c r="H71" i="2"/>
  <c r="I71" i="2"/>
  <c r="D72" i="2"/>
  <c r="E72" i="2"/>
  <c r="F72" i="2"/>
  <c r="G72" i="2"/>
  <c r="H72" i="2"/>
  <c r="I72" i="2"/>
  <c r="D73" i="2"/>
  <c r="E73" i="2"/>
  <c r="F73" i="2"/>
  <c r="G73" i="2"/>
  <c r="H73" i="2"/>
  <c r="I73" i="2"/>
  <c r="D74" i="2"/>
  <c r="E74" i="2"/>
  <c r="F74" i="2"/>
  <c r="G74" i="2"/>
  <c r="H74" i="2"/>
  <c r="I74" i="2"/>
  <c r="D75" i="2"/>
  <c r="E75" i="2"/>
  <c r="F75" i="2"/>
  <c r="G75" i="2"/>
  <c r="H75" i="2"/>
  <c r="I75" i="2"/>
  <c r="U75" i="2" s="1"/>
  <c r="D76" i="2"/>
  <c r="E76" i="2"/>
  <c r="F76" i="2"/>
  <c r="G76" i="2"/>
  <c r="H76" i="2"/>
  <c r="I76" i="2"/>
  <c r="D77" i="2"/>
  <c r="E77" i="2"/>
  <c r="F77" i="2"/>
  <c r="G77" i="2"/>
  <c r="H77" i="2"/>
  <c r="I77" i="2"/>
  <c r="D78" i="2"/>
  <c r="E78" i="2"/>
  <c r="F78" i="2"/>
  <c r="G78" i="2"/>
  <c r="H78" i="2"/>
  <c r="I78" i="2"/>
  <c r="D79" i="2"/>
  <c r="E79" i="2"/>
  <c r="F79" i="2"/>
  <c r="G79" i="2"/>
  <c r="H79" i="2"/>
  <c r="I79" i="2"/>
  <c r="D80" i="2"/>
  <c r="E80" i="2"/>
  <c r="F80" i="2"/>
  <c r="G80" i="2"/>
  <c r="H80" i="2"/>
  <c r="I80" i="2"/>
  <c r="C70" i="2"/>
  <c r="C71" i="2"/>
  <c r="U71" i="2" s="1"/>
  <c r="C72" i="2"/>
  <c r="C73" i="2"/>
  <c r="C74" i="2"/>
  <c r="C75" i="2"/>
  <c r="C76" i="2"/>
  <c r="C77" i="2"/>
  <c r="C78" i="2"/>
  <c r="C79" i="2"/>
  <c r="U79" i="2" s="1"/>
  <c r="C80" i="2"/>
  <c r="C69" i="2"/>
  <c r="U70" i="2" l="1"/>
  <c r="U69" i="2"/>
  <c r="U78" i="2"/>
  <c r="U73" i="2"/>
  <c r="U80" i="2"/>
  <c r="U72" i="2"/>
  <c r="U77" i="2"/>
  <c r="U74" i="2"/>
  <c r="U76" i="2"/>
  <c r="N29" i="34"/>
  <c r="O29" i="34" s="1"/>
  <c r="P29" i="34" s="1"/>
  <c r="Q29" i="34" s="1"/>
  <c r="R29" i="34" s="1"/>
  <c r="S29" i="34" s="1"/>
  <c r="S28" i="34" s="1"/>
  <c r="T85" i="3"/>
  <c r="T84" i="3"/>
  <c r="T86" i="3"/>
  <c r="O53" i="3"/>
  <c r="D22" i="34"/>
  <c r="E22" i="34"/>
  <c r="F22" i="34"/>
  <c r="G22" i="34"/>
  <c r="H22" i="34"/>
  <c r="I22" i="34"/>
  <c r="C22" i="34"/>
  <c r="D21" i="34"/>
  <c r="E21" i="34"/>
  <c r="F21" i="34"/>
  <c r="G21" i="34"/>
  <c r="H21" i="34"/>
  <c r="I21" i="34"/>
  <c r="C21" i="34"/>
  <c r="C20" i="34"/>
  <c r="D20" i="34"/>
  <c r="E20" i="34"/>
  <c r="F20" i="34"/>
  <c r="G20" i="34"/>
  <c r="H20" i="34"/>
  <c r="I20" i="34"/>
  <c r="J24" i="34"/>
  <c r="K24" i="34"/>
  <c r="L24" i="34"/>
  <c r="M24" i="34"/>
  <c r="N24" i="34"/>
  <c r="O24" i="34"/>
  <c r="P24" i="34"/>
  <c r="Q24" i="34"/>
  <c r="R24" i="34"/>
  <c r="S24" i="34"/>
  <c r="J26" i="34"/>
  <c r="K26" i="34"/>
  <c r="K8" i="34" s="1"/>
  <c r="L26" i="34"/>
  <c r="L8" i="34" s="1"/>
  <c r="M26" i="34"/>
  <c r="M8" i="34" s="1"/>
  <c r="N26" i="34"/>
  <c r="N8" i="34" s="1"/>
  <c r="O26" i="34"/>
  <c r="O8" i="34" s="1"/>
  <c r="P26" i="34"/>
  <c r="P8" i="34" s="1"/>
  <c r="Q26" i="34"/>
  <c r="Q8" i="34" s="1"/>
  <c r="R26" i="34"/>
  <c r="R8" i="34" s="1"/>
  <c r="S26" i="34"/>
  <c r="S8" i="34" s="1"/>
  <c r="R28" i="34"/>
  <c r="Q28" i="34"/>
  <c r="P28" i="34"/>
  <c r="O28" i="34"/>
  <c r="N28" i="34"/>
  <c r="M28" i="34"/>
  <c r="L28" i="34"/>
  <c r="K28" i="34"/>
  <c r="J28" i="34"/>
  <c r="E40" i="34"/>
  <c r="F40" i="34"/>
  <c r="G40" i="34"/>
  <c r="H40" i="34"/>
  <c r="I40" i="34"/>
  <c r="J40" i="34"/>
  <c r="K40" i="34"/>
  <c r="L40" i="34"/>
  <c r="M40" i="34"/>
  <c r="N40" i="34"/>
  <c r="O40" i="34"/>
  <c r="P40" i="34"/>
  <c r="Q40" i="34"/>
  <c r="R40" i="34"/>
  <c r="S40" i="34"/>
  <c r="D40" i="34"/>
  <c r="J23" i="2"/>
  <c r="E16" i="28"/>
  <c r="F16" i="28"/>
  <c r="G16" i="28"/>
  <c r="H16" i="28"/>
  <c r="I16" i="28"/>
  <c r="D16" i="28"/>
  <c r="G42" i="5"/>
  <c r="H42" i="5"/>
  <c r="I42" i="5"/>
  <c r="J42" i="5"/>
  <c r="K42" i="5"/>
  <c r="S35" i="2"/>
  <c r="S24" i="2" s="1"/>
  <c r="R35" i="2"/>
  <c r="R24" i="2" s="1"/>
  <c r="Q35" i="2"/>
  <c r="Q24" i="2" s="1"/>
  <c r="P35" i="2"/>
  <c r="P24" i="2" s="1"/>
  <c r="O35" i="2"/>
  <c r="O24" i="2" s="1"/>
  <c r="N35" i="2"/>
  <c r="N24" i="2" s="1"/>
  <c r="M35" i="2"/>
  <c r="M24" i="2" s="1"/>
  <c r="L35" i="2"/>
  <c r="L24" i="2" s="1"/>
  <c r="K35" i="2"/>
  <c r="K24" i="2" s="1"/>
  <c r="J35" i="2"/>
  <c r="J24" i="2" s="1"/>
  <c r="K31" i="2"/>
  <c r="K23" i="2" s="1"/>
  <c r="L31" i="2"/>
  <c r="L23" i="2" s="1"/>
  <c r="M31" i="2"/>
  <c r="M23" i="2" s="1"/>
  <c r="N31" i="2"/>
  <c r="N23" i="2" s="1"/>
  <c r="O31" i="2"/>
  <c r="O23" i="2" s="1"/>
  <c r="P31" i="2"/>
  <c r="P23" i="2" s="1"/>
  <c r="Q31" i="2"/>
  <c r="Q23" i="2" s="1"/>
  <c r="R31" i="2"/>
  <c r="R23" i="2" s="1"/>
  <c r="S31" i="2"/>
  <c r="S23" i="2" s="1"/>
  <c r="S33" i="2"/>
  <c r="R33" i="2"/>
  <c r="Q33" i="2"/>
  <c r="P33" i="2"/>
  <c r="O33" i="2"/>
  <c r="N33" i="2"/>
  <c r="M33" i="2"/>
  <c r="L33" i="2"/>
  <c r="K33" i="2"/>
  <c r="J33" i="2"/>
  <c r="K29" i="2"/>
  <c r="L29" i="2"/>
  <c r="M29" i="2"/>
  <c r="N29" i="2"/>
  <c r="O29" i="2"/>
  <c r="P29" i="2"/>
  <c r="Q29" i="2"/>
  <c r="R29" i="2"/>
  <c r="S29" i="2"/>
  <c r="J29" i="2"/>
  <c r="F132" i="3"/>
  <c r="G132" i="3"/>
  <c r="H132" i="3"/>
  <c r="I132" i="3"/>
  <c r="F133" i="3"/>
  <c r="G133" i="3"/>
  <c r="H133" i="3"/>
  <c r="I133" i="3"/>
  <c r="F134" i="3"/>
  <c r="G134" i="3"/>
  <c r="H134" i="3"/>
  <c r="I134" i="3"/>
  <c r="F135" i="3"/>
  <c r="G135" i="3"/>
  <c r="H135" i="3"/>
  <c r="I135" i="3"/>
  <c r="F136" i="3"/>
  <c r="G136" i="3"/>
  <c r="H136" i="3"/>
  <c r="I136" i="3"/>
  <c r="F137" i="3"/>
  <c r="G137" i="3"/>
  <c r="H137" i="3"/>
  <c r="I137" i="3"/>
  <c r="F138" i="3"/>
  <c r="G138" i="3"/>
  <c r="H138" i="3"/>
  <c r="I138" i="3"/>
  <c r="F139" i="3"/>
  <c r="G139" i="3"/>
  <c r="H139" i="3"/>
  <c r="I139" i="3"/>
  <c r="F140" i="3"/>
  <c r="G140" i="3"/>
  <c r="H140" i="3"/>
  <c r="I140" i="3"/>
  <c r="F141" i="3"/>
  <c r="G141" i="3"/>
  <c r="H141" i="3"/>
  <c r="I141" i="3"/>
  <c r="F142" i="3"/>
  <c r="G142" i="3"/>
  <c r="H142" i="3"/>
  <c r="I142" i="3"/>
  <c r="F145" i="3"/>
  <c r="G145" i="3"/>
  <c r="H145" i="3"/>
  <c r="I145" i="3"/>
  <c r="F146" i="3"/>
  <c r="G146" i="3"/>
  <c r="H146" i="3"/>
  <c r="I146" i="3"/>
  <c r="F147" i="3"/>
  <c r="G147" i="3"/>
  <c r="H147" i="3"/>
  <c r="I147" i="3"/>
  <c r="F149" i="3"/>
  <c r="G149" i="3"/>
  <c r="H149" i="3"/>
  <c r="I149" i="3"/>
  <c r="F150" i="3"/>
  <c r="G150" i="3"/>
  <c r="H150" i="3"/>
  <c r="I150" i="3"/>
  <c r="F151" i="3"/>
  <c r="G151" i="3"/>
  <c r="H151" i="3"/>
  <c r="I151" i="3"/>
  <c r="F152" i="3"/>
  <c r="G152" i="3"/>
  <c r="H152" i="3"/>
  <c r="I152" i="3"/>
  <c r="F153" i="3"/>
  <c r="G153" i="3"/>
  <c r="H153" i="3"/>
  <c r="I153" i="3"/>
  <c r="I154" i="3"/>
  <c r="F155" i="3"/>
  <c r="G155" i="3"/>
  <c r="H155" i="3"/>
  <c r="I155" i="3"/>
  <c r="F156" i="3"/>
  <c r="G156" i="3"/>
  <c r="H156" i="3"/>
  <c r="I156" i="3"/>
  <c r="F157" i="3"/>
  <c r="G157" i="3"/>
  <c r="H157" i="3"/>
  <c r="I157" i="3"/>
  <c r="F158" i="3"/>
  <c r="G158" i="3"/>
  <c r="H158" i="3"/>
  <c r="I158" i="3"/>
  <c r="F161" i="3"/>
  <c r="G161" i="3"/>
  <c r="H161" i="3"/>
  <c r="I161" i="3"/>
  <c r="F162" i="3"/>
  <c r="G162" i="3"/>
  <c r="H162" i="3"/>
  <c r="I162" i="3"/>
  <c r="F163" i="3"/>
  <c r="G163" i="3"/>
  <c r="F164" i="3"/>
  <c r="G164" i="3"/>
  <c r="H164" i="3"/>
  <c r="I164" i="3"/>
  <c r="F165" i="3"/>
  <c r="G165" i="3"/>
  <c r="H165" i="3"/>
  <c r="I165" i="3"/>
  <c r="F166" i="3"/>
  <c r="G166" i="3"/>
  <c r="H166" i="3"/>
  <c r="I166" i="3"/>
  <c r="E133" i="3"/>
  <c r="E134" i="3"/>
  <c r="E135" i="3"/>
  <c r="E136" i="3"/>
  <c r="E137" i="3"/>
  <c r="E138" i="3"/>
  <c r="E139" i="3"/>
  <c r="E140" i="3"/>
  <c r="E141" i="3"/>
  <c r="E142" i="3"/>
  <c r="E145" i="3"/>
  <c r="E146" i="3"/>
  <c r="E147" i="3"/>
  <c r="E149" i="3"/>
  <c r="E150" i="3"/>
  <c r="E151" i="3"/>
  <c r="E152" i="3"/>
  <c r="E153" i="3"/>
  <c r="E155" i="3"/>
  <c r="E156" i="3"/>
  <c r="E157" i="3"/>
  <c r="E158" i="3"/>
  <c r="E161" i="3"/>
  <c r="E162" i="3"/>
  <c r="E163" i="3"/>
  <c r="E164" i="3"/>
  <c r="E165" i="3"/>
  <c r="E166" i="3"/>
  <c r="E132" i="3"/>
  <c r="D123" i="3"/>
  <c r="E123" i="3"/>
  <c r="F123" i="3"/>
  <c r="G123" i="3"/>
  <c r="H123" i="3"/>
  <c r="I123" i="3"/>
  <c r="D108" i="3"/>
  <c r="E108" i="3"/>
  <c r="F108" i="3"/>
  <c r="G108" i="3"/>
  <c r="H108" i="3"/>
  <c r="I108" i="3"/>
  <c r="D109" i="3"/>
  <c r="E109" i="3"/>
  <c r="F109" i="3"/>
  <c r="G109" i="3"/>
  <c r="H109" i="3"/>
  <c r="I109" i="3"/>
  <c r="D110" i="3"/>
  <c r="E110" i="3"/>
  <c r="F110" i="3"/>
  <c r="G110" i="3"/>
  <c r="H110" i="3"/>
  <c r="I110" i="3"/>
  <c r="D111" i="3"/>
  <c r="E111" i="3"/>
  <c r="F111" i="3"/>
  <c r="G111" i="3"/>
  <c r="H111" i="3"/>
  <c r="I111" i="3"/>
  <c r="D112" i="3"/>
  <c r="E112" i="3"/>
  <c r="F112" i="3"/>
  <c r="G112" i="3"/>
  <c r="H112" i="3"/>
  <c r="I112" i="3"/>
  <c r="D113" i="3"/>
  <c r="E113" i="3"/>
  <c r="F113" i="3"/>
  <c r="G113" i="3"/>
  <c r="H113" i="3"/>
  <c r="I113" i="3"/>
  <c r="D114" i="3"/>
  <c r="E114" i="3"/>
  <c r="F114" i="3"/>
  <c r="G114" i="3"/>
  <c r="H114" i="3"/>
  <c r="I114" i="3"/>
  <c r="D115" i="3"/>
  <c r="E115" i="3"/>
  <c r="F115" i="3"/>
  <c r="G115" i="3"/>
  <c r="H115" i="3"/>
  <c r="I115" i="3"/>
  <c r="D117" i="3"/>
  <c r="E117" i="3"/>
  <c r="F117" i="3"/>
  <c r="G117" i="3"/>
  <c r="H117" i="3"/>
  <c r="I117" i="3"/>
  <c r="D118" i="3"/>
  <c r="E118" i="3"/>
  <c r="F118" i="3"/>
  <c r="G118" i="3"/>
  <c r="H118" i="3"/>
  <c r="I118" i="3"/>
  <c r="D119" i="3"/>
  <c r="E119" i="3"/>
  <c r="F119" i="3"/>
  <c r="G119" i="3"/>
  <c r="H119" i="3"/>
  <c r="I119" i="3"/>
  <c r="D120" i="3"/>
  <c r="E120" i="3"/>
  <c r="F120" i="3"/>
  <c r="G120" i="3"/>
  <c r="H120" i="3"/>
  <c r="I120" i="3"/>
  <c r="D124" i="3"/>
  <c r="E124" i="3"/>
  <c r="F124" i="3"/>
  <c r="G124" i="3"/>
  <c r="H124" i="3"/>
  <c r="I124" i="3"/>
  <c r="D125" i="3"/>
  <c r="E125" i="3"/>
  <c r="F125" i="3"/>
  <c r="G125" i="3"/>
  <c r="H125" i="3"/>
  <c r="I125" i="3"/>
  <c r="D126" i="3"/>
  <c r="E126" i="3"/>
  <c r="F126" i="3"/>
  <c r="G126" i="3"/>
  <c r="H126" i="3"/>
  <c r="I126" i="3"/>
  <c r="D127" i="3"/>
  <c r="E127" i="3"/>
  <c r="F127" i="3"/>
  <c r="G127" i="3"/>
  <c r="H127" i="3"/>
  <c r="I127" i="3"/>
  <c r="D128" i="3"/>
  <c r="E128" i="3"/>
  <c r="F128" i="3"/>
  <c r="G128" i="3"/>
  <c r="H128" i="3"/>
  <c r="I128" i="3"/>
  <c r="E107" i="3"/>
  <c r="F107" i="3"/>
  <c r="G107" i="3"/>
  <c r="H107" i="3"/>
  <c r="I107" i="3"/>
  <c r="D107" i="3"/>
  <c r="D95" i="3"/>
  <c r="E95" i="3"/>
  <c r="F95" i="3"/>
  <c r="G95" i="3"/>
  <c r="H95" i="3"/>
  <c r="I95" i="3"/>
  <c r="D96" i="3"/>
  <c r="E96" i="3"/>
  <c r="F96" i="3"/>
  <c r="G96" i="3"/>
  <c r="H96" i="3"/>
  <c r="I96" i="3"/>
  <c r="D97" i="3"/>
  <c r="E97" i="3"/>
  <c r="F97" i="3"/>
  <c r="G97" i="3"/>
  <c r="H97" i="3"/>
  <c r="I97" i="3"/>
  <c r="D98" i="3"/>
  <c r="E98" i="3"/>
  <c r="F98" i="3"/>
  <c r="G98" i="3"/>
  <c r="H98" i="3"/>
  <c r="I98" i="3"/>
  <c r="D99" i="3"/>
  <c r="E99" i="3"/>
  <c r="F99" i="3"/>
  <c r="G99" i="3"/>
  <c r="H99" i="3"/>
  <c r="I99" i="3"/>
  <c r="D100" i="3"/>
  <c r="E100" i="3"/>
  <c r="F100" i="3"/>
  <c r="G100" i="3"/>
  <c r="H100" i="3"/>
  <c r="I100" i="3"/>
  <c r="D101" i="3"/>
  <c r="E101" i="3"/>
  <c r="F101" i="3"/>
  <c r="G101" i="3"/>
  <c r="H101" i="3"/>
  <c r="I101" i="3"/>
  <c r="D102" i="3"/>
  <c r="E102" i="3"/>
  <c r="F102" i="3"/>
  <c r="G102" i="3"/>
  <c r="H102" i="3"/>
  <c r="I102" i="3"/>
  <c r="D103" i="3"/>
  <c r="E103" i="3"/>
  <c r="F103" i="3"/>
  <c r="G103" i="3"/>
  <c r="H103" i="3"/>
  <c r="I103" i="3"/>
  <c r="D104" i="3"/>
  <c r="E104" i="3"/>
  <c r="F104" i="3"/>
  <c r="G104" i="3"/>
  <c r="H104" i="3"/>
  <c r="I104" i="3"/>
  <c r="E94" i="3"/>
  <c r="F94" i="3"/>
  <c r="G94" i="3"/>
  <c r="H94" i="3"/>
  <c r="I94" i="3"/>
  <c r="E59" i="3"/>
  <c r="F59" i="3"/>
  <c r="G59" i="3"/>
  <c r="H59" i="3"/>
  <c r="I59" i="3"/>
  <c r="E60" i="3"/>
  <c r="F60" i="3"/>
  <c r="G60" i="3"/>
  <c r="H60" i="3"/>
  <c r="I60" i="3"/>
  <c r="E62" i="3"/>
  <c r="F62" i="3"/>
  <c r="G62" i="3"/>
  <c r="H62" i="3"/>
  <c r="I62" i="3"/>
  <c r="I66" i="3"/>
  <c r="I65" i="3"/>
  <c r="K4" i="8" s="1"/>
  <c r="E65" i="2"/>
  <c r="H4" i="32"/>
  <c r="I4" i="32"/>
  <c r="J4" i="32"/>
  <c r="K4" i="32"/>
  <c r="L4" i="32"/>
  <c r="H5" i="32"/>
  <c r="I5" i="32"/>
  <c r="J5" i="32"/>
  <c r="K5" i="32"/>
  <c r="L5" i="32"/>
  <c r="H6" i="32"/>
  <c r="I6" i="32"/>
  <c r="J6" i="32"/>
  <c r="K6" i="32"/>
  <c r="L6" i="32"/>
  <c r="H7" i="32"/>
  <c r="I7" i="32"/>
  <c r="J7" i="32"/>
  <c r="K7" i="32"/>
  <c r="L7" i="32"/>
  <c r="H8" i="32"/>
  <c r="I8" i="32"/>
  <c r="J8" i="32"/>
  <c r="K8" i="32"/>
  <c r="L8" i="32"/>
  <c r="H9" i="32"/>
  <c r="I9" i="32"/>
  <c r="J9" i="32"/>
  <c r="K9" i="32"/>
  <c r="L9" i="32"/>
  <c r="H10" i="32"/>
  <c r="I10" i="32"/>
  <c r="J10" i="32"/>
  <c r="K10" i="32"/>
  <c r="L10" i="32"/>
  <c r="H11" i="32"/>
  <c r="I11" i="32"/>
  <c r="J11" i="32"/>
  <c r="K11" i="32"/>
  <c r="L11" i="32"/>
  <c r="H12" i="32"/>
  <c r="I12" i="32"/>
  <c r="J12" i="32"/>
  <c r="K12" i="32"/>
  <c r="L12" i="32"/>
  <c r="H13" i="32"/>
  <c r="I13" i="32"/>
  <c r="J13" i="32"/>
  <c r="K13" i="32"/>
  <c r="L13" i="32"/>
  <c r="H14" i="32"/>
  <c r="I14" i="32"/>
  <c r="J14" i="32"/>
  <c r="K14" i="32"/>
  <c r="L14" i="32"/>
  <c r="H15" i="32"/>
  <c r="I15" i="32"/>
  <c r="J15" i="32"/>
  <c r="K15" i="32"/>
  <c r="L15" i="32"/>
  <c r="H16" i="32"/>
  <c r="I16" i="32"/>
  <c r="J16" i="32"/>
  <c r="K16" i="32"/>
  <c r="L16" i="32"/>
  <c r="H17" i="32"/>
  <c r="I17" i="32"/>
  <c r="J17" i="32"/>
  <c r="K17" i="32"/>
  <c r="L17" i="32"/>
  <c r="H18" i="32"/>
  <c r="I18" i="32"/>
  <c r="J18" i="32"/>
  <c r="K18" i="32"/>
  <c r="L18" i="32"/>
  <c r="H19" i="32"/>
  <c r="I19" i="32"/>
  <c r="J19" i="32"/>
  <c r="K19" i="32"/>
  <c r="L19" i="32"/>
  <c r="H20" i="32"/>
  <c r="I20" i="32"/>
  <c r="J20" i="32"/>
  <c r="K20" i="32"/>
  <c r="L20" i="32"/>
  <c r="H21" i="32"/>
  <c r="I21" i="32"/>
  <c r="J21" i="32"/>
  <c r="K21" i="32"/>
  <c r="L21" i="32"/>
  <c r="H22" i="32"/>
  <c r="I22" i="32"/>
  <c r="J22" i="32"/>
  <c r="K22" i="32"/>
  <c r="L22" i="32"/>
  <c r="H23" i="32"/>
  <c r="I23" i="32"/>
  <c r="J23" i="32"/>
  <c r="K23" i="32"/>
  <c r="L23" i="32"/>
  <c r="H24" i="32"/>
  <c r="I24" i="32"/>
  <c r="J24" i="32"/>
  <c r="K24" i="32"/>
  <c r="L24" i="32"/>
  <c r="H25" i="32"/>
  <c r="I25" i="32"/>
  <c r="J25" i="32"/>
  <c r="K25" i="32"/>
  <c r="L25" i="32"/>
  <c r="H26" i="32"/>
  <c r="I26" i="32"/>
  <c r="J26" i="32"/>
  <c r="K26" i="32"/>
  <c r="L26" i="32"/>
  <c r="H27" i="32"/>
  <c r="I27" i="32"/>
  <c r="J27" i="32"/>
  <c r="K27" i="32"/>
  <c r="L27" i="32"/>
  <c r="H28" i="32"/>
  <c r="I28" i="32"/>
  <c r="J28" i="32"/>
  <c r="K28" i="32"/>
  <c r="L28" i="32"/>
  <c r="H29" i="32"/>
  <c r="I29" i="32"/>
  <c r="J29" i="32"/>
  <c r="K29" i="32"/>
  <c r="L29" i="32"/>
  <c r="H30" i="32"/>
  <c r="I30" i="32"/>
  <c r="J30" i="32"/>
  <c r="K30" i="32"/>
  <c r="L30" i="32"/>
  <c r="H32" i="32"/>
  <c r="I32" i="32"/>
  <c r="J32" i="32"/>
  <c r="K32" i="32"/>
  <c r="L32" i="32"/>
  <c r="H31" i="32"/>
  <c r="I31" i="32"/>
  <c r="J31" i="32"/>
  <c r="K31" i="32"/>
  <c r="L31" i="32"/>
  <c r="H33" i="32"/>
  <c r="I33" i="32"/>
  <c r="J33" i="32"/>
  <c r="K33" i="32"/>
  <c r="L33" i="32"/>
  <c r="H34" i="32"/>
  <c r="I34" i="32"/>
  <c r="J34" i="32"/>
  <c r="K34" i="32"/>
  <c r="L34" i="32"/>
  <c r="H35" i="32"/>
  <c r="I35" i="32"/>
  <c r="J35" i="32"/>
  <c r="K35" i="32"/>
  <c r="L35" i="32"/>
  <c r="H36" i="32"/>
  <c r="I36" i="32"/>
  <c r="J36" i="32"/>
  <c r="K36" i="32"/>
  <c r="L36" i="32"/>
  <c r="H37" i="32"/>
  <c r="I37" i="32"/>
  <c r="J37" i="32"/>
  <c r="K37" i="32"/>
  <c r="L37" i="32"/>
  <c r="H39" i="32"/>
  <c r="I39" i="32"/>
  <c r="J39" i="32"/>
  <c r="K39" i="32"/>
  <c r="L39" i="32"/>
  <c r="H41" i="32"/>
  <c r="I41" i="32"/>
  <c r="J41" i="32"/>
  <c r="K41" i="32"/>
  <c r="L41" i="32"/>
  <c r="H40" i="32"/>
  <c r="I40" i="32"/>
  <c r="J40" i="32"/>
  <c r="K40" i="32"/>
  <c r="L40" i="32"/>
  <c r="H38" i="32"/>
  <c r="I38" i="32"/>
  <c r="J38" i="32"/>
  <c r="K38" i="32"/>
  <c r="L38" i="32"/>
  <c r="H42" i="32"/>
  <c r="I42" i="32"/>
  <c r="J42" i="32"/>
  <c r="K42" i="32"/>
  <c r="L42" i="32"/>
  <c r="H43" i="32"/>
  <c r="I43" i="32"/>
  <c r="J43" i="32"/>
  <c r="K43" i="32"/>
  <c r="L43" i="32"/>
  <c r="H44" i="32"/>
  <c r="I44" i="32"/>
  <c r="J44" i="32"/>
  <c r="K44" i="32"/>
  <c r="L44" i="32"/>
  <c r="H45" i="32"/>
  <c r="I45" i="32"/>
  <c r="J45" i="32"/>
  <c r="K45" i="32"/>
  <c r="L45" i="32"/>
  <c r="H46" i="32"/>
  <c r="I46" i="32"/>
  <c r="J46" i="32"/>
  <c r="K46" i="32"/>
  <c r="L46" i="32"/>
  <c r="H47" i="32"/>
  <c r="I47" i="32"/>
  <c r="J47" i="32"/>
  <c r="K47" i="32"/>
  <c r="L47" i="32"/>
  <c r="H48" i="32"/>
  <c r="I48" i="32"/>
  <c r="J48" i="32"/>
  <c r="K48" i="32"/>
  <c r="L48" i="32"/>
  <c r="H49" i="32"/>
  <c r="I49" i="32"/>
  <c r="J49" i="32"/>
  <c r="K49" i="32"/>
  <c r="L49" i="32"/>
  <c r="H50" i="32"/>
  <c r="I50" i="32"/>
  <c r="J50" i="32"/>
  <c r="K50" i="32"/>
  <c r="L50" i="32"/>
  <c r="H51" i="32"/>
  <c r="I51" i="32"/>
  <c r="J51" i="32"/>
  <c r="K51" i="32"/>
  <c r="L51" i="32"/>
  <c r="H52" i="32"/>
  <c r="I52" i="32"/>
  <c r="J52" i="32"/>
  <c r="K52" i="32"/>
  <c r="L52" i="32"/>
  <c r="H53" i="32"/>
  <c r="I53" i="32"/>
  <c r="J53" i="32"/>
  <c r="K53" i="32"/>
  <c r="L53" i="32"/>
  <c r="H54" i="32"/>
  <c r="I54" i="32"/>
  <c r="J54" i="32"/>
  <c r="K54" i="32"/>
  <c r="L54" i="32"/>
  <c r="H56" i="32"/>
  <c r="I56" i="32"/>
  <c r="J56" i="32"/>
  <c r="K56" i="32"/>
  <c r="L56" i="32"/>
  <c r="H55" i="32"/>
  <c r="I55" i="32"/>
  <c r="J55" i="32"/>
  <c r="K55" i="32"/>
  <c r="L55" i="32"/>
  <c r="H57" i="32"/>
  <c r="I57" i="32"/>
  <c r="J57" i="32"/>
  <c r="K57" i="32"/>
  <c r="L57" i="32"/>
  <c r="H58" i="32"/>
  <c r="I58" i="32"/>
  <c r="J58" i="32"/>
  <c r="K58" i="32"/>
  <c r="L58" i="32"/>
  <c r="H59" i="32"/>
  <c r="I59" i="32"/>
  <c r="J59" i="32"/>
  <c r="K59" i="32"/>
  <c r="L59" i="32"/>
  <c r="H60" i="32"/>
  <c r="I60" i="32"/>
  <c r="J60" i="32"/>
  <c r="K60" i="32"/>
  <c r="L60" i="32"/>
  <c r="I3" i="32"/>
  <c r="J3" i="32"/>
  <c r="K3" i="32"/>
  <c r="L3" i="32"/>
  <c r="H3" i="32"/>
  <c r="E5" i="28"/>
  <c r="F5" i="28"/>
  <c r="G5" i="28"/>
  <c r="H5" i="28"/>
  <c r="I5" i="28"/>
  <c r="E6" i="28"/>
  <c r="F6" i="28"/>
  <c r="G6" i="28"/>
  <c r="H6" i="28"/>
  <c r="I6" i="28"/>
  <c r="E7" i="28"/>
  <c r="F7" i="28"/>
  <c r="G7" i="28"/>
  <c r="H7" i="28"/>
  <c r="I7" i="28"/>
  <c r="E9" i="28"/>
  <c r="F9" i="28"/>
  <c r="G9" i="28"/>
  <c r="H9" i="28"/>
  <c r="I9" i="28"/>
  <c r="E11" i="28"/>
  <c r="F11" i="28"/>
  <c r="G11" i="28"/>
  <c r="H11" i="28"/>
  <c r="I11" i="28"/>
  <c r="E12" i="28"/>
  <c r="F12" i="28"/>
  <c r="G12" i="28"/>
  <c r="H12" i="28"/>
  <c r="I12" i="28"/>
  <c r="E14" i="28"/>
  <c r="F14" i="28"/>
  <c r="G14" i="28"/>
  <c r="H14" i="28"/>
  <c r="I14" i="28"/>
  <c r="E15" i="28"/>
  <c r="F15" i="28"/>
  <c r="G15" i="28"/>
  <c r="H15" i="28"/>
  <c r="I15" i="28"/>
  <c r="E17" i="28"/>
  <c r="F17" i="28"/>
  <c r="G17" i="28"/>
  <c r="H17" i="28"/>
  <c r="I17" i="28"/>
  <c r="H18" i="28"/>
  <c r="I18" i="28"/>
  <c r="H19" i="28"/>
  <c r="I19" i="28"/>
  <c r="E20" i="28"/>
  <c r="F20" i="28"/>
  <c r="G20" i="28"/>
  <c r="H20" i="28"/>
  <c r="I20" i="28"/>
  <c r="E24" i="28"/>
  <c r="F24" i="28"/>
  <c r="G24" i="28"/>
  <c r="H24" i="28"/>
  <c r="I24" i="28"/>
  <c r="E25" i="28"/>
  <c r="E28" i="28" s="1"/>
  <c r="F25" i="28"/>
  <c r="F28" i="28" s="1"/>
  <c r="G25" i="28"/>
  <c r="G28" i="28" s="1"/>
  <c r="H25" i="28"/>
  <c r="H28" i="28" s="1"/>
  <c r="I25" i="28"/>
  <c r="I28" i="28" s="1"/>
  <c r="E26" i="28"/>
  <c r="E29" i="28" s="1"/>
  <c r="F26" i="28"/>
  <c r="F29" i="28" s="1"/>
  <c r="G26" i="28"/>
  <c r="G29" i="28" s="1"/>
  <c r="H26" i="28"/>
  <c r="H29" i="28" s="1"/>
  <c r="I26" i="28"/>
  <c r="I29" i="28" s="1"/>
  <c r="E27" i="28"/>
  <c r="E30" i="28" s="1"/>
  <c r="F27" i="28"/>
  <c r="F30" i="28" s="1"/>
  <c r="G27" i="28"/>
  <c r="G30" i="28" s="1"/>
  <c r="H27" i="28"/>
  <c r="H30" i="28" s="1"/>
  <c r="I27" i="28"/>
  <c r="I30" i="28" s="1"/>
  <c r="D26" i="28"/>
  <c r="D29" i="28" s="1"/>
  <c r="D27" i="28"/>
  <c r="D30" i="28" s="1"/>
  <c r="D25" i="28"/>
  <c r="D28" i="28" s="1"/>
  <c r="D24" i="28"/>
  <c r="D20" i="28"/>
  <c r="C20" i="28"/>
  <c r="D17" i="28"/>
  <c r="D15" i="28"/>
  <c r="D14" i="28"/>
  <c r="D12" i="28"/>
  <c r="D11" i="28"/>
  <c r="D5" i="28"/>
  <c r="D6" i="28"/>
  <c r="D7" i="28"/>
  <c r="D9" i="28"/>
  <c r="C7" i="28"/>
  <c r="C8" i="28" s="1"/>
  <c r="C6" i="28"/>
  <c r="C5" i="28"/>
  <c r="D4" i="28"/>
  <c r="E4" i="28"/>
  <c r="F4" i="28"/>
  <c r="G4" i="28"/>
  <c r="H4" i="28"/>
  <c r="I4" i="28"/>
  <c r="C4" i="28"/>
  <c r="I201" i="29"/>
  <c r="I36" i="29"/>
  <c r="J36" i="29"/>
  <c r="K36" i="29"/>
  <c r="L36" i="29"/>
  <c r="M36" i="29"/>
  <c r="I37" i="29"/>
  <c r="J37" i="29"/>
  <c r="K37" i="29"/>
  <c r="L37" i="29"/>
  <c r="M37" i="29"/>
  <c r="I38" i="29"/>
  <c r="J38" i="29"/>
  <c r="K38" i="29"/>
  <c r="L38" i="29"/>
  <c r="M38" i="29"/>
  <c r="I39" i="29"/>
  <c r="J39" i="29"/>
  <c r="K39" i="29"/>
  <c r="L39" i="29"/>
  <c r="M39" i="29"/>
  <c r="I40" i="29"/>
  <c r="J40" i="29"/>
  <c r="K40" i="29"/>
  <c r="L40" i="29"/>
  <c r="M40" i="29"/>
  <c r="I41" i="29"/>
  <c r="J41" i="29"/>
  <c r="K41" i="29"/>
  <c r="L41" i="29"/>
  <c r="M41" i="29"/>
  <c r="I42" i="29"/>
  <c r="J42" i="29"/>
  <c r="K42" i="29"/>
  <c r="L42" i="29"/>
  <c r="M42" i="29"/>
  <c r="I43" i="29"/>
  <c r="J43" i="29"/>
  <c r="K43" i="29"/>
  <c r="L43" i="29"/>
  <c r="M43" i="29"/>
  <c r="I44" i="29"/>
  <c r="J44" i="29"/>
  <c r="K44" i="29"/>
  <c r="L44" i="29"/>
  <c r="M44" i="29"/>
  <c r="I45" i="29"/>
  <c r="J45" i="29"/>
  <c r="K45" i="29"/>
  <c r="L45" i="29"/>
  <c r="M45" i="29"/>
  <c r="I46" i="29"/>
  <c r="J46" i="29"/>
  <c r="K46" i="29"/>
  <c r="L46" i="29"/>
  <c r="M46" i="29"/>
  <c r="I47" i="29"/>
  <c r="J47" i="29"/>
  <c r="K47" i="29"/>
  <c r="L47" i="29"/>
  <c r="M47" i="29"/>
  <c r="I48" i="29"/>
  <c r="J48" i="29"/>
  <c r="K48" i="29"/>
  <c r="L48" i="29"/>
  <c r="M48" i="29"/>
  <c r="I49" i="29"/>
  <c r="J49" i="29"/>
  <c r="K49" i="29"/>
  <c r="L49" i="29"/>
  <c r="M49" i="29"/>
  <c r="I50" i="29"/>
  <c r="J50" i="29"/>
  <c r="K50" i="29"/>
  <c r="L50" i="29"/>
  <c r="M50" i="29"/>
  <c r="I51" i="29"/>
  <c r="J51" i="29"/>
  <c r="K51" i="29"/>
  <c r="L51" i="29"/>
  <c r="M51" i="29"/>
  <c r="I52" i="29"/>
  <c r="J52" i="29"/>
  <c r="K52" i="29"/>
  <c r="L52" i="29"/>
  <c r="M52" i="29"/>
  <c r="I53" i="29"/>
  <c r="J53" i="29"/>
  <c r="K53" i="29"/>
  <c r="L53" i="29"/>
  <c r="M53" i="29"/>
  <c r="I54" i="29"/>
  <c r="J54" i="29"/>
  <c r="K54" i="29"/>
  <c r="L54" i="29"/>
  <c r="M54" i="29"/>
  <c r="I55" i="29"/>
  <c r="J55" i="29"/>
  <c r="K55" i="29"/>
  <c r="L55" i="29"/>
  <c r="M55" i="29"/>
  <c r="I56" i="29"/>
  <c r="J56" i="29"/>
  <c r="K56" i="29"/>
  <c r="L56" i="29"/>
  <c r="M56" i="29"/>
  <c r="I57" i="29"/>
  <c r="J57" i="29"/>
  <c r="K57" i="29"/>
  <c r="L57" i="29"/>
  <c r="M57" i="29"/>
  <c r="I58" i="29"/>
  <c r="J58" i="29"/>
  <c r="K58" i="29"/>
  <c r="L58" i="29"/>
  <c r="M58" i="29"/>
  <c r="I59" i="29"/>
  <c r="J59" i="29"/>
  <c r="K59" i="29"/>
  <c r="L59" i="29"/>
  <c r="M59" i="29"/>
  <c r="I60" i="29"/>
  <c r="J60" i="29"/>
  <c r="K60" i="29"/>
  <c r="L60" i="29"/>
  <c r="M60" i="29"/>
  <c r="I61" i="29"/>
  <c r="J61" i="29"/>
  <c r="K61" i="29"/>
  <c r="L61" i="29"/>
  <c r="M61" i="29"/>
  <c r="I62" i="29"/>
  <c r="J62" i="29"/>
  <c r="K62" i="29"/>
  <c r="L62" i="29"/>
  <c r="M62" i="29"/>
  <c r="I63" i="29"/>
  <c r="J63" i="29"/>
  <c r="K63" i="29"/>
  <c r="L63" i="29"/>
  <c r="M63" i="29"/>
  <c r="I64" i="29"/>
  <c r="J64" i="29"/>
  <c r="K64" i="29"/>
  <c r="L64" i="29"/>
  <c r="M64" i="29"/>
  <c r="I65" i="29"/>
  <c r="J65" i="29"/>
  <c r="K65" i="29"/>
  <c r="L65" i="29"/>
  <c r="M65" i="29"/>
  <c r="I66" i="29"/>
  <c r="J66" i="29"/>
  <c r="K66" i="29"/>
  <c r="L66" i="29"/>
  <c r="M66" i="29"/>
  <c r="I67" i="29"/>
  <c r="J67" i="29"/>
  <c r="K67" i="29"/>
  <c r="L67" i="29"/>
  <c r="M67" i="29"/>
  <c r="I68" i="29"/>
  <c r="J68" i="29"/>
  <c r="K68" i="29"/>
  <c r="L68" i="29"/>
  <c r="M68" i="29"/>
  <c r="I69" i="29"/>
  <c r="J69" i="29"/>
  <c r="K69" i="29"/>
  <c r="L69" i="29"/>
  <c r="M69" i="29"/>
  <c r="I70" i="29"/>
  <c r="J70" i="29"/>
  <c r="K70" i="29"/>
  <c r="L70" i="29"/>
  <c r="M70" i="29"/>
  <c r="I71" i="29"/>
  <c r="J71" i="29"/>
  <c r="K71" i="29"/>
  <c r="L71" i="29"/>
  <c r="M71" i="29"/>
  <c r="I72" i="29"/>
  <c r="J72" i="29"/>
  <c r="K72" i="29"/>
  <c r="L72" i="29"/>
  <c r="M72" i="29"/>
  <c r="I73" i="29"/>
  <c r="J73" i="29"/>
  <c r="K73" i="29"/>
  <c r="L73" i="29"/>
  <c r="M73" i="29"/>
  <c r="I74" i="29"/>
  <c r="J74" i="29"/>
  <c r="K74" i="29"/>
  <c r="L74" i="29"/>
  <c r="M74" i="29"/>
  <c r="I75" i="29"/>
  <c r="J75" i="29"/>
  <c r="K75" i="29"/>
  <c r="L75" i="29"/>
  <c r="M75" i="29"/>
  <c r="I76" i="29"/>
  <c r="J76" i="29"/>
  <c r="K76" i="29"/>
  <c r="L76" i="29"/>
  <c r="M76" i="29"/>
  <c r="I77" i="29"/>
  <c r="J77" i="29"/>
  <c r="K77" i="29"/>
  <c r="L77" i="29"/>
  <c r="M77" i="29"/>
  <c r="I78" i="29"/>
  <c r="J78" i="29"/>
  <c r="K78" i="29"/>
  <c r="L78" i="29"/>
  <c r="M78" i="29"/>
  <c r="I79" i="29"/>
  <c r="J79" i="29"/>
  <c r="K79" i="29"/>
  <c r="L79" i="29"/>
  <c r="M79" i="29"/>
  <c r="I80" i="29"/>
  <c r="J80" i="29"/>
  <c r="K80" i="29"/>
  <c r="L80" i="29"/>
  <c r="M80" i="29"/>
  <c r="I81" i="29"/>
  <c r="J81" i="29"/>
  <c r="K81" i="29"/>
  <c r="L81" i="29"/>
  <c r="M81" i="29"/>
  <c r="I82" i="29"/>
  <c r="J82" i="29"/>
  <c r="K82" i="29"/>
  <c r="L82" i="29"/>
  <c r="M82" i="29"/>
  <c r="I83" i="29"/>
  <c r="J83" i="29"/>
  <c r="K83" i="29"/>
  <c r="L83" i="29"/>
  <c r="M83" i="29"/>
  <c r="I84" i="29"/>
  <c r="J84" i="29"/>
  <c r="K84" i="29"/>
  <c r="L84" i="29"/>
  <c r="M84" i="29"/>
  <c r="I85" i="29"/>
  <c r="J85" i="29"/>
  <c r="K85" i="29"/>
  <c r="L85" i="29"/>
  <c r="M85" i="29"/>
  <c r="I86" i="29"/>
  <c r="J86" i="29"/>
  <c r="K86" i="29"/>
  <c r="L86" i="29"/>
  <c r="M86" i="29"/>
  <c r="I87" i="29"/>
  <c r="J87" i="29"/>
  <c r="K87" i="29"/>
  <c r="L87" i="29"/>
  <c r="M87" i="29"/>
  <c r="I88" i="29"/>
  <c r="J88" i="29"/>
  <c r="K88" i="29"/>
  <c r="L88" i="29"/>
  <c r="M88" i="29"/>
  <c r="I89" i="29"/>
  <c r="J89" i="29"/>
  <c r="K89" i="29"/>
  <c r="L89" i="29"/>
  <c r="M89" i="29"/>
  <c r="I90" i="29"/>
  <c r="J90" i="29"/>
  <c r="K90" i="29"/>
  <c r="L90" i="29"/>
  <c r="M90" i="29"/>
  <c r="I91" i="29"/>
  <c r="J91" i="29"/>
  <c r="K91" i="29"/>
  <c r="L91" i="29"/>
  <c r="M91" i="29"/>
  <c r="I92" i="29"/>
  <c r="J92" i="29"/>
  <c r="K92" i="29"/>
  <c r="L92" i="29"/>
  <c r="M92" i="29"/>
  <c r="I93" i="29"/>
  <c r="J93" i="29"/>
  <c r="K93" i="29"/>
  <c r="L93" i="29"/>
  <c r="M93" i="29"/>
  <c r="I94" i="29"/>
  <c r="J94" i="29"/>
  <c r="K94" i="29"/>
  <c r="L94" i="29"/>
  <c r="M94" i="29"/>
  <c r="I95" i="29"/>
  <c r="J95" i="29"/>
  <c r="K95" i="29"/>
  <c r="L95" i="29"/>
  <c r="M95" i="29"/>
  <c r="I96" i="29"/>
  <c r="J96" i="29"/>
  <c r="K96" i="29"/>
  <c r="L96" i="29"/>
  <c r="M96" i="29"/>
  <c r="I97" i="29"/>
  <c r="J97" i="29"/>
  <c r="K97" i="29"/>
  <c r="L97" i="29"/>
  <c r="M97" i="29"/>
  <c r="I98" i="29"/>
  <c r="J98" i="29"/>
  <c r="K98" i="29"/>
  <c r="L98" i="29"/>
  <c r="M98" i="29"/>
  <c r="I99" i="29"/>
  <c r="J99" i="29"/>
  <c r="K99" i="29"/>
  <c r="L99" i="29"/>
  <c r="M99" i="29"/>
  <c r="I100" i="29"/>
  <c r="J100" i="29"/>
  <c r="K100" i="29"/>
  <c r="L100" i="29"/>
  <c r="M100" i="29"/>
  <c r="I101" i="29"/>
  <c r="J101" i="29"/>
  <c r="K101" i="29"/>
  <c r="L101" i="29"/>
  <c r="M101" i="29"/>
  <c r="I102" i="29"/>
  <c r="J102" i="29"/>
  <c r="K102" i="29"/>
  <c r="L102" i="29"/>
  <c r="M102" i="29"/>
  <c r="I103" i="29"/>
  <c r="J103" i="29"/>
  <c r="K103" i="29"/>
  <c r="L103" i="29"/>
  <c r="M103" i="29"/>
  <c r="I104" i="29"/>
  <c r="J104" i="29"/>
  <c r="K104" i="29"/>
  <c r="L104" i="29"/>
  <c r="M104" i="29"/>
  <c r="I105" i="29"/>
  <c r="J105" i="29"/>
  <c r="K105" i="29"/>
  <c r="L105" i="29"/>
  <c r="M105" i="29"/>
  <c r="I106" i="29"/>
  <c r="J106" i="29"/>
  <c r="K106" i="29"/>
  <c r="L106" i="29"/>
  <c r="M106" i="29"/>
  <c r="I107" i="29"/>
  <c r="J107" i="29"/>
  <c r="K107" i="29"/>
  <c r="L107" i="29"/>
  <c r="M107" i="29"/>
  <c r="I108" i="29"/>
  <c r="J108" i="29"/>
  <c r="K108" i="29"/>
  <c r="L108" i="29"/>
  <c r="M108" i="29"/>
  <c r="I109" i="29"/>
  <c r="J109" i="29"/>
  <c r="K109" i="29"/>
  <c r="L109" i="29"/>
  <c r="M109" i="29"/>
  <c r="I110" i="29"/>
  <c r="J110" i="29"/>
  <c r="K110" i="29"/>
  <c r="L110" i="29"/>
  <c r="M110" i="29"/>
  <c r="I111" i="29"/>
  <c r="J111" i="29"/>
  <c r="K111" i="29"/>
  <c r="L111" i="29"/>
  <c r="M111" i="29"/>
  <c r="I112" i="29"/>
  <c r="J112" i="29"/>
  <c r="K112" i="29"/>
  <c r="L112" i="29"/>
  <c r="M112" i="29"/>
  <c r="I113" i="29"/>
  <c r="J113" i="29"/>
  <c r="K113" i="29"/>
  <c r="L113" i="29"/>
  <c r="M113" i="29"/>
  <c r="I114" i="29"/>
  <c r="J114" i="29"/>
  <c r="K114" i="29"/>
  <c r="L114" i="29"/>
  <c r="M114" i="29"/>
  <c r="I115" i="29"/>
  <c r="J115" i="29"/>
  <c r="K115" i="29"/>
  <c r="L115" i="29"/>
  <c r="M115" i="29"/>
  <c r="I116" i="29"/>
  <c r="J116" i="29"/>
  <c r="K116" i="29"/>
  <c r="L116" i="29"/>
  <c r="M116" i="29"/>
  <c r="I117" i="29"/>
  <c r="J117" i="29"/>
  <c r="K117" i="29"/>
  <c r="L117" i="29"/>
  <c r="M117" i="29"/>
  <c r="I118" i="29"/>
  <c r="J118" i="29"/>
  <c r="K118" i="29"/>
  <c r="L118" i="29"/>
  <c r="M118" i="29"/>
  <c r="I119" i="29"/>
  <c r="J119" i="29"/>
  <c r="K119" i="29"/>
  <c r="L119" i="29"/>
  <c r="M119" i="29"/>
  <c r="I120" i="29"/>
  <c r="J120" i="29"/>
  <c r="K120" i="29"/>
  <c r="L120" i="29"/>
  <c r="M120" i="29"/>
  <c r="I121" i="29"/>
  <c r="J121" i="29"/>
  <c r="K121" i="29"/>
  <c r="L121" i="29"/>
  <c r="M121" i="29"/>
  <c r="I122" i="29"/>
  <c r="J122" i="29"/>
  <c r="K122" i="29"/>
  <c r="L122" i="29"/>
  <c r="M122" i="29"/>
  <c r="I123" i="29"/>
  <c r="J123" i="29"/>
  <c r="K123" i="29"/>
  <c r="L123" i="29"/>
  <c r="M123" i="29"/>
  <c r="I124" i="29"/>
  <c r="J124" i="29"/>
  <c r="K124" i="29"/>
  <c r="L124" i="29"/>
  <c r="M124" i="29"/>
  <c r="I125" i="29"/>
  <c r="J125" i="29"/>
  <c r="K125" i="29"/>
  <c r="L125" i="29"/>
  <c r="M125" i="29"/>
  <c r="I126" i="29"/>
  <c r="J126" i="29"/>
  <c r="K126" i="29"/>
  <c r="L126" i="29"/>
  <c r="M126" i="29"/>
  <c r="I127" i="29"/>
  <c r="J127" i="29"/>
  <c r="K127" i="29"/>
  <c r="L127" i="29"/>
  <c r="M127" i="29"/>
  <c r="I128" i="29"/>
  <c r="J128" i="29"/>
  <c r="K128" i="29"/>
  <c r="L128" i="29"/>
  <c r="M128" i="29"/>
  <c r="I129" i="29"/>
  <c r="J129" i="29"/>
  <c r="K129" i="29"/>
  <c r="L129" i="29"/>
  <c r="M129" i="29"/>
  <c r="I130" i="29"/>
  <c r="J130" i="29"/>
  <c r="K130" i="29"/>
  <c r="L130" i="29"/>
  <c r="M130" i="29"/>
  <c r="I131" i="29"/>
  <c r="J131" i="29"/>
  <c r="K131" i="29"/>
  <c r="L131" i="29"/>
  <c r="M131" i="29"/>
  <c r="I132" i="29"/>
  <c r="J132" i="29"/>
  <c r="K132" i="29"/>
  <c r="L132" i="29"/>
  <c r="M132" i="29"/>
  <c r="I133" i="29"/>
  <c r="J133" i="29"/>
  <c r="K133" i="29"/>
  <c r="L133" i="29"/>
  <c r="M133" i="29"/>
  <c r="I134" i="29"/>
  <c r="J134" i="29"/>
  <c r="K134" i="29"/>
  <c r="L134" i="29"/>
  <c r="M134" i="29"/>
  <c r="I135" i="29"/>
  <c r="J135" i="29"/>
  <c r="K135" i="29"/>
  <c r="L135" i="29"/>
  <c r="M135" i="29"/>
  <c r="I136" i="29"/>
  <c r="J136" i="29"/>
  <c r="K136" i="29"/>
  <c r="L136" i="29"/>
  <c r="M136" i="29"/>
  <c r="I137" i="29"/>
  <c r="J137" i="29"/>
  <c r="K137" i="29"/>
  <c r="L137" i="29"/>
  <c r="M137" i="29"/>
  <c r="I138" i="29"/>
  <c r="J138" i="29"/>
  <c r="K138" i="29"/>
  <c r="L138" i="29"/>
  <c r="M138" i="29"/>
  <c r="I139" i="29"/>
  <c r="J139" i="29"/>
  <c r="K139" i="29"/>
  <c r="L139" i="29"/>
  <c r="M139" i="29"/>
  <c r="I140" i="29"/>
  <c r="J140" i="29"/>
  <c r="K140" i="29"/>
  <c r="L140" i="29"/>
  <c r="M140" i="29"/>
  <c r="I141" i="29"/>
  <c r="J141" i="29"/>
  <c r="K141" i="29"/>
  <c r="L141" i="29"/>
  <c r="M141" i="29"/>
  <c r="I142" i="29"/>
  <c r="J142" i="29"/>
  <c r="K142" i="29"/>
  <c r="L142" i="29"/>
  <c r="M142" i="29"/>
  <c r="I143" i="29"/>
  <c r="J143" i="29"/>
  <c r="K143" i="29"/>
  <c r="L143" i="29"/>
  <c r="M143" i="29"/>
  <c r="I144" i="29"/>
  <c r="J144" i="29"/>
  <c r="K144" i="29"/>
  <c r="L144" i="29"/>
  <c r="M144" i="29"/>
  <c r="I145" i="29"/>
  <c r="J145" i="29"/>
  <c r="K145" i="29"/>
  <c r="L145" i="29"/>
  <c r="M145" i="29"/>
  <c r="I146" i="29"/>
  <c r="J146" i="29"/>
  <c r="K146" i="29"/>
  <c r="L146" i="29"/>
  <c r="M146" i="29"/>
  <c r="I147" i="29"/>
  <c r="J147" i="29"/>
  <c r="K147" i="29"/>
  <c r="L147" i="29"/>
  <c r="M147" i="29"/>
  <c r="I148" i="29"/>
  <c r="J148" i="29"/>
  <c r="K148" i="29"/>
  <c r="L148" i="29"/>
  <c r="M148" i="29"/>
  <c r="I149" i="29"/>
  <c r="J149" i="29"/>
  <c r="K149" i="29"/>
  <c r="L149" i="29"/>
  <c r="M149" i="29"/>
  <c r="I150" i="29"/>
  <c r="J150" i="29"/>
  <c r="K150" i="29"/>
  <c r="L150" i="29"/>
  <c r="M150" i="29"/>
  <c r="I151" i="29"/>
  <c r="J151" i="29"/>
  <c r="K151" i="29"/>
  <c r="L151" i="29"/>
  <c r="M151" i="29"/>
  <c r="I152" i="29"/>
  <c r="J152" i="29"/>
  <c r="K152" i="29"/>
  <c r="L152" i="29"/>
  <c r="M152" i="29"/>
  <c r="I153" i="29"/>
  <c r="J153" i="29"/>
  <c r="K153" i="29"/>
  <c r="L153" i="29"/>
  <c r="M153" i="29"/>
  <c r="I154" i="29"/>
  <c r="J154" i="29"/>
  <c r="K154" i="29"/>
  <c r="L154" i="29"/>
  <c r="M154" i="29"/>
  <c r="I155" i="29"/>
  <c r="J155" i="29"/>
  <c r="K155" i="29"/>
  <c r="L155" i="29"/>
  <c r="M155" i="29"/>
  <c r="I156" i="29"/>
  <c r="J156" i="29"/>
  <c r="K156" i="29"/>
  <c r="L156" i="29"/>
  <c r="M156" i="29"/>
  <c r="I157" i="29"/>
  <c r="J157" i="29"/>
  <c r="K157" i="29"/>
  <c r="L157" i="29"/>
  <c r="M157" i="29"/>
  <c r="I158" i="29"/>
  <c r="J158" i="29"/>
  <c r="K158" i="29"/>
  <c r="L158" i="29"/>
  <c r="M158" i="29"/>
  <c r="I159" i="29"/>
  <c r="J159" i="29"/>
  <c r="K159" i="29"/>
  <c r="L159" i="29"/>
  <c r="M159" i="29"/>
  <c r="I160" i="29"/>
  <c r="J160" i="29"/>
  <c r="K160" i="29"/>
  <c r="L160" i="29"/>
  <c r="M160" i="29"/>
  <c r="I161" i="29"/>
  <c r="J161" i="29"/>
  <c r="K161" i="29"/>
  <c r="L161" i="29"/>
  <c r="M161" i="29"/>
  <c r="I162" i="29"/>
  <c r="J162" i="29"/>
  <c r="K162" i="29"/>
  <c r="L162" i="29"/>
  <c r="M162" i="29"/>
  <c r="I163" i="29"/>
  <c r="J163" i="29"/>
  <c r="K163" i="29"/>
  <c r="L163" i="29"/>
  <c r="M163" i="29"/>
  <c r="I164" i="29"/>
  <c r="J164" i="29"/>
  <c r="K164" i="29"/>
  <c r="L164" i="29"/>
  <c r="M164" i="29"/>
  <c r="I165" i="29"/>
  <c r="J165" i="29"/>
  <c r="K165" i="29"/>
  <c r="L165" i="29"/>
  <c r="M165" i="29"/>
  <c r="I166" i="29"/>
  <c r="J166" i="29"/>
  <c r="K166" i="29"/>
  <c r="L166" i="29"/>
  <c r="M166" i="29"/>
  <c r="I167" i="29"/>
  <c r="J167" i="29"/>
  <c r="K167" i="29"/>
  <c r="L167" i="29"/>
  <c r="M167" i="29"/>
  <c r="I168" i="29"/>
  <c r="J168" i="29"/>
  <c r="K168" i="29"/>
  <c r="L168" i="29"/>
  <c r="M168" i="29"/>
  <c r="I169" i="29"/>
  <c r="J169" i="29"/>
  <c r="K169" i="29"/>
  <c r="L169" i="29"/>
  <c r="M169" i="29"/>
  <c r="I170" i="29"/>
  <c r="J170" i="29"/>
  <c r="K170" i="29"/>
  <c r="L170" i="29"/>
  <c r="M170" i="29"/>
  <c r="I171" i="29"/>
  <c r="J171" i="29"/>
  <c r="K171" i="29"/>
  <c r="L171" i="29"/>
  <c r="M171" i="29"/>
  <c r="I172" i="29"/>
  <c r="J172" i="29"/>
  <c r="K172" i="29"/>
  <c r="L172" i="29"/>
  <c r="M172" i="29"/>
  <c r="I173" i="29"/>
  <c r="J173" i="29"/>
  <c r="K173" i="29"/>
  <c r="L173" i="29"/>
  <c r="M173" i="29"/>
  <c r="I174" i="29"/>
  <c r="J174" i="29"/>
  <c r="K174" i="29"/>
  <c r="L174" i="29"/>
  <c r="M174" i="29"/>
  <c r="I175" i="29"/>
  <c r="J175" i="29"/>
  <c r="K175" i="29"/>
  <c r="L175" i="29"/>
  <c r="M175" i="29"/>
  <c r="I176" i="29"/>
  <c r="J176" i="29"/>
  <c r="K176" i="29"/>
  <c r="L176" i="29"/>
  <c r="M176" i="29"/>
  <c r="I177" i="29"/>
  <c r="J177" i="29"/>
  <c r="K177" i="29"/>
  <c r="L177" i="29"/>
  <c r="M177" i="29"/>
  <c r="I178" i="29"/>
  <c r="J178" i="29"/>
  <c r="K178" i="29"/>
  <c r="L178" i="29"/>
  <c r="M178" i="29"/>
  <c r="I179" i="29"/>
  <c r="J179" i="29"/>
  <c r="K179" i="29"/>
  <c r="L179" i="29"/>
  <c r="M179" i="29"/>
  <c r="I180" i="29"/>
  <c r="J180" i="29"/>
  <c r="K180" i="29"/>
  <c r="L180" i="29"/>
  <c r="M180" i="29"/>
  <c r="I181" i="29"/>
  <c r="J181" i="29"/>
  <c r="K181" i="29"/>
  <c r="L181" i="29"/>
  <c r="M181" i="29"/>
  <c r="I182" i="29"/>
  <c r="J182" i="29"/>
  <c r="K182" i="29"/>
  <c r="L182" i="29"/>
  <c r="M182" i="29"/>
  <c r="I183" i="29"/>
  <c r="J183" i="29"/>
  <c r="K183" i="29"/>
  <c r="L183" i="29"/>
  <c r="M183" i="29"/>
  <c r="I184" i="29"/>
  <c r="J184" i="29"/>
  <c r="K184" i="29"/>
  <c r="L184" i="29"/>
  <c r="M184" i="29"/>
  <c r="I185" i="29"/>
  <c r="J185" i="29"/>
  <c r="K185" i="29"/>
  <c r="L185" i="29"/>
  <c r="M185" i="29"/>
  <c r="I186" i="29"/>
  <c r="J186" i="29"/>
  <c r="K186" i="29"/>
  <c r="L186" i="29"/>
  <c r="M186" i="29"/>
  <c r="I187" i="29"/>
  <c r="J187" i="29"/>
  <c r="K187" i="29"/>
  <c r="L187" i="29"/>
  <c r="M187" i="29"/>
  <c r="I188" i="29"/>
  <c r="J188" i="29"/>
  <c r="K188" i="29"/>
  <c r="L188" i="29"/>
  <c r="M188" i="29"/>
  <c r="I189" i="29"/>
  <c r="J189" i="29"/>
  <c r="K189" i="29"/>
  <c r="L189" i="29"/>
  <c r="M189" i="29"/>
  <c r="I190" i="29"/>
  <c r="J190" i="29"/>
  <c r="K190" i="29"/>
  <c r="L190" i="29"/>
  <c r="M190" i="29"/>
  <c r="I191" i="29"/>
  <c r="J191" i="29"/>
  <c r="K191" i="29"/>
  <c r="L191" i="29"/>
  <c r="M191" i="29"/>
  <c r="I192" i="29"/>
  <c r="J192" i="29"/>
  <c r="K192" i="29"/>
  <c r="L192" i="29"/>
  <c r="M192" i="29"/>
  <c r="I193" i="29"/>
  <c r="J193" i="29"/>
  <c r="K193" i="29"/>
  <c r="L193" i="29"/>
  <c r="M193" i="29"/>
  <c r="I194" i="29"/>
  <c r="J194" i="29"/>
  <c r="K194" i="29"/>
  <c r="L194" i="29"/>
  <c r="M194" i="29"/>
  <c r="I195" i="29"/>
  <c r="J195" i="29"/>
  <c r="K195" i="29"/>
  <c r="L195" i="29"/>
  <c r="M195" i="29"/>
  <c r="I196" i="29"/>
  <c r="J196" i="29"/>
  <c r="K196" i="29"/>
  <c r="L196" i="29"/>
  <c r="M196" i="29"/>
  <c r="I197" i="29"/>
  <c r="J197" i="29"/>
  <c r="K197" i="29"/>
  <c r="L197" i="29"/>
  <c r="M197" i="29"/>
  <c r="I198" i="29"/>
  <c r="J198" i="29"/>
  <c r="K198" i="29"/>
  <c r="L198" i="29"/>
  <c r="M198" i="29"/>
  <c r="I199" i="29"/>
  <c r="J199" i="29"/>
  <c r="K199" i="29"/>
  <c r="L199" i="29"/>
  <c r="M199" i="29"/>
  <c r="I200" i="29"/>
  <c r="J200" i="29"/>
  <c r="K200" i="29"/>
  <c r="L200" i="29"/>
  <c r="M200" i="29"/>
  <c r="J201" i="29"/>
  <c r="K201" i="29"/>
  <c r="L201" i="29"/>
  <c r="M201" i="29"/>
  <c r="I11" i="29"/>
  <c r="J11" i="29"/>
  <c r="K11" i="29"/>
  <c r="L11" i="29"/>
  <c r="M11" i="29"/>
  <c r="I12" i="29"/>
  <c r="J12" i="29"/>
  <c r="K12" i="29"/>
  <c r="L12" i="29"/>
  <c r="M12" i="29"/>
  <c r="I13" i="29"/>
  <c r="J13" i="29"/>
  <c r="K13" i="29"/>
  <c r="L13" i="29"/>
  <c r="M13" i="29"/>
  <c r="I14" i="29"/>
  <c r="J14" i="29"/>
  <c r="K14" i="29"/>
  <c r="L14" i="29"/>
  <c r="M14" i="29"/>
  <c r="I15" i="29"/>
  <c r="J15" i="29"/>
  <c r="K15" i="29"/>
  <c r="L15" i="29"/>
  <c r="M15" i="29"/>
  <c r="I16" i="29"/>
  <c r="J16" i="29"/>
  <c r="K16" i="29"/>
  <c r="L16" i="29"/>
  <c r="M16" i="29"/>
  <c r="I17" i="29"/>
  <c r="J17" i="29"/>
  <c r="K17" i="29"/>
  <c r="L17" i="29"/>
  <c r="M17" i="29"/>
  <c r="I18" i="29"/>
  <c r="J18" i="29"/>
  <c r="K18" i="29"/>
  <c r="L18" i="29"/>
  <c r="M18" i="29"/>
  <c r="I19" i="29"/>
  <c r="J19" i="29"/>
  <c r="K19" i="29"/>
  <c r="L19" i="29"/>
  <c r="M19" i="29"/>
  <c r="I20" i="29"/>
  <c r="J20" i="29"/>
  <c r="K20" i="29"/>
  <c r="L20" i="29"/>
  <c r="M20" i="29"/>
  <c r="I21" i="29"/>
  <c r="J21" i="29"/>
  <c r="K21" i="29"/>
  <c r="L21" i="29"/>
  <c r="M21" i="29"/>
  <c r="I22" i="29"/>
  <c r="J22" i="29"/>
  <c r="K22" i="29"/>
  <c r="L22" i="29"/>
  <c r="M22" i="29"/>
  <c r="I23" i="29"/>
  <c r="J23" i="29"/>
  <c r="K23" i="29"/>
  <c r="L23" i="29"/>
  <c r="M23" i="29"/>
  <c r="I24" i="29"/>
  <c r="J24" i="29"/>
  <c r="K24" i="29"/>
  <c r="L24" i="29"/>
  <c r="M24" i="29"/>
  <c r="I25" i="29"/>
  <c r="J25" i="29"/>
  <c r="K25" i="29"/>
  <c r="L25" i="29"/>
  <c r="M25" i="29"/>
  <c r="I26" i="29"/>
  <c r="J26" i="29"/>
  <c r="K26" i="29"/>
  <c r="L26" i="29"/>
  <c r="M26" i="29"/>
  <c r="I27" i="29"/>
  <c r="J27" i="29"/>
  <c r="K27" i="29"/>
  <c r="L27" i="29"/>
  <c r="M27" i="29"/>
  <c r="I28" i="29"/>
  <c r="J28" i="29"/>
  <c r="K28" i="29"/>
  <c r="L28" i="29"/>
  <c r="M28" i="29"/>
  <c r="I29" i="29"/>
  <c r="J29" i="29"/>
  <c r="K29" i="29"/>
  <c r="L29" i="29"/>
  <c r="M29" i="29"/>
  <c r="I30" i="29"/>
  <c r="J30" i="29"/>
  <c r="K30" i="29"/>
  <c r="L30" i="29"/>
  <c r="M30" i="29"/>
  <c r="I31" i="29"/>
  <c r="J31" i="29"/>
  <c r="K31" i="29"/>
  <c r="L31" i="29"/>
  <c r="M31" i="29"/>
  <c r="I32" i="29"/>
  <c r="J32" i="29"/>
  <c r="K32" i="29"/>
  <c r="L32" i="29"/>
  <c r="M32" i="29"/>
  <c r="I33" i="29"/>
  <c r="J33" i="29"/>
  <c r="K33" i="29"/>
  <c r="L33" i="29"/>
  <c r="M33" i="29"/>
  <c r="I34" i="29"/>
  <c r="J34" i="29"/>
  <c r="K34" i="29"/>
  <c r="L34" i="29"/>
  <c r="M34" i="29"/>
  <c r="I35" i="29"/>
  <c r="J35" i="29"/>
  <c r="K35" i="29"/>
  <c r="L35" i="29"/>
  <c r="M35" i="29"/>
  <c r="J10" i="29"/>
  <c r="K10" i="29"/>
  <c r="L10" i="29"/>
  <c r="M10" i="29"/>
  <c r="I10" i="29"/>
  <c r="D6" i="10"/>
  <c r="L6" i="10"/>
  <c r="M6" i="10"/>
  <c r="J39" i="8"/>
  <c r="K39" i="8"/>
  <c r="L39" i="8"/>
  <c r="M39" i="8"/>
  <c r="N39" i="8"/>
  <c r="L42" i="5"/>
  <c r="E29" i="7"/>
  <c r="E39" i="8"/>
  <c r="F39" i="8"/>
  <c r="G39" i="8"/>
  <c r="H39" i="8"/>
  <c r="I39" i="8"/>
  <c r="E77" i="3"/>
  <c r="F77" i="3"/>
  <c r="G77" i="3"/>
  <c r="H77" i="3"/>
  <c r="I77" i="3"/>
  <c r="F81" i="3"/>
  <c r="G81" i="3"/>
  <c r="H81" i="3"/>
  <c r="I81" i="3"/>
  <c r="J81" i="3" s="1"/>
  <c r="D81" i="3"/>
  <c r="E81" i="3"/>
  <c r="E78" i="3"/>
  <c r="E79" i="3" s="1"/>
  <c r="F78" i="3"/>
  <c r="F79" i="3" s="1"/>
  <c r="G78" i="3"/>
  <c r="G79" i="3" s="1"/>
  <c r="H78" i="3"/>
  <c r="H79" i="3" s="1"/>
  <c r="I78" i="3"/>
  <c r="I79" i="3" s="1"/>
  <c r="J79" i="3" s="1"/>
  <c r="K79" i="3" s="1"/>
  <c r="L79" i="3" s="1"/>
  <c r="M79" i="3" s="1"/>
  <c r="N79" i="3" s="1"/>
  <c r="O79" i="3" s="1"/>
  <c r="P79" i="3" s="1"/>
  <c r="Q79" i="3" s="1"/>
  <c r="R79" i="3" s="1"/>
  <c r="S79" i="3" s="1"/>
  <c r="D42" i="5"/>
  <c r="E42" i="5"/>
  <c r="F42" i="5"/>
  <c r="C42" i="5"/>
  <c r="D52" i="3"/>
  <c r="I51" i="3"/>
  <c r="H51" i="3"/>
  <c r="J41" i="2"/>
  <c r="K41" i="2" s="1"/>
  <c r="L41" i="2" s="1"/>
  <c r="M41" i="2" s="1"/>
  <c r="N41" i="2" s="1"/>
  <c r="O41" i="2" s="1"/>
  <c r="J40" i="2"/>
  <c r="K40" i="2" s="1"/>
  <c r="L40" i="2" s="1"/>
  <c r="M40" i="2" s="1"/>
  <c r="N40" i="2" s="1"/>
  <c r="I45" i="2"/>
  <c r="D26" i="3"/>
  <c r="E26" i="3"/>
  <c r="F26" i="3"/>
  <c r="G26" i="3"/>
  <c r="D45" i="2"/>
  <c r="H46" i="2"/>
  <c r="I46" i="2"/>
  <c r="E45" i="2"/>
  <c r="F45" i="2"/>
  <c r="G45" i="2"/>
  <c r="H45" i="2"/>
  <c r="E52" i="3"/>
  <c r="F52" i="3"/>
  <c r="G52" i="3"/>
  <c r="H52" i="3"/>
  <c r="I52" i="3"/>
  <c r="J52" i="3" s="1"/>
  <c r="L90" i="3" l="1"/>
  <c r="I31" i="28"/>
  <c r="P53" i="3"/>
  <c r="G51" i="3"/>
  <c r="G116" i="3"/>
  <c r="G53" i="3"/>
  <c r="F116" i="3"/>
  <c r="F53" i="3"/>
  <c r="E53" i="3"/>
  <c r="E116" i="3"/>
  <c r="D53" i="3"/>
  <c r="D116" i="3"/>
  <c r="L7" i="29"/>
  <c r="I8" i="29"/>
  <c r="M8" i="29"/>
  <c r="J7" i="29"/>
  <c r="K7" i="29"/>
  <c r="T25" i="2"/>
  <c r="T45" i="3"/>
  <c r="L8" i="29"/>
  <c r="K8" i="29"/>
  <c r="J8" i="29"/>
  <c r="I7" i="29"/>
  <c r="M7" i="29"/>
  <c r="T52" i="3"/>
  <c r="F46" i="2"/>
  <c r="F154" i="3"/>
  <c r="F18" i="28"/>
  <c r="E46" i="2"/>
  <c r="E154" i="3"/>
  <c r="E18" i="28"/>
  <c r="D19" i="28"/>
  <c r="H154" i="3"/>
  <c r="G154" i="3"/>
  <c r="G19" i="28"/>
  <c r="F19" i="28"/>
  <c r="E19" i="28"/>
  <c r="D18" i="28"/>
  <c r="G18" i="28"/>
  <c r="O40" i="2"/>
  <c r="P40" i="2" s="1"/>
  <c r="Q40" i="2" s="1"/>
  <c r="R40" i="2" s="1"/>
  <c r="S40" i="2" s="1"/>
  <c r="P41" i="2"/>
  <c r="Q41" i="2" s="1"/>
  <c r="R41" i="2" s="1"/>
  <c r="S41" i="2" s="1"/>
  <c r="I8" i="28"/>
  <c r="F8" i="28"/>
  <c r="D31" i="28"/>
  <c r="D8" i="28"/>
  <c r="G8" i="28"/>
  <c r="E8" i="28"/>
  <c r="H8" i="28"/>
  <c r="E31" i="28"/>
  <c r="F31" i="28"/>
  <c r="H31" i="28"/>
  <c r="G31" i="28"/>
  <c r="K81" i="3"/>
  <c r="K52" i="3"/>
  <c r="L52" i="3" s="1"/>
  <c r="M52" i="3" s="1"/>
  <c r="N52" i="3" s="1"/>
  <c r="O52" i="3" s="1"/>
  <c r="P52" i="3" s="1"/>
  <c r="Q52" i="3" s="1"/>
  <c r="F51" i="3"/>
  <c r="E51" i="3"/>
  <c r="G46" i="2"/>
  <c r="D46" i="2"/>
  <c r="D51" i="3"/>
  <c r="M90" i="3" l="1"/>
  <c r="Q53" i="3"/>
  <c r="T51" i="3"/>
  <c r="T53" i="3"/>
  <c r="R52" i="3"/>
  <c r="L81" i="3"/>
  <c r="N90" i="3" l="1"/>
  <c r="R53" i="3"/>
  <c r="S52" i="3"/>
  <c r="M81" i="3"/>
  <c r="O90" i="3" l="1"/>
  <c r="S53" i="3"/>
  <c r="N81" i="3"/>
  <c r="O81" i="3" s="1"/>
  <c r="P81" i="3" s="1"/>
  <c r="Q81" i="3" s="1"/>
  <c r="R81" i="3" s="1"/>
  <c r="S81" i="3" s="1"/>
  <c r="P90" i="3" l="1"/>
  <c r="C45" i="5"/>
  <c r="K46" i="3"/>
  <c r="D55" i="3"/>
  <c r="E55" i="3"/>
  <c r="F55" i="3"/>
  <c r="G55" i="3"/>
  <c r="H55" i="3"/>
  <c r="I55" i="3"/>
  <c r="K55" i="3" s="1"/>
  <c r="L55" i="3" s="1"/>
  <c r="M55" i="3" s="1"/>
  <c r="N55" i="3" s="1"/>
  <c r="O55" i="3" s="1"/>
  <c r="P55" i="3" s="1"/>
  <c r="Q55" i="3" s="1"/>
  <c r="R55" i="3" s="1"/>
  <c r="S55" i="3" s="1"/>
  <c r="J12" i="3"/>
  <c r="J35" i="3"/>
  <c r="C36" i="5" s="1"/>
  <c r="J34" i="3"/>
  <c r="J33" i="3"/>
  <c r="J20" i="3"/>
  <c r="K20" i="3" s="1"/>
  <c r="J11" i="3"/>
  <c r="J59" i="3"/>
  <c r="E54" i="3"/>
  <c r="F54" i="3"/>
  <c r="G54" i="3"/>
  <c r="H54" i="3"/>
  <c r="I54" i="3"/>
  <c r="K54" i="3" s="1"/>
  <c r="D54" i="3"/>
  <c r="E50" i="3"/>
  <c r="F50" i="3"/>
  <c r="G50" i="3"/>
  <c r="H50" i="3"/>
  <c r="I50" i="3"/>
  <c r="J50" i="3" s="1"/>
  <c r="D50" i="3"/>
  <c r="E48" i="3"/>
  <c r="F48" i="3"/>
  <c r="G48" i="3"/>
  <c r="H48" i="3"/>
  <c r="I48" i="3"/>
  <c r="E49" i="3"/>
  <c r="F49" i="3"/>
  <c r="G49" i="3"/>
  <c r="H49" i="3"/>
  <c r="I49" i="3"/>
  <c r="D49" i="3"/>
  <c r="D48" i="3"/>
  <c r="E47" i="3"/>
  <c r="F47" i="3"/>
  <c r="G47" i="3"/>
  <c r="H47" i="3"/>
  <c r="I47" i="3"/>
  <c r="K47" i="3" s="1"/>
  <c r="L47" i="3" s="1"/>
  <c r="M47" i="3" s="1"/>
  <c r="N47" i="3" s="1"/>
  <c r="O47" i="3" s="1"/>
  <c r="P47" i="3" s="1"/>
  <c r="Q47" i="3" s="1"/>
  <c r="R47" i="3" s="1"/>
  <c r="S47" i="3" s="1"/>
  <c r="D47" i="3"/>
  <c r="D46" i="3"/>
  <c r="E46" i="3"/>
  <c r="F46" i="3"/>
  <c r="G46" i="3"/>
  <c r="H46" i="3"/>
  <c r="I46" i="3"/>
  <c r="E44" i="3"/>
  <c r="F44" i="3"/>
  <c r="G44" i="3"/>
  <c r="H44" i="3"/>
  <c r="I44" i="3"/>
  <c r="J44" i="3" s="1"/>
  <c r="K44" i="3" s="1"/>
  <c r="L44" i="3" s="1"/>
  <c r="M44" i="3" s="1"/>
  <c r="N44" i="3" s="1"/>
  <c r="O44" i="3" s="1"/>
  <c r="P44" i="3" s="1"/>
  <c r="Q44" i="3" s="1"/>
  <c r="R44" i="3" s="1"/>
  <c r="S44" i="3" s="1"/>
  <c r="D44" i="3"/>
  <c r="E43" i="3"/>
  <c r="F43" i="3"/>
  <c r="G43" i="3"/>
  <c r="H43" i="3"/>
  <c r="I43" i="3"/>
  <c r="L43" i="3" s="1"/>
  <c r="M43" i="3" s="1"/>
  <c r="N43" i="3" s="1"/>
  <c r="O43" i="3" s="1"/>
  <c r="P43" i="3" s="1"/>
  <c r="Q43" i="3" s="1"/>
  <c r="R43" i="3" s="1"/>
  <c r="S43" i="3" s="1"/>
  <c r="D43" i="3"/>
  <c r="E42" i="3"/>
  <c r="F42" i="3"/>
  <c r="G42" i="3"/>
  <c r="H42" i="3"/>
  <c r="I42" i="3"/>
  <c r="J42" i="3" s="1"/>
  <c r="D42" i="3"/>
  <c r="J20" i="2"/>
  <c r="J66" i="2" s="1"/>
  <c r="J19" i="2"/>
  <c r="K19" i="2" s="1"/>
  <c r="K26" i="2"/>
  <c r="L26" i="2" s="1"/>
  <c r="M26" i="2" s="1"/>
  <c r="N26" i="2" s="1"/>
  <c r="O26" i="2" s="1"/>
  <c r="P26" i="2" s="1"/>
  <c r="Q26" i="2" s="1"/>
  <c r="R26" i="2" s="1"/>
  <c r="S26" i="2" s="1"/>
  <c r="D26" i="2"/>
  <c r="E26" i="2"/>
  <c r="F26" i="2"/>
  <c r="G26" i="2"/>
  <c r="H26" i="2"/>
  <c r="I26" i="2"/>
  <c r="C26" i="2"/>
  <c r="D24" i="2"/>
  <c r="E24" i="2"/>
  <c r="F24" i="2"/>
  <c r="G24" i="2"/>
  <c r="H24" i="2"/>
  <c r="I24" i="2"/>
  <c r="C24" i="2"/>
  <c r="C23" i="2"/>
  <c r="D23" i="2"/>
  <c r="E23" i="2"/>
  <c r="F23" i="2"/>
  <c r="G23" i="2"/>
  <c r="H23" i="2"/>
  <c r="I23" i="2"/>
  <c r="N5" i="35"/>
  <c r="N6" i="35"/>
  <c r="N7" i="35"/>
  <c r="N8" i="35"/>
  <c r="N9" i="35"/>
  <c r="N10" i="35"/>
  <c r="N11" i="35"/>
  <c r="N12" i="35"/>
  <c r="N13" i="35"/>
  <c r="N14" i="35"/>
  <c r="N15" i="35"/>
  <c r="N16" i="35"/>
  <c r="N17" i="35"/>
  <c r="N18" i="35"/>
  <c r="N19" i="35"/>
  <c r="N20" i="35"/>
  <c r="N21" i="35"/>
  <c r="N22" i="35"/>
  <c r="N23" i="35"/>
  <c r="N24" i="35"/>
  <c r="N25" i="35"/>
  <c r="N26" i="35"/>
  <c r="J29" i="35"/>
  <c r="D29" i="35"/>
  <c r="E29" i="35"/>
  <c r="F29" i="35"/>
  <c r="G29" i="35"/>
  <c r="C29" i="35"/>
  <c r="N27" i="35"/>
  <c r="N28" i="35"/>
  <c r="L5" i="35"/>
  <c r="M5" i="35"/>
  <c r="L6" i="35"/>
  <c r="M6" i="35"/>
  <c r="L7" i="35"/>
  <c r="M7" i="35"/>
  <c r="L8" i="35"/>
  <c r="M8" i="35"/>
  <c r="L9" i="35"/>
  <c r="M9" i="35"/>
  <c r="L10" i="35"/>
  <c r="M10" i="35"/>
  <c r="L11" i="35"/>
  <c r="M11" i="35"/>
  <c r="L12" i="35"/>
  <c r="M12" i="35"/>
  <c r="L13" i="35"/>
  <c r="M13" i="35"/>
  <c r="L14" i="35"/>
  <c r="M14" i="35"/>
  <c r="L15" i="35"/>
  <c r="M15" i="35"/>
  <c r="L16" i="35"/>
  <c r="M16" i="35"/>
  <c r="L17" i="35"/>
  <c r="M17" i="35"/>
  <c r="L18" i="35"/>
  <c r="M18" i="35"/>
  <c r="L19" i="35"/>
  <c r="M19" i="35"/>
  <c r="L20" i="35"/>
  <c r="M20" i="35"/>
  <c r="L21" i="35"/>
  <c r="M21" i="35"/>
  <c r="L22" i="35"/>
  <c r="M22" i="35"/>
  <c r="L23" i="35"/>
  <c r="M23" i="35"/>
  <c r="L24" i="35"/>
  <c r="M24" i="35"/>
  <c r="L25" i="35"/>
  <c r="M25" i="35"/>
  <c r="L26" i="35"/>
  <c r="M26" i="35"/>
  <c r="L27" i="35"/>
  <c r="M27" i="35"/>
  <c r="K6" i="35"/>
  <c r="K7" i="35"/>
  <c r="K8" i="35"/>
  <c r="K9" i="35"/>
  <c r="K10" i="35"/>
  <c r="K11" i="35"/>
  <c r="K12" i="35"/>
  <c r="K13" i="35"/>
  <c r="K14" i="35"/>
  <c r="K15" i="35"/>
  <c r="K16" i="35"/>
  <c r="K17" i="35"/>
  <c r="K18" i="35"/>
  <c r="K19" i="35"/>
  <c r="K20" i="35"/>
  <c r="K21" i="35"/>
  <c r="K22" i="35"/>
  <c r="K23" i="35"/>
  <c r="K24" i="35"/>
  <c r="K25" i="35"/>
  <c r="K26" i="35"/>
  <c r="K27" i="35"/>
  <c r="K5" i="35"/>
  <c r="J13" i="34"/>
  <c r="J16" i="34" s="1"/>
  <c r="J8" i="2" s="1"/>
  <c r="K15" i="34"/>
  <c r="L15" i="34" s="1"/>
  <c r="M15" i="34" s="1"/>
  <c r="N15" i="34" s="1"/>
  <c r="O15" i="34" s="1"/>
  <c r="P15" i="34" s="1"/>
  <c r="Q15" i="34" s="1"/>
  <c r="R15" i="34" s="1"/>
  <c r="S15" i="34" s="1"/>
  <c r="D4" i="34"/>
  <c r="D7" i="34" s="1"/>
  <c r="E4" i="34"/>
  <c r="E7" i="34" s="1"/>
  <c r="F4" i="34"/>
  <c r="F7" i="34" s="1"/>
  <c r="G4" i="34"/>
  <c r="G7" i="34" s="1"/>
  <c r="H4" i="34"/>
  <c r="H7" i="34" s="1"/>
  <c r="I4" i="34"/>
  <c r="I7" i="34" s="1"/>
  <c r="C4" i="34"/>
  <c r="C7" i="34" s="1"/>
  <c r="E15" i="15" a="1"/>
  <c r="E15" i="15" s="1"/>
  <c r="D13" i="10"/>
  <c r="D16" i="7"/>
  <c r="D18" i="7" s="1"/>
  <c r="Q90" i="3" l="1"/>
  <c r="T49" i="3"/>
  <c r="T43" i="3"/>
  <c r="J48" i="3"/>
  <c r="K48" i="3" s="1"/>
  <c r="H8" i="34"/>
  <c r="E8" i="34"/>
  <c r="I8" i="34"/>
  <c r="J7" i="34"/>
  <c r="F8" i="34"/>
  <c r="G8" i="34"/>
  <c r="D8" i="34"/>
  <c r="T42" i="3"/>
  <c r="T47" i="3"/>
  <c r="T50" i="3"/>
  <c r="T48" i="3"/>
  <c r="T54" i="3"/>
  <c r="T44" i="3"/>
  <c r="T46" i="3"/>
  <c r="T55" i="3"/>
  <c r="K11" i="3"/>
  <c r="K139" i="3" s="1"/>
  <c r="J139" i="3"/>
  <c r="C35" i="5"/>
  <c r="J162" i="3"/>
  <c r="C34" i="5"/>
  <c r="J161" i="3"/>
  <c r="K12" i="3"/>
  <c r="K140" i="3" s="1"/>
  <c r="J140" i="3"/>
  <c r="M29" i="35"/>
  <c r="K29" i="35"/>
  <c r="L29" i="35"/>
  <c r="T24" i="2"/>
  <c r="N29" i="35"/>
  <c r="C13" i="5"/>
  <c r="T26" i="2"/>
  <c r="D21" i="5"/>
  <c r="L20" i="3"/>
  <c r="M20" i="3" s="1"/>
  <c r="N20" i="3" s="1"/>
  <c r="C21" i="5"/>
  <c r="L19" i="2"/>
  <c r="K65" i="2"/>
  <c r="J65" i="2"/>
  <c r="K20" i="2"/>
  <c r="K33" i="3"/>
  <c r="C12" i="5"/>
  <c r="K42" i="3"/>
  <c r="L54" i="3"/>
  <c r="K50" i="3"/>
  <c r="K34" i="3"/>
  <c r="K162" i="3" s="1"/>
  <c r="K49" i="3"/>
  <c r="K51" i="3"/>
  <c r="L46" i="3"/>
  <c r="K35" i="3"/>
  <c r="G5" i="34"/>
  <c r="F5" i="34"/>
  <c r="E5" i="34"/>
  <c r="I5" i="34"/>
  <c r="H5" i="34"/>
  <c r="D5" i="34"/>
  <c r="D94" i="3"/>
  <c r="E49" i="2"/>
  <c r="F49" i="2"/>
  <c r="G49" i="2"/>
  <c r="H49" i="2"/>
  <c r="I49" i="2"/>
  <c r="E50" i="2"/>
  <c r="F50" i="2"/>
  <c r="G50" i="2"/>
  <c r="H50" i="2"/>
  <c r="I50" i="2"/>
  <c r="E51" i="2"/>
  <c r="F51" i="2"/>
  <c r="G51" i="2"/>
  <c r="H51" i="2"/>
  <c r="I51" i="2"/>
  <c r="E52" i="2"/>
  <c r="F52" i="2"/>
  <c r="G52" i="2"/>
  <c r="H52" i="2"/>
  <c r="I52" i="2"/>
  <c r="E53" i="2"/>
  <c r="F53" i="2"/>
  <c r="G53" i="2"/>
  <c r="H53" i="2"/>
  <c r="I53" i="2"/>
  <c r="E54" i="2"/>
  <c r="F54" i="2"/>
  <c r="G54" i="2"/>
  <c r="H54" i="2"/>
  <c r="I54" i="2"/>
  <c r="E55" i="2"/>
  <c r="F55" i="2"/>
  <c r="G55" i="2"/>
  <c r="H55" i="2"/>
  <c r="I55" i="2"/>
  <c r="E56" i="2"/>
  <c r="F56" i="2"/>
  <c r="G56" i="2"/>
  <c r="H56" i="2"/>
  <c r="I56" i="2"/>
  <c r="E58" i="2"/>
  <c r="F58" i="2"/>
  <c r="G58" i="2"/>
  <c r="H58" i="2"/>
  <c r="I58" i="2"/>
  <c r="E59" i="2"/>
  <c r="F59" i="2"/>
  <c r="G59" i="2"/>
  <c r="H59" i="2"/>
  <c r="I59" i="2"/>
  <c r="E60" i="2"/>
  <c r="F60" i="2"/>
  <c r="G60" i="2"/>
  <c r="H60" i="2"/>
  <c r="I60" i="2"/>
  <c r="E62" i="2"/>
  <c r="F62" i="2"/>
  <c r="G62" i="2"/>
  <c r="H62" i="2"/>
  <c r="I62" i="2"/>
  <c r="E63" i="2"/>
  <c r="F63" i="2"/>
  <c r="G63" i="2"/>
  <c r="H63" i="2"/>
  <c r="I63" i="2"/>
  <c r="F65" i="2"/>
  <c r="G65" i="2"/>
  <c r="H65" i="2"/>
  <c r="I65" i="2"/>
  <c r="E66" i="2"/>
  <c r="F66" i="2"/>
  <c r="G66" i="2"/>
  <c r="H66" i="2"/>
  <c r="I66" i="2"/>
  <c r="D50" i="2"/>
  <c r="D51" i="2"/>
  <c r="D52" i="2"/>
  <c r="D53" i="2"/>
  <c r="D54" i="2"/>
  <c r="D55" i="2"/>
  <c r="D56" i="2"/>
  <c r="D58" i="2"/>
  <c r="D59" i="2"/>
  <c r="D60" i="2"/>
  <c r="D62" i="2"/>
  <c r="D63" i="2"/>
  <c r="D65" i="2"/>
  <c r="D66" i="2"/>
  <c r="D49" i="2"/>
  <c r="J8" i="30"/>
  <c r="E40" i="30"/>
  <c r="D29" i="7"/>
  <c r="D7" i="8"/>
  <c r="D10" i="10"/>
  <c r="D9" i="10"/>
  <c r="D8" i="10"/>
  <c r="D7" i="10"/>
  <c r="R90" i="3" l="1"/>
  <c r="L11" i="3"/>
  <c r="M11" i="3" s="1"/>
  <c r="M139" i="3" s="1"/>
  <c r="D12" i="5"/>
  <c r="K7" i="34"/>
  <c r="I22" i="28"/>
  <c r="L33" i="3"/>
  <c r="E34" i="5" s="1"/>
  <c r="K161" i="3"/>
  <c r="L139" i="3"/>
  <c r="L12" i="3"/>
  <c r="M12" i="3" s="1"/>
  <c r="D13" i="5"/>
  <c r="G22" i="28"/>
  <c r="D22" i="28"/>
  <c r="E22" i="28"/>
  <c r="H22" i="28"/>
  <c r="F22" i="28"/>
  <c r="G21" i="5"/>
  <c r="O20" i="3"/>
  <c r="F21" i="5"/>
  <c r="E21" i="5"/>
  <c r="L51" i="3"/>
  <c r="K66" i="2"/>
  <c r="L20" i="2"/>
  <c r="M19" i="2"/>
  <c r="L65" i="2"/>
  <c r="D34" i="5"/>
  <c r="L49" i="3"/>
  <c r="L34" i="3"/>
  <c r="L162" i="3" s="1"/>
  <c r="D35" i="5"/>
  <c r="M54" i="3"/>
  <c r="L48" i="3"/>
  <c r="L42" i="3"/>
  <c r="L50" i="3"/>
  <c r="M46" i="3"/>
  <c r="L35" i="3"/>
  <c r="D36" i="5"/>
  <c r="B1" i="8"/>
  <c r="B2" i="8" s="1"/>
  <c r="D32" i="7"/>
  <c r="D28" i="7"/>
  <c r="D11" i="7"/>
  <c r="D12" i="7" s="1"/>
  <c r="C34" i="10"/>
  <c r="C22" i="10"/>
  <c r="E22" i="10" s="1" a="1"/>
  <c r="E22" i="10" s="1"/>
  <c r="D34" i="10"/>
  <c r="F10" i="10"/>
  <c r="H10" i="10" a="1"/>
  <c r="H10" i="10" s="1"/>
  <c r="I10" i="10"/>
  <c r="K10" i="10" a="1"/>
  <c r="K10" i="10" s="1"/>
  <c r="C32" i="10"/>
  <c r="C20" i="10"/>
  <c r="R20" i="10" s="1" a="1"/>
  <c r="R20" i="10" s="1"/>
  <c r="D32" i="10"/>
  <c r="C19" i="10"/>
  <c r="R19" i="10" s="1" a="1"/>
  <c r="R19" i="10" s="1"/>
  <c r="C21" i="10"/>
  <c r="R21" i="10" s="1" a="1"/>
  <c r="R21" i="10" s="1"/>
  <c r="C23" i="10"/>
  <c r="C24" i="10"/>
  <c r="R24" i="10" s="1" a="1"/>
  <c r="R24" i="10" s="1"/>
  <c r="I4" i="8"/>
  <c r="L13" i="10"/>
  <c r="B7" i="10" a="1"/>
  <c r="B7" i="10" s="1"/>
  <c r="B6" i="10" a="1"/>
  <c r="B6" i="10" s="1"/>
  <c r="C31" i="10"/>
  <c r="C25" i="10"/>
  <c r="K13" i="10" a="1"/>
  <c r="K13" i="10" s="1"/>
  <c r="H13" i="10" a="1"/>
  <c r="H13" i="10" s="1"/>
  <c r="B13" i="10" a="1"/>
  <c r="B13" i="10" s="1"/>
  <c r="B55" i="10" s="1"/>
  <c r="K12" i="10" a="1"/>
  <c r="K12" i="10" s="1"/>
  <c r="H12" i="10" a="1"/>
  <c r="H12" i="10" s="1"/>
  <c r="B12" i="10" a="1"/>
  <c r="B12" i="10" s="1"/>
  <c r="K11" i="10" a="1"/>
  <c r="K11" i="10" s="1"/>
  <c r="H11" i="10" a="1"/>
  <c r="H11" i="10" s="1"/>
  <c r="B11" i="10" a="1"/>
  <c r="B11" i="10" s="1"/>
  <c r="B10" i="10" a="1"/>
  <c r="B10" i="10" s="1"/>
  <c r="K9" i="10" a="1"/>
  <c r="K9" i="10" s="1"/>
  <c r="H9" i="10" a="1"/>
  <c r="H9" i="10" s="1"/>
  <c r="B9" i="10" a="1"/>
  <c r="B9" i="10" s="1"/>
  <c r="K8" i="10" a="1"/>
  <c r="K8" i="10" s="1"/>
  <c r="H8" i="10" a="1"/>
  <c r="H8" i="10" s="1"/>
  <c r="B8" i="10" a="1"/>
  <c r="B8" i="10" s="1"/>
  <c r="K7" i="10" a="1"/>
  <c r="K7" i="10" s="1"/>
  <c r="H7" i="10" a="1"/>
  <c r="H7" i="10" s="1"/>
  <c r="K6" i="10" a="1"/>
  <c r="K6" i="10" s="1"/>
  <c r="H6" i="10" a="1"/>
  <c r="H6" i="10" s="1"/>
  <c r="C30" i="10"/>
  <c r="C33" i="10"/>
  <c r="C35" i="10"/>
  <c r="C36" i="10"/>
  <c r="C37" i="10"/>
  <c r="D30" i="10"/>
  <c r="E6" i="10"/>
  <c r="F6" i="10"/>
  <c r="I6" i="10"/>
  <c r="D31" i="10"/>
  <c r="E7" i="10"/>
  <c r="F7" i="10"/>
  <c r="G7" i="10" s="1"/>
  <c r="I7" i="10"/>
  <c r="L7" i="10"/>
  <c r="M7" i="10"/>
  <c r="E8" i="10"/>
  <c r="F8" i="10"/>
  <c r="I8" i="10"/>
  <c r="L8" i="10"/>
  <c r="M8" i="10"/>
  <c r="D33" i="10"/>
  <c r="E9" i="10"/>
  <c r="F9" i="10"/>
  <c r="I9" i="10"/>
  <c r="L9" i="10"/>
  <c r="M9" i="10"/>
  <c r="E10" i="10"/>
  <c r="L10" i="10"/>
  <c r="M10" i="10"/>
  <c r="D11" i="10"/>
  <c r="D35" i="10" s="1"/>
  <c r="E11" i="10"/>
  <c r="F11" i="10"/>
  <c r="I11" i="10"/>
  <c r="L11" i="10"/>
  <c r="M11" i="10"/>
  <c r="D12" i="10"/>
  <c r="D36" i="10" s="1"/>
  <c r="F12" i="10"/>
  <c r="E12" i="10"/>
  <c r="I12" i="10"/>
  <c r="L12" i="10"/>
  <c r="M12" i="10"/>
  <c r="D37" i="10"/>
  <c r="E13" i="10"/>
  <c r="F13" i="10"/>
  <c r="I13" i="10"/>
  <c r="M13" i="10"/>
  <c r="C18" i="10"/>
  <c r="R18" i="10" s="1" a="1"/>
  <c r="R18" i="10" s="1"/>
  <c r="I24" i="10"/>
  <c r="N25" i="10" a="1"/>
  <c r="N25" i="10" s="1"/>
  <c r="I25" i="10"/>
  <c r="M25" i="10" a="1"/>
  <c r="M25" i="10" s="1"/>
  <c r="D25" i="10" a="1"/>
  <c r="D25" i="10" s="1"/>
  <c r="G25" i="10" a="1"/>
  <c r="G25" i="10" s="1"/>
  <c r="J25" i="10"/>
  <c r="F20" i="10" a="1"/>
  <c r="F20" i="10" s="1"/>
  <c r="G20" i="10" a="1"/>
  <c r="G20" i="10" s="1"/>
  <c r="L20" i="10" a="1"/>
  <c r="L20" i="10" s="1"/>
  <c r="P20" i="10" a="1"/>
  <c r="P20" i="10" s="1"/>
  <c r="L24" i="10" a="1"/>
  <c r="L24" i="10" s="1"/>
  <c r="E20" i="10" a="1"/>
  <c r="E20" i="10" s="1"/>
  <c r="B15" i="7"/>
  <c r="D53" i="8"/>
  <c r="H49" i="8"/>
  <c r="G49" i="8" s="1"/>
  <c r="F49" i="8" s="1"/>
  <c r="E49" i="8" s="1"/>
  <c r="D32" i="8"/>
  <c r="D54" i="8" s="1"/>
  <c r="D30" i="8"/>
  <c r="D29" i="8" s="1"/>
  <c r="I27" i="8"/>
  <c r="J27" i="8" s="1"/>
  <c r="K27" i="8" s="1"/>
  <c r="G27" i="8"/>
  <c r="F27" i="8" s="1"/>
  <c r="E27" i="8" s="1"/>
  <c r="L14" i="10" l="1"/>
  <c r="C55" i="10"/>
  <c r="E12" i="5"/>
  <c r="S90" i="3"/>
  <c r="H25" i="10"/>
  <c r="R25" i="10" a="1"/>
  <c r="R25" i="10" s="1"/>
  <c r="L7" i="34"/>
  <c r="Q23" i="10" a="1"/>
  <c r="Q23" i="10" s="1"/>
  <c r="G23" i="10" a="1"/>
  <c r="G23" i="10" s="1"/>
  <c r="M23" i="10" a="1"/>
  <c r="M23" i="10" s="1"/>
  <c r="N23" i="10" a="1"/>
  <c r="N23" i="10" s="1"/>
  <c r="I23" i="10"/>
  <c r="I35" i="10" s="1"/>
  <c r="J23" i="10"/>
  <c r="J35" i="10" s="1"/>
  <c r="K23" i="10"/>
  <c r="K35" i="10" s="1"/>
  <c r="O23" i="10" a="1"/>
  <c r="O23" i="10" s="1"/>
  <c r="E23" i="10" a="1"/>
  <c r="E23" i="10" s="1"/>
  <c r="P23" i="10" a="1"/>
  <c r="P23" i="10" s="1"/>
  <c r="F23" i="10" a="1"/>
  <c r="F23" i="10" s="1"/>
  <c r="D19" i="10" a="1"/>
  <c r="D19" i="10" s="1"/>
  <c r="K25" i="10"/>
  <c r="K37" i="10" s="1"/>
  <c r="F25" i="10" a="1"/>
  <c r="F25" i="10" s="1"/>
  <c r="D23" i="10" a="1"/>
  <c r="D23" i="10" s="1"/>
  <c r="P25" i="10" a="1"/>
  <c r="P25" i="10" s="1"/>
  <c r="L25" i="10" a="1"/>
  <c r="L25" i="10" s="1"/>
  <c r="E25" i="10" a="1"/>
  <c r="E25" i="10" s="1"/>
  <c r="C52" i="10"/>
  <c r="P52" i="10" s="1" a="1"/>
  <c r="P52" i="10" s="1"/>
  <c r="H23" i="10"/>
  <c r="E13" i="5"/>
  <c r="L140" i="3"/>
  <c r="M33" i="3"/>
  <c r="L161" i="3"/>
  <c r="F13" i="5"/>
  <c r="M140" i="3"/>
  <c r="H22" i="10"/>
  <c r="M21" i="10" a="1"/>
  <c r="M21" i="10" s="1"/>
  <c r="I21" i="10"/>
  <c r="L21" i="10" a="1"/>
  <c r="L21" i="10" s="1"/>
  <c r="E21" i="10" a="1"/>
  <c r="E21" i="10" s="1"/>
  <c r="Q21" i="10" a="1"/>
  <c r="Q21" i="10" s="1"/>
  <c r="G21" i="10" a="1"/>
  <c r="G21" i="10" s="1"/>
  <c r="F21" i="10" a="1"/>
  <c r="F21" i="10" s="1"/>
  <c r="O21" i="10" a="1"/>
  <c r="O21" i="10" s="1"/>
  <c r="D21" i="10" a="1"/>
  <c r="D21" i="10" s="1"/>
  <c r="M20" i="10" a="1"/>
  <c r="M20" i="10" s="1"/>
  <c r="N20" i="10" a="1"/>
  <c r="N20" i="10" s="1"/>
  <c r="C50" i="10"/>
  <c r="N50" i="10" s="1"/>
  <c r="Q20" i="10" a="1"/>
  <c r="Q20" i="10" s="1"/>
  <c r="O20" i="10" a="1"/>
  <c r="O20" i="10" s="1"/>
  <c r="L19" i="10" a="1"/>
  <c r="L19" i="10" s="1"/>
  <c r="E19" i="10" a="1"/>
  <c r="E19" i="10" s="1"/>
  <c r="F31" i="10" s="1"/>
  <c r="M19" i="10" a="1"/>
  <c r="M19" i="10" s="1"/>
  <c r="M24" i="10" a="1"/>
  <c r="M24" i="10" s="1"/>
  <c r="D24" i="10" a="1"/>
  <c r="D24" i="10" s="1"/>
  <c r="F24" i="10" a="1"/>
  <c r="F24" i="10" s="1"/>
  <c r="J24" i="10"/>
  <c r="J36" i="10" s="1"/>
  <c r="K24" i="10"/>
  <c r="K36" i="10" s="1"/>
  <c r="E24" i="10" a="1"/>
  <c r="E24" i="10" s="1"/>
  <c r="O24" i="10" a="1"/>
  <c r="O24" i="10" s="1"/>
  <c r="Q24" i="10" a="1"/>
  <c r="Q24" i="10" s="1"/>
  <c r="G24" i="10" a="1"/>
  <c r="G24" i="10" s="1"/>
  <c r="H24" i="10"/>
  <c r="P19" i="10" a="1"/>
  <c r="P19" i="10" s="1"/>
  <c r="I18" i="10"/>
  <c r="I30" i="10" s="1"/>
  <c r="L30" i="10" s="1"/>
  <c r="H18" i="10"/>
  <c r="I36" i="10"/>
  <c r="P20" i="3"/>
  <c r="H21" i="5"/>
  <c r="G12" i="10"/>
  <c r="J12" i="10" s="1"/>
  <c r="L23" i="10" a="1"/>
  <c r="L23" i="10" s="1"/>
  <c r="G11" i="10"/>
  <c r="J11" i="10" s="1"/>
  <c r="D53" i="10" a="1"/>
  <c r="D53" i="10" s="1"/>
  <c r="F16" i="8"/>
  <c r="J16" i="8"/>
  <c r="K16" i="8"/>
  <c r="L16" i="8"/>
  <c r="M16" i="8"/>
  <c r="N16" i="8"/>
  <c r="M51" i="3"/>
  <c r="N19" i="2"/>
  <c r="O19" i="2" s="1"/>
  <c r="P19" i="2" s="1"/>
  <c r="Q19" i="2" s="1"/>
  <c r="R19" i="2" s="1"/>
  <c r="S19" i="2" s="1"/>
  <c r="M65" i="2"/>
  <c r="M20" i="2"/>
  <c r="L66" i="2"/>
  <c r="M42" i="3"/>
  <c r="N11" i="3"/>
  <c r="N139" i="3" s="1"/>
  <c r="M48" i="3"/>
  <c r="E35" i="5"/>
  <c r="M34" i="3"/>
  <c r="M162" i="3" s="1"/>
  <c r="M50" i="3"/>
  <c r="N12" i="3"/>
  <c r="N140" i="3" s="1"/>
  <c r="N54" i="3"/>
  <c r="O54" i="3" s="1"/>
  <c r="P54" i="3" s="1"/>
  <c r="Q54" i="3" s="1"/>
  <c r="R54" i="3" s="1"/>
  <c r="S54" i="3" s="1"/>
  <c r="M49" i="3"/>
  <c r="F12" i="5"/>
  <c r="N46" i="3"/>
  <c r="O46" i="3" s="1"/>
  <c r="P46" i="3" s="1"/>
  <c r="Q46" i="3" s="1"/>
  <c r="R46" i="3" s="1"/>
  <c r="S46" i="3" s="1"/>
  <c r="M35" i="3"/>
  <c r="E36" i="5"/>
  <c r="O18" i="10" a="1"/>
  <c r="O18" i="10" s="1"/>
  <c r="E18" i="10" a="1"/>
  <c r="E18" i="10" s="1"/>
  <c r="J18" i="10"/>
  <c r="J30" i="10" s="1"/>
  <c r="M30" i="10" s="1"/>
  <c r="M22" i="10" a="1"/>
  <c r="M22" i="10" s="1"/>
  <c r="J21" i="10"/>
  <c r="J33" i="10" s="1"/>
  <c r="N21" i="10" a="1"/>
  <c r="N21" i="10" s="1"/>
  <c r="P55" i="10" a="1"/>
  <c r="P55" i="10" s="1"/>
  <c r="L55" i="10"/>
  <c r="D55" i="10" a="1"/>
  <c r="D55" i="10" s="1"/>
  <c r="N55" i="10"/>
  <c r="H55" i="10" a="1"/>
  <c r="H55" i="10" s="1"/>
  <c r="K55" i="10" a="1"/>
  <c r="K55" i="10" s="1"/>
  <c r="F55" i="10" a="1"/>
  <c r="F55" i="10" s="1"/>
  <c r="C48" i="10"/>
  <c r="O48" i="10" s="1"/>
  <c r="J7" i="10"/>
  <c r="N18" i="10" a="1"/>
  <c r="N18" i="10" s="1"/>
  <c r="M18" i="10" a="1"/>
  <c r="M18" i="10" s="1"/>
  <c r="F18" i="10" a="1"/>
  <c r="F18" i="10" s="1"/>
  <c r="E55" i="10" a="1"/>
  <c r="E55" i="10" s="1"/>
  <c r="F50" i="10" a="1"/>
  <c r="F50" i="10" s="1"/>
  <c r="P50" i="10" a="1"/>
  <c r="P50" i="10" s="1"/>
  <c r="J50" i="10"/>
  <c r="E50" i="10" a="1"/>
  <c r="E50" i="10" s="1"/>
  <c r="M55" i="10"/>
  <c r="L18" i="10" a="1"/>
  <c r="L18" i="10" s="1"/>
  <c r="K18" i="10"/>
  <c r="K30" i="10" s="1"/>
  <c r="N30" i="10" s="1"/>
  <c r="C51" i="10"/>
  <c r="H51" i="10" s="1" a="1"/>
  <c r="H51" i="10" s="1"/>
  <c r="H50" i="10" a="1"/>
  <c r="H50" i="10" s="1"/>
  <c r="J55" i="10"/>
  <c r="P18" i="10" a="1"/>
  <c r="P18" i="10" s="1"/>
  <c r="G18" i="10" a="1"/>
  <c r="G18" i="10" s="1"/>
  <c r="C49" i="10"/>
  <c r="O49" i="10" s="1"/>
  <c r="D22" i="10" a="1"/>
  <c r="D22" i="10" s="1"/>
  <c r="Q22" i="10" a="1"/>
  <c r="Q22" i="10" s="1"/>
  <c r="F52" i="10" a="1"/>
  <c r="F52" i="10" s="1"/>
  <c r="O52" i="10"/>
  <c r="H52" i="10" a="1"/>
  <c r="H52" i="10" s="1"/>
  <c r="J52" i="10"/>
  <c r="P22" i="10" a="1"/>
  <c r="P22" i="10" s="1"/>
  <c r="E52" i="10" a="1"/>
  <c r="E52" i="10" s="1"/>
  <c r="I52" i="10"/>
  <c r="G52" i="10" a="1"/>
  <c r="G52" i="10" s="1"/>
  <c r="N22" i="10" a="1"/>
  <c r="N22" i="10" s="1"/>
  <c r="G10" i="10"/>
  <c r="J10" i="10" s="1"/>
  <c r="M52" i="10"/>
  <c r="L52" i="10"/>
  <c r="D52" i="10" a="1"/>
  <c r="D52" i="10" s="1"/>
  <c r="G9" i="10"/>
  <c r="J9" i="10" s="1"/>
  <c r="P21" i="10" a="1"/>
  <c r="P21" i="10" s="1"/>
  <c r="K21" i="10"/>
  <c r="K33" i="10" s="1"/>
  <c r="H21" i="10"/>
  <c r="D20" i="10" a="1"/>
  <c r="D20" i="10" s="1"/>
  <c r="K20" i="10"/>
  <c r="K32" i="10" s="1"/>
  <c r="N32" i="10" s="1"/>
  <c r="G8" i="10"/>
  <c r="G32" i="10" s="1"/>
  <c r="G6" i="10"/>
  <c r="K19" i="10"/>
  <c r="K31" i="10" s="1"/>
  <c r="Q19" i="10" a="1"/>
  <c r="Q19" i="10" s="1"/>
  <c r="J19" i="10"/>
  <c r="J31" i="10" s="1"/>
  <c r="F19" i="10" a="1"/>
  <c r="F19" i="10" s="1"/>
  <c r="G31" i="10" s="1"/>
  <c r="H19" i="10"/>
  <c r="I19" i="10"/>
  <c r="I31" i="10" s="1"/>
  <c r="G19" i="10" a="1"/>
  <c r="G19" i="10" s="1"/>
  <c r="H31" i="10" s="1"/>
  <c r="N19" i="10" a="1"/>
  <c r="N19" i="10" s="1"/>
  <c r="O19" i="10" a="1"/>
  <c r="O19" i="10" s="1"/>
  <c r="D33" i="8"/>
  <c r="D20" i="7"/>
  <c r="D22" i="7" s="1"/>
  <c r="D27" i="7" s="1"/>
  <c r="D30" i="7" s="1"/>
  <c r="B51" i="10"/>
  <c r="B33" i="10"/>
  <c r="B37" i="10"/>
  <c r="B25" i="10"/>
  <c r="I37" i="10"/>
  <c r="J37" i="10"/>
  <c r="B48" i="10"/>
  <c r="B30" i="10"/>
  <c r="I22" i="10"/>
  <c r="I34" i="10" s="1"/>
  <c r="R23" i="10" a="1"/>
  <c r="R23" i="10" s="1"/>
  <c r="I20" i="10"/>
  <c r="I32" i="10" s="1"/>
  <c r="N52" i="10"/>
  <c r="K52" i="10" a="1"/>
  <c r="K52" i="10" s="1"/>
  <c r="I55" i="10"/>
  <c r="O55" i="10"/>
  <c r="G50" i="10" a="1"/>
  <c r="G50" i="10" s="1"/>
  <c r="Q18" i="10" a="1"/>
  <c r="Q18" i="10" s="1"/>
  <c r="B21" i="10"/>
  <c r="P51" i="10" a="1"/>
  <c r="P51" i="10" s="1"/>
  <c r="L22" i="10" a="1"/>
  <c r="L22" i="10" s="1"/>
  <c r="J20" i="10"/>
  <c r="J32" i="10" s="1"/>
  <c r="M32" i="10" s="1"/>
  <c r="O22" i="10" a="1"/>
  <c r="O22" i="10" s="1"/>
  <c r="R22" i="10" a="1"/>
  <c r="R22" i="10" s="1"/>
  <c r="G55" i="10" a="1"/>
  <c r="G55" i="10" s="1"/>
  <c r="L48" i="10"/>
  <c r="D50" i="10" a="1"/>
  <c r="D50" i="10" s="1"/>
  <c r="P24" i="10" a="1"/>
  <c r="P24" i="10" s="1"/>
  <c r="P36" i="10" s="1"/>
  <c r="C54" i="10"/>
  <c r="N24" i="10" a="1"/>
  <c r="N24" i="10" s="1"/>
  <c r="I33" i="10"/>
  <c r="O25" i="10" a="1"/>
  <c r="O25" i="10" s="1"/>
  <c r="Q25" i="10" a="1"/>
  <c r="Q25" i="10" s="1"/>
  <c r="D18" i="10" a="1"/>
  <c r="D18" i="10" s="1"/>
  <c r="H20" i="10"/>
  <c r="G22" i="10" a="1"/>
  <c r="G22" i="10" s="1"/>
  <c r="K22" i="10"/>
  <c r="K34" i="10" s="1"/>
  <c r="F22" i="10" a="1"/>
  <c r="F22" i="10" s="1"/>
  <c r="J22" i="10"/>
  <c r="J34" i="10" s="1"/>
  <c r="D51" i="8"/>
  <c r="D28" i="8"/>
  <c r="D50" i="8" s="1"/>
  <c r="D52" i="8"/>
  <c r="I49" i="8"/>
  <c r="J49" i="8" s="1"/>
  <c r="K49" i="8" s="1"/>
  <c r="D5" i="8"/>
  <c r="B24" i="10"/>
  <c r="B36" i="10"/>
  <c r="B54" i="10"/>
  <c r="B20" i="10"/>
  <c r="B32" i="10"/>
  <c r="B50" i="10"/>
  <c r="B34" i="10"/>
  <c r="B52" i="10"/>
  <c r="B22" i="10"/>
  <c r="B31" i="10"/>
  <c r="B19" i="10"/>
  <c r="B49" i="10"/>
  <c r="B23" i="10"/>
  <c r="B53" i="10"/>
  <c r="B35" i="10"/>
  <c r="E31" i="10"/>
  <c r="G13" i="10"/>
  <c r="B18" i="10"/>
  <c r="I16" i="8"/>
  <c r="H16" i="8"/>
  <c r="G16" i="8"/>
  <c r="E16" i="8"/>
  <c r="I5" i="8"/>
  <c r="L50" i="10" l="1"/>
  <c r="M7" i="34"/>
  <c r="H35" i="10"/>
  <c r="N35" i="10"/>
  <c r="M35" i="10"/>
  <c r="G35" i="10"/>
  <c r="L35" i="10"/>
  <c r="F35" i="10"/>
  <c r="P35" i="10"/>
  <c r="Q35" i="10"/>
  <c r="M53" i="10"/>
  <c r="O35" i="10"/>
  <c r="E35" i="10"/>
  <c r="E53" i="10" a="1"/>
  <c r="E53" i="10" s="1"/>
  <c r="L53" i="10"/>
  <c r="H36" i="10"/>
  <c r="N49" i="10"/>
  <c r="L49" i="10"/>
  <c r="G30" i="10"/>
  <c r="M161" i="3"/>
  <c r="F34" i="5"/>
  <c r="N33" i="3"/>
  <c r="Q36" i="10"/>
  <c r="F34" i="10"/>
  <c r="G34" i="10"/>
  <c r="Q33" i="10"/>
  <c r="G33" i="10"/>
  <c r="I50" i="10"/>
  <c r="O50" i="10"/>
  <c r="M50" i="10"/>
  <c r="K50" i="10" a="1"/>
  <c r="K50" i="10" s="1"/>
  <c r="P31" i="10"/>
  <c r="D49" i="10" a="1"/>
  <c r="D49" i="10" s="1"/>
  <c r="K49" i="10" a="1"/>
  <c r="K49" i="10" s="1"/>
  <c r="J49" i="10"/>
  <c r="M49" i="10"/>
  <c r="I49" i="10"/>
  <c r="E49" i="10" a="1"/>
  <c r="E49" i="10" s="1"/>
  <c r="G49" i="10" a="1"/>
  <c r="G49" i="10" s="1"/>
  <c r="O53" i="10"/>
  <c r="G36" i="10"/>
  <c r="F36" i="10"/>
  <c r="O36" i="10"/>
  <c r="E36" i="10"/>
  <c r="H49" i="10" a="1"/>
  <c r="H49" i="10" s="1"/>
  <c r="P49" i="10" a="1"/>
  <c r="P49" i="10" s="1"/>
  <c r="N48" i="10"/>
  <c r="E48" i="10" a="1"/>
  <c r="E48" i="10" s="1"/>
  <c r="M48" i="10"/>
  <c r="F49" i="10" a="1"/>
  <c r="F49" i="10" s="1"/>
  <c r="G48" i="10" a="1"/>
  <c r="G48" i="10" s="1"/>
  <c r="I48" i="10"/>
  <c r="G13" i="5"/>
  <c r="O12" i="3"/>
  <c r="O140" i="3" s="1"/>
  <c r="Q20" i="3"/>
  <c r="I21" i="5"/>
  <c r="G12" i="5"/>
  <c r="O11" i="3"/>
  <c r="O139" i="3" s="1"/>
  <c r="P53" i="10" a="1"/>
  <c r="P53" i="10" s="1"/>
  <c r="N53" i="10"/>
  <c r="J53" i="10"/>
  <c r="I53" i="10"/>
  <c r="K53" i="10" a="1"/>
  <c r="K53" i="10" s="1"/>
  <c r="F53" i="10" a="1"/>
  <c r="F53" i="10" s="1"/>
  <c r="J40" i="8"/>
  <c r="K40" i="8"/>
  <c r="L40" i="8"/>
  <c r="N40" i="8"/>
  <c r="M40" i="8"/>
  <c r="N65" i="2"/>
  <c r="N51" i="3"/>
  <c r="O51" i="3" s="1"/>
  <c r="P51" i="3" s="1"/>
  <c r="Q51" i="3" s="1"/>
  <c r="R51" i="3" s="1"/>
  <c r="S51" i="3" s="1"/>
  <c r="N20" i="2"/>
  <c r="O20" i="2" s="1"/>
  <c r="P20" i="2" s="1"/>
  <c r="Q20" i="2" s="1"/>
  <c r="R20" i="2" s="1"/>
  <c r="S20" i="2" s="1"/>
  <c r="M66" i="2"/>
  <c r="N50" i="3"/>
  <c r="O50" i="3" s="1"/>
  <c r="P50" i="3" s="1"/>
  <c r="Q50" i="3" s="1"/>
  <c r="R50" i="3" s="1"/>
  <c r="S50" i="3" s="1"/>
  <c r="N48" i="3"/>
  <c r="O48" i="3" s="1"/>
  <c r="P48" i="3" s="1"/>
  <c r="Q48" i="3" s="1"/>
  <c r="R48" i="3" s="1"/>
  <c r="S48" i="3" s="1"/>
  <c r="F35" i="5"/>
  <c r="N34" i="3"/>
  <c r="N162" i="3" s="1"/>
  <c r="N49" i="3"/>
  <c r="O49" i="3" s="1"/>
  <c r="P49" i="3" s="1"/>
  <c r="Q49" i="3" s="1"/>
  <c r="R49" i="3" s="1"/>
  <c r="S49" i="3" s="1"/>
  <c r="N42" i="3"/>
  <c r="O42" i="3" s="1"/>
  <c r="P42" i="3" s="1"/>
  <c r="Q42" i="3" s="1"/>
  <c r="R42" i="3" s="1"/>
  <c r="S42" i="3" s="1"/>
  <c r="N35" i="3"/>
  <c r="F36" i="5"/>
  <c r="J6" i="10"/>
  <c r="P30" i="10" s="1"/>
  <c r="F30" i="10"/>
  <c r="H30" i="10"/>
  <c r="J8" i="10"/>
  <c r="P32" i="10" s="1"/>
  <c r="F32" i="10"/>
  <c r="H32" i="10"/>
  <c r="J51" i="10"/>
  <c r="D51" i="10" a="1"/>
  <c r="D51" i="10" s="1"/>
  <c r="N51" i="10"/>
  <c r="O51" i="10"/>
  <c r="E51" i="10" a="1"/>
  <c r="E51" i="10" s="1"/>
  <c r="M51" i="10"/>
  <c r="K51" i="10" a="1"/>
  <c r="K51" i="10" s="1"/>
  <c r="F51" i="10" a="1"/>
  <c r="F51" i="10" s="1"/>
  <c r="L51" i="10"/>
  <c r="G51" i="10" a="1"/>
  <c r="G51" i="10" s="1"/>
  <c r="I51" i="10"/>
  <c r="J48" i="10"/>
  <c r="P48" i="10" a="1"/>
  <c r="P48" i="10" s="1"/>
  <c r="F48" i="10" a="1"/>
  <c r="F48" i="10" s="1"/>
  <c r="K48" i="10" a="1"/>
  <c r="K48" i="10" s="1"/>
  <c r="H48" i="10" a="1"/>
  <c r="H48" i="10" s="1"/>
  <c r="D48" i="10" a="1"/>
  <c r="D48" i="10" s="1"/>
  <c r="Q31" i="10"/>
  <c r="D4" i="8"/>
  <c r="J66" i="3" s="1"/>
  <c r="O31" i="10"/>
  <c r="J39" i="10"/>
  <c r="J42" i="10" s="1"/>
  <c r="N31" i="10"/>
  <c r="L31" i="10"/>
  <c r="J40" i="10"/>
  <c r="J43" i="10" s="1"/>
  <c r="H34" i="10"/>
  <c r="O34" i="10"/>
  <c r="M31" i="10"/>
  <c r="I39" i="10"/>
  <c r="I42" i="10" s="1"/>
  <c r="I40" i="10"/>
  <c r="I43" i="10" s="1"/>
  <c r="K39" i="10"/>
  <c r="K42" i="10" s="1"/>
  <c r="K40" i="10"/>
  <c r="K43" i="10" s="1"/>
  <c r="P34" i="10"/>
  <c r="Q34" i="10"/>
  <c r="E34" i="10"/>
  <c r="E33" i="10"/>
  <c r="O33" i="10"/>
  <c r="E32" i="10"/>
  <c r="E30" i="10"/>
  <c r="P33" i="10"/>
  <c r="F33" i="10"/>
  <c r="N34" i="10"/>
  <c r="M34" i="10"/>
  <c r="H33" i="10"/>
  <c r="D34" i="8"/>
  <c r="D56" i="8" s="1"/>
  <c r="D55" i="8"/>
  <c r="N37" i="10"/>
  <c r="M37" i="10"/>
  <c r="L37" i="10"/>
  <c r="L32" i="10"/>
  <c r="D54" i="10" a="1"/>
  <c r="D54" i="10" s="1"/>
  <c r="I54" i="10"/>
  <c r="N54" i="10"/>
  <c r="G54" i="10" a="1"/>
  <c r="G54" i="10" s="1"/>
  <c r="L54" i="10"/>
  <c r="K54" i="10" a="1"/>
  <c r="K54" i="10" s="1"/>
  <c r="J54" i="10"/>
  <c r="H54" i="10" a="1"/>
  <c r="H54" i="10" s="1"/>
  <c r="P54" i="10" a="1"/>
  <c r="P54" i="10" s="1"/>
  <c r="E54" i="10" a="1"/>
  <c r="E54" i="10" s="1"/>
  <c r="F54" i="10" a="1"/>
  <c r="F54" i="10" s="1"/>
  <c r="O54" i="10"/>
  <c r="M54" i="10"/>
  <c r="L34" i="10"/>
  <c r="H37" i="10"/>
  <c r="G37" i="10"/>
  <c r="E37" i="10"/>
  <c r="J13" i="10"/>
  <c r="F37" i="10"/>
  <c r="E40" i="8"/>
  <c r="H40" i="8"/>
  <c r="I40" i="8"/>
  <c r="F40" i="8"/>
  <c r="G40" i="8"/>
  <c r="O56" i="10" l="1"/>
  <c r="F56" i="10"/>
  <c r="L56" i="10"/>
  <c r="N7" i="34"/>
  <c r="K56" i="10"/>
  <c r="P56" i="10"/>
  <c r="N56" i="10"/>
  <c r="I56" i="10"/>
  <c r="J56" i="10"/>
  <c r="G56" i="10"/>
  <c r="D56" i="10"/>
  <c r="M56" i="10"/>
  <c r="H56" i="10"/>
  <c r="E56" i="10"/>
  <c r="J65" i="3"/>
  <c r="K5" i="8" s="1"/>
  <c r="K66" i="3"/>
  <c r="N161" i="3"/>
  <c r="G34" i="5"/>
  <c r="O33" i="3"/>
  <c r="G35" i="5"/>
  <c r="O34" i="3"/>
  <c r="O162" i="3" s="1"/>
  <c r="R20" i="3"/>
  <c r="J21" i="5"/>
  <c r="P12" i="3"/>
  <c r="P140" i="3" s="1"/>
  <c r="P11" i="3"/>
  <c r="P139" i="3" s="1"/>
  <c r="H13" i="5"/>
  <c r="G36" i="5"/>
  <c r="O35" i="3"/>
  <c r="H12" i="5"/>
  <c r="N66" i="2"/>
  <c r="O65" i="2"/>
  <c r="Q30" i="10"/>
  <c r="O30" i="10"/>
  <c r="Q32" i="10"/>
  <c r="O32" i="10"/>
  <c r="M39" i="10"/>
  <c r="M42" i="10" s="1"/>
  <c r="N40" i="10"/>
  <c r="N43" i="10" s="1"/>
  <c r="P40" i="10"/>
  <c r="P43" i="10" s="1"/>
  <c r="L40" i="10"/>
  <c r="L43" i="10" s="1"/>
  <c r="N39" i="10"/>
  <c r="N42" i="10" s="1"/>
  <c r="L39" i="10"/>
  <c r="L42" i="10" s="1"/>
  <c r="P39" i="10"/>
  <c r="P42" i="10" s="1"/>
  <c r="M40" i="10"/>
  <c r="M43" i="10" s="1"/>
  <c r="G40" i="10"/>
  <c r="G43" i="10" s="1"/>
  <c r="G39" i="10"/>
  <c r="G42" i="10" s="1"/>
  <c r="F40" i="10"/>
  <c r="F43" i="10" s="1"/>
  <c r="F39" i="10"/>
  <c r="F42" i="10" s="1"/>
  <c r="H40" i="10"/>
  <c r="H43" i="10" s="1"/>
  <c r="H39" i="10"/>
  <c r="H42" i="10" s="1"/>
  <c r="E40" i="10"/>
  <c r="E43" i="10" s="1"/>
  <c r="E39" i="10"/>
  <c r="E42" i="10" s="1"/>
  <c r="O37" i="10"/>
  <c r="P37" i="10"/>
  <c r="Q37" i="10"/>
  <c r="I13" i="5" l="1"/>
  <c r="O7" i="34"/>
  <c r="K65" i="3"/>
  <c r="K6" i="8" s="1"/>
  <c r="O161" i="3"/>
  <c r="P33" i="3"/>
  <c r="H34" i="5"/>
  <c r="Q39" i="10"/>
  <c r="Q42" i="10" s="1"/>
  <c r="O39" i="10"/>
  <c r="O42" i="10" s="1"/>
  <c r="Q12" i="3"/>
  <c r="Q140" i="3" s="1"/>
  <c r="Q11" i="3"/>
  <c r="Q139" i="3" s="1"/>
  <c r="P34" i="3"/>
  <c r="P162" i="3" s="1"/>
  <c r="H35" i="5"/>
  <c r="H36" i="5"/>
  <c r="P35" i="3"/>
  <c r="S20" i="3"/>
  <c r="L21" i="5" s="1"/>
  <c r="K21" i="5"/>
  <c r="I12" i="5"/>
  <c r="Q40" i="10"/>
  <c r="Q43" i="10" s="1"/>
  <c r="O40" i="10"/>
  <c r="O43" i="10" s="1"/>
  <c r="P65" i="2"/>
  <c r="O66" i="2"/>
  <c r="P7" i="34" l="1"/>
  <c r="J13" i="5"/>
  <c r="P161" i="3"/>
  <c r="I34" i="5"/>
  <c r="Q33" i="3"/>
  <c r="R11" i="3"/>
  <c r="R139" i="3" s="1"/>
  <c r="Q34" i="3"/>
  <c r="Q162" i="3" s="1"/>
  <c r="I35" i="5"/>
  <c r="J12" i="5"/>
  <c r="Q35" i="3"/>
  <c r="I36" i="5"/>
  <c r="R12" i="3"/>
  <c r="P66" i="2"/>
  <c r="Q65" i="2"/>
  <c r="Q7" i="34" l="1"/>
  <c r="K12" i="5"/>
  <c r="K13" i="5"/>
  <c r="R140" i="3"/>
  <c r="Q161" i="3"/>
  <c r="J34" i="5"/>
  <c r="R33" i="3"/>
  <c r="R35" i="3"/>
  <c r="J36" i="5"/>
  <c r="R34" i="3"/>
  <c r="R162" i="3" s="1"/>
  <c r="J35" i="5"/>
  <c r="S11" i="3"/>
  <c r="S12" i="3"/>
  <c r="Q66" i="2"/>
  <c r="R65" i="2"/>
  <c r="S65" i="2"/>
  <c r="R7" i="34" l="1"/>
  <c r="L13" i="5"/>
  <c r="S140" i="3"/>
  <c r="L12" i="5"/>
  <c r="S139" i="3"/>
  <c r="R161" i="3"/>
  <c r="K34" i="5"/>
  <c r="S33" i="3"/>
  <c r="S34" i="3"/>
  <c r="K35" i="5"/>
  <c r="S35" i="3"/>
  <c r="L36" i="5" s="1"/>
  <c r="K36" i="5"/>
  <c r="R66" i="2"/>
  <c r="S66" i="2"/>
  <c r="S7" i="34" l="1"/>
  <c r="L35" i="5"/>
  <c r="S162" i="3"/>
  <c r="L34" i="5"/>
  <c r="S161" i="3"/>
  <c r="T23" i="2" l="1"/>
  <c r="J54" i="2" l="1"/>
  <c r="L30" i="34"/>
  <c r="L20" i="34" s="1"/>
  <c r="M30" i="34" l="1"/>
  <c r="M20" i="34" s="1"/>
  <c r="K30" i="34"/>
  <c r="K20" i="34" s="1"/>
  <c r="J30" i="34"/>
  <c r="J20" i="34" s="1"/>
  <c r="J14" i="34" s="1"/>
  <c r="J17" i="34" s="1"/>
  <c r="S30" i="34"/>
  <c r="S20" i="34" s="1"/>
  <c r="R30" i="34"/>
  <c r="R20" i="34" s="1"/>
  <c r="Q30" i="34"/>
  <c r="Q20" i="34" s="1"/>
  <c r="P30" i="34"/>
  <c r="P20" i="34" s="1"/>
  <c r="O30" i="34"/>
  <c r="O20" i="34" s="1"/>
  <c r="N30" i="34"/>
  <c r="N20" i="34" s="1"/>
  <c r="J78" i="3" l="1"/>
  <c r="J73" i="3" s="1"/>
  <c r="J26" i="3"/>
  <c r="J10" i="3"/>
  <c r="J4" i="34"/>
  <c r="K13" i="34"/>
  <c r="J22" i="34"/>
  <c r="J74" i="3"/>
  <c r="J77" i="3" s="1"/>
  <c r="J7" i="2" s="1"/>
  <c r="J53" i="2" l="1"/>
  <c r="K16" i="34"/>
  <c r="K14" i="34"/>
  <c r="K78" i="3" s="1"/>
  <c r="K73" i="3" s="1"/>
  <c r="J3" i="2"/>
  <c r="J5" i="34"/>
  <c r="J24" i="3"/>
  <c r="C11" i="5"/>
  <c r="J138" i="3"/>
  <c r="J75" i="3"/>
  <c r="J9" i="3" s="1"/>
  <c r="J22" i="3"/>
  <c r="J154" i="3"/>
  <c r="C27" i="5"/>
  <c r="J39" i="2"/>
  <c r="K74" i="3" l="1"/>
  <c r="K77" i="3" s="1"/>
  <c r="K7" i="2" s="1"/>
  <c r="K8" i="2"/>
  <c r="J21" i="3"/>
  <c r="J152" i="3"/>
  <c r="C25" i="5"/>
  <c r="K17" i="34"/>
  <c r="J150" i="3"/>
  <c r="C23" i="5"/>
  <c r="J137" i="3"/>
  <c r="C10" i="5"/>
  <c r="J5" i="3"/>
  <c r="J25" i="28" s="1"/>
  <c r="J28" i="28" s="1"/>
  <c r="J13" i="3"/>
  <c r="J28" i="3"/>
  <c r="J6" i="2"/>
  <c r="J49" i="2"/>
  <c r="J69" i="2"/>
  <c r="J77" i="2"/>
  <c r="J4" i="2"/>
  <c r="J74" i="2"/>
  <c r="J73" i="2"/>
  <c r="K75" i="3" l="1"/>
  <c r="K9" i="3" s="1"/>
  <c r="D10" i="5" s="1"/>
  <c r="J149" i="3"/>
  <c r="C22" i="5"/>
  <c r="K54" i="2"/>
  <c r="J18" i="3"/>
  <c r="J19" i="3"/>
  <c r="J72" i="2"/>
  <c r="J52" i="2"/>
  <c r="J156" i="3"/>
  <c r="C29" i="5"/>
  <c r="J17" i="3"/>
  <c r="J6" i="3"/>
  <c r="J26" i="28" s="1"/>
  <c r="J29" i="28" s="1"/>
  <c r="J7" i="3"/>
  <c r="J50" i="2"/>
  <c r="J70" i="2"/>
  <c r="J141" i="3"/>
  <c r="C14" i="5"/>
  <c r="J5" i="2"/>
  <c r="C6" i="5"/>
  <c r="J133" i="3"/>
  <c r="K26" i="3"/>
  <c r="K10" i="3"/>
  <c r="K22" i="34"/>
  <c r="L13" i="34"/>
  <c r="K4" i="34"/>
  <c r="K53" i="2"/>
  <c r="K137" i="3" l="1"/>
  <c r="J135" i="3"/>
  <c r="C8" i="5"/>
  <c r="J147" i="3"/>
  <c r="C20" i="5"/>
  <c r="C7" i="5"/>
  <c r="J134" i="3"/>
  <c r="J146" i="3"/>
  <c r="C19" i="5"/>
  <c r="K22" i="3"/>
  <c r="K154" i="3"/>
  <c r="K39" i="2"/>
  <c r="D27" i="5"/>
  <c r="J23" i="3"/>
  <c r="J145" i="3"/>
  <c r="C18" i="5"/>
  <c r="L16" i="34"/>
  <c r="L14" i="34"/>
  <c r="L78" i="3" s="1"/>
  <c r="L73" i="3" s="1"/>
  <c r="J4" i="28"/>
  <c r="J71" i="2"/>
  <c r="J5" i="28"/>
  <c r="J9" i="2"/>
  <c r="J51" i="2"/>
  <c r="K24" i="3"/>
  <c r="K138" i="3"/>
  <c r="D11" i="5"/>
  <c r="J27" i="28"/>
  <c r="J30" i="28" s="1"/>
  <c r="J31" i="28" s="1"/>
  <c r="K3" i="2"/>
  <c r="K5" i="34"/>
  <c r="L8" i="2" l="1"/>
  <c r="L74" i="3"/>
  <c r="L77" i="3" s="1"/>
  <c r="L7" i="2" s="1"/>
  <c r="K13" i="3"/>
  <c r="K28" i="3"/>
  <c r="K5" i="3"/>
  <c r="K6" i="2"/>
  <c r="K49" i="2"/>
  <c r="K4" i="2"/>
  <c r="K69" i="2"/>
  <c r="K77" i="2"/>
  <c r="K74" i="2"/>
  <c r="K73" i="2"/>
  <c r="K150" i="3"/>
  <c r="D23" i="5"/>
  <c r="L17" i="34"/>
  <c r="J55" i="2"/>
  <c r="J22" i="28" s="1"/>
  <c r="J75" i="2"/>
  <c r="J151" i="3"/>
  <c r="K21" i="3"/>
  <c r="D25" i="5"/>
  <c r="K152" i="3"/>
  <c r="L75" i="3" l="1"/>
  <c r="L9" i="3" s="1"/>
  <c r="K156" i="3"/>
  <c r="D29" i="5"/>
  <c r="K133" i="3"/>
  <c r="D6" i="5"/>
  <c r="K25" i="28"/>
  <c r="K28" i="28" s="1"/>
  <c r="K7" i="3"/>
  <c r="K17" i="3"/>
  <c r="K27" i="28" s="1"/>
  <c r="K30" i="28" s="1"/>
  <c r="K6" i="3"/>
  <c r="K26" i="28" s="1"/>
  <c r="K29" i="28" s="1"/>
  <c r="K50" i="2"/>
  <c r="K70" i="2"/>
  <c r="L53" i="2"/>
  <c r="L26" i="3"/>
  <c r="L10" i="3"/>
  <c r="L22" i="34"/>
  <c r="M13" i="34"/>
  <c r="L4" i="34"/>
  <c r="K141" i="3"/>
  <c r="D14" i="5"/>
  <c r="L54" i="2"/>
  <c r="K149" i="3"/>
  <c r="D22" i="5"/>
  <c r="L137" i="3"/>
  <c r="E10" i="5"/>
  <c r="K5" i="2"/>
  <c r="K19" i="3"/>
  <c r="K18" i="3"/>
  <c r="K52" i="2"/>
  <c r="K72" i="2"/>
  <c r="K31" i="28" l="1"/>
  <c r="D19" i="5"/>
  <c r="K146" i="3"/>
  <c r="L5" i="34"/>
  <c r="L3" i="2"/>
  <c r="K147" i="3"/>
  <c r="D20" i="5"/>
  <c r="L24" i="3"/>
  <c r="L138" i="3"/>
  <c r="E11" i="5"/>
  <c r="K134" i="3"/>
  <c r="D7" i="5"/>
  <c r="K4" i="28"/>
  <c r="K71" i="2"/>
  <c r="K51" i="2"/>
  <c r="K5" i="28"/>
  <c r="K9" i="2"/>
  <c r="M14" i="34"/>
  <c r="M78" i="3" s="1"/>
  <c r="M73" i="3" s="1"/>
  <c r="M16" i="34"/>
  <c r="M8" i="2" s="1"/>
  <c r="L22" i="3"/>
  <c r="L154" i="3"/>
  <c r="L39" i="2"/>
  <c r="E27" i="5"/>
  <c r="K23" i="3"/>
  <c r="K145" i="3"/>
  <c r="D18" i="5"/>
  <c r="K135" i="3"/>
  <c r="D8" i="5"/>
  <c r="M74" i="3" l="1"/>
  <c r="M77" i="3" s="1"/>
  <c r="M7" i="2" s="1"/>
  <c r="K75" i="2"/>
  <c r="K55" i="2"/>
  <c r="K22" i="28" s="1"/>
  <c r="L13" i="3"/>
  <c r="L28" i="3"/>
  <c r="L5" i="3"/>
  <c r="L25" i="28" s="1"/>
  <c r="L28" i="28" s="1"/>
  <c r="L6" i="2"/>
  <c r="L4" i="2"/>
  <c r="L5" i="2" s="1"/>
  <c r="L49" i="2"/>
  <c r="L69" i="2"/>
  <c r="L77" i="2"/>
  <c r="L73" i="2"/>
  <c r="L74" i="2"/>
  <c r="L150" i="3"/>
  <c r="E23" i="5"/>
  <c r="M17" i="34"/>
  <c r="L21" i="3"/>
  <c r="E25" i="5"/>
  <c r="L152" i="3"/>
  <c r="K151" i="3"/>
  <c r="M54" i="2"/>
  <c r="M75" i="3" l="1"/>
  <c r="M9" i="3" s="1"/>
  <c r="L141" i="3"/>
  <c r="E14" i="5"/>
  <c r="L19" i="3"/>
  <c r="L18" i="3"/>
  <c r="L52" i="2"/>
  <c r="L72" i="2"/>
  <c r="L71" i="2"/>
  <c r="L4" i="28"/>
  <c r="L9" i="2"/>
  <c r="L51" i="2"/>
  <c r="L5" i="28"/>
  <c r="M137" i="3"/>
  <c r="F10" i="5"/>
  <c r="L7" i="3"/>
  <c r="L17" i="3"/>
  <c r="L27" i="28" s="1"/>
  <c r="L30" i="28" s="1"/>
  <c r="L6" i="3"/>
  <c r="L26" i="28" s="1"/>
  <c r="L29" i="28" s="1"/>
  <c r="L70" i="2"/>
  <c r="L50" i="2"/>
  <c r="L133" i="3"/>
  <c r="E6" i="5"/>
  <c r="M53" i="2"/>
  <c r="M10" i="3"/>
  <c r="M26" i="3"/>
  <c r="N13" i="34"/>
  <c r="M22" i="34"/>
  <c r="M4" i="34"/>
  <c r="L149" i="3"/>
  <c r="E22" i="5"/>
  <c r="L156" i="3"/>
  <c r="E29" i="5"/>
  <c r="L31" i="28" l="1"/>
  <c r="L146" i="3"/>
  <c r="E19" i="5"/>
  <c r="L147" i="3"/>
  <c r="E20" i="5"/>
  <c r="M24" i="3"/>
  <c r="M138" i="3"/>
  <c r="F11" i="5"/>
  <c r="L134" i="3"/>
  <c r="E7" i="5"/>
  <c r="M5" i="34"/>
  <c r="M3" i="2"/>
  <c r="L23" i="3"/>
  <c r="L145" i="3"/>
  <c r="E18" i="5"/>
  <c r="M22" i="3"/>
  <c r="M39" i="2"/>
  <c r="M154" i="3"/>
  <c r="F27" i="5"/>
  <c r="L75" i="2"/>
  <c r="L55" i="2"/>
  <c r="L22" i="28" s="1"/>
  <c r="L135" i="3"/>
  <c r="E8" i="5"/>
  <c r="N14" i="34"/>
  <c r="N78" i="3" s="1"/>
  <c r="N73" i="3" s="1"/>
  <c r="N16" i="34"/>
  <c r="N8" i="2" s="1"/>
  <c r="N17" i="34" l="1"/>
  <c r="N4" i="34" s="1"/>
  <c r="N3" i="2" s="1"/>
  <c r="N74" i="2" s="1"/>
  <c r="M21" i="3"/>
  <c r="F25" i="5"/>
  <c r="M152" i="3"/>
  <c r="F23" i="5"/>
  <c r="M150" i="3"/>
  <c r="N54" i="2"/>
  <c r="N74" i="3"/>
  <c r="N77" i="3" s="1"/>
  <c r="N7" i="2" s="1"/>
  <c r="L151" i="3"/>
  <c r="M13" i="3"/>
  <c r="M28" i="3"/>
  <c r="M5" i="3"/>
  <c r="M25" i="28" s="1"/>
  <c r="M28" i="28" s="1"/>
  <c r="M4" i="2"/>
  <c r="M5" i="2" s="1"/>
  <c r="M6" i="2"/>
  <c r="M69" i="2"/>
  <c r="M49" i="2"/>
  <c r="M77" i="2"/>
  <c r="M74" i="2"/>
  <c r="M73" i="2"/>
  <c r="O13" i="34" l="1"/>
  <c r="N10" i="3"/>
  <c r="G11" i="5" s="1"/>
  <c r="N22" i="34"/>
  <c r="N5" i="34"/>
  <c r="N26" i="3"/>
  <c r="N39" i="2" s="1"/>
  <c r="N75" i="3"/>
  <c r="N9" i="3" s="1"/>
  <c r="N137" i="3" s="1"/>
  <c r="F29" i="5"/>
  <c r="M156" i="3"/>
  <c r="M141" i="3"/>
  <c r="F14" i="5"/>
  <c r="M18" i="3"/>
  <c r="M19" i="3"/>
  <c r="M52" i="2"/>
  <c r="M72" i="2"/>
  <c r="M9" i="2"/>
  <c r="M51" i="2"/>
  <c r="M5" i="28"/>
  <c r="M71" i="2"/>
  <c r="M4" i="28"/>
  <c r="N13" i="3"/>
  <c r="G14" i="5" s="1"/>
  <c r="N28" i="3"/>
  <c r="N5" i="3"/>
  <c r="G6" i="5" s="1"/>
  <c r="N4" i="2"/>
  <c r="N5" i="2" s="1"/>
  <c r="N69" i="2"/>
  <c r="N77" i="2"/>
  <c r="N6" i="2"/>
  <c r="N49" i="2"/>
  <c r="O14" i="34"/>
  <c r="O78" i="3" s="1"/>
  <c r="O73" i="3" s="1"/>
  <c r="O16" i="34"/>
  <c r="O8" i="2" s="1"/>
  <c r="M6" i="3"/>
  <c r="M7" i="3"/>
  <c r="M17" i="3"/>
  <c r="M27" i="28" s="1"/>
  <c r="M30" i="28" s="1"/>
  <c r="M70" i="2"/>
  <c r="M50" i="2"/>
  <c r="N73" i="2"/>
  <c r="N53" i="2"/>
  <c r="N24" i="3"/>
  <c r="N138" i="3"/>
  <c r="M133" i="3"/>
  <c r="F6" i="5"/>
  <c r="M149" i="3"/>
  <c r="F22" i="5"/>
  <c r="N22" i="3" l="1"/>
  <c r="G27" i="5"/>
  <c r="N154" i="3"/>
  <c r="G10" i="5"/>
  <c r="N25" i="28"/>
  <c r="N28" i="28" s="1"/>
  <c r="M146" i="3"/>
  <c r="F19" i="5"/>
  <c r="O54" i="2"/>
  <c r="N9" i="2"/>
  <c r="N51" i="2"/>
  <c r="N5" i="28"/>
  <c r="N71" i="2"/>
  <c r="N4" i="28"/>
  <c r="M134" i="3"/>
  <c r="F7" i="5"/>
  <c r="N150" i="3"/>
  <c r="G23" i="5"/>
  <c r="M26" i="28"/>
  <c r="M29" i="28" s="1"/>
  <c r="M31" i="28" s="1"/>
  <c r="O17" i="34"/>
  <c r="M75" i="2"/>
  <c r="M55" i="2"/>
  <c r="M22" i="28" s="1"/>
  <c r="O74" i="3"/>
  <c r="O77" i="3" s="1"/>
  <c r="O7" i="2" s="1"/>
  <c r="N6" i="3"/>
  <c r="N26" i="28" s="1"/>
  <c r="N29" i="28" s="1"/>
  <c r="N7" i="3"/>
  <c r="G8" i="5" s="1"/>
  <c r="N17" i="3"/>
  <c r="N27" i="28" s="1"/>
  <c r="N30" i="28" s="1"/>
  <c r="N70" i="2"/>
  <c r="N50" i="2"/>
  <c r="N133" i="3"/>
  <c r="M23" i="3"/>
  <c r="F18" i="5"/>
  <c r="M145" i="3"/>
  <c r="N18" i="3"/>
  <c r="N19" i="3"/>
  <c r="N52" i="2"/>
  <c r="N72" i="2"/>
  <c r="G29" i="5"/>
  <c r="N156" i="3"/>
  <c r="N21" i="3"/>
  <c r="N152" i="3"/>
  <c r="G25" i="5"/>
  <c r="M135" i="3"/>
  <c r="F8" i="5"/>
  <c r="N141" i="3"/>
  <c r="M147" i="3"/>
  <c r="F20" i="5"/>
  <c r="O75" i="3" l="1"/>
  <c r="O9" i="3" s="1"/>
  <c r="H10" i="5" s="1"/>
  <c r="G7" i="5"/>
  <c r="N31" i="28"/>
  <c r="N135" i="3"/>
  <c r="N146" i="3"/>
  <c r="G19" i="5"/>
  <c r="N149" i="3"/>
  <c r="G22" i="5"/>
  <c r="M151" i="3"/>
  <c r="N55" i="2"/>
  <c r="N22" i="28" s="1"/>
  <c r="N75" i="2"/>
  <c r="N23" i="3"/>
  <c r="N145" i="3"/>
  <c r="G18" i="5"/>
  <c r="O26" i="3"/>
  <c r="O10" i="3"/>
  <c r="O22" i="34"/>
  <c r="P13" i="34"/>
  <c r="O4" i="34"/>
  <c r="N134" i="3"/>
  <c r="N147" i="3"/>
  <c r="G20" i="5"/>
  <c r="O53" i="2"/>
  <c r="O137" i="3" l="1"/>
  <c r="N151" i="3"/>
  <c r="O3" i="2"/>
  <c r="O5" i="34"/>
  <c r="P16" i="34"/>
  <c r="P8" i="2" s="1"/>
  <c r="P14" i="34"/>
  <c r="P78" i="3" s="1"/>
  <c r="P73" i="3" s="1"/>
  <c r="O24" i="3"/>
  <c r="O138" i="3"/>
  <c r="H11" i="5"/>
  <c r="O22" i="3"/>
  <c r="H27" i="5"/>
  <c r="O39" i="2"/>
  <c r="O154" i="3"/>
  <c r="O150" i="3" l="1"/>
  <c r="H23" i="5"/>
  <c r="P17" i="34"/>
  <c r="O5" i="3"/>
  <c r="O13" i="3"/>
  <c r="O28" i="3"/>
  <c r="O4" i="2"/>
  <c r="O69" i="2"/>
  <c r="O77" i="2"/>
  <c r="O49" i="2"/>
  <c r="O6" i="2"/>
  <c r="O74" i="2"/>
  <c r="O73" i="2"/>
  <c r="P74" i="3"/>
  <c r="P77" i="3" s="1"/>
  <c r="P7" i="2" s="1"/>
  <c r="O21" i="3"/>
  <c r="O152" i="3"/>
  <c r="H25" i="5"/>
  <c r="P54" i="2"/>
  <c r="O17" i="3" l="1"/>
  <c r="O6" i="3"/>
  <c r="O7" i="3"/>
  <c r="O50" i="2"/>
  <c r="O70" i="2"/>
  <c r="P53" i="2"/>
  <c r="O5" i="2"/>
  <c r="H22" i="5"/>
  <c r="O149" i="3"/>
  <c r="H29" i="5"/>
  <c r="O156" i="3"/>
  <c r="O141" i="3"/>
  <c r="H14" i="5"/>
  <c r="O18" i="3"/>
  <c r="O19" i="3"/>
  <c r="O72" i="2"/>
  <c r="O52" i="2"/>
  <c r="O133" i="3"/>
  <c r="H6" i="5"/>
  <c r="P26" i="3"/>
  <c r="P10" i="3"/>
  <c r="Q13" i="34"/>
  <c r="P22" i="34"/>
  <c r="P4" i="34"/>
  <c r="P75" i="3"/>
  <c r="P9" i="3" s="1"/>
  <c r="Q16" i="34" l="1"/>
  <c r="Q8" i="2" s="1"/>
  <c r="Q14" i="34"/>
  <c r="Q78" i="3" s="1"/>
  <c r="Q73" i="3" s="1"/>
  <c r="P137" i="3"/>
  <c r="I10" i="5"/>
  <c r="O9" i="2"/>
  <c r="O51" i="2"/>
  <c r="O71" i="2"/>
  <c r="O147" i="3"/>
  <c r="H20" i="5"/>
  <c r="P22" i="3"/>
  <c r="P154" i="3"/>
  <c r="I27" i="5"/>
  <c r="P39" i="2"/>
  <c r="O146" i="3"/>
  <c r="H19" i="5"/>
  <c r="O135" i="3"/>
  <c r="H8" i="5"/>
  <c r="P24" i="3"/>
  <c r="P138" i="3"/>
  <c r="I11" i="5"/>
  <c r="O134" i="3"/>
  <c r="H7" i="5"/>
  <c r="P3" i="2"/>
  <c r="P5" i="34"/>
  <c r="O23" i="3"/>
  <c r="O145" i="3"/>
  <c r="H18" i="5"/>
  <c r="P150" i="3" l="1"/>
  <c r="I23" i="5"/>
  <c r="O151" i="3"/>
  <c r="Q74" i="3"/>
  <c r="Q77" i="3" s="1"/>
  <c r="Q7" i="2" s="1"/>
  <c r="P21" i="3"/>
  <c r="P152" i="3"/>
  <c r="I25" i="5"/>
  <c r="Q54" i="2"/>
  <c r="P5" i="3"/>
  <c r="P13" i="3"/>
  <c r="P28" i="3"/>
  <c r="P69" i="2"/>
  <c r="P77" i="2"/>
  <c r="P4" i="2"/>
  <c r="P5" i="2" s="1"/>
  <c r="P49" i="2"/>
  <c r="P6" i="2"/>
  <c r="P74" i="2"/>
  <c r="P73" i="2"/>
  <c r="O55" i="2"/>
  <c r="O75" i="2"/>
  <c r="Q17" i="34"/>
  <c r="P51" i="2" l="1"/>
  <c r="P71" i="2"/>
  <c r="P9" i="2"/>
  <c r="P133" i="3"/>
  <c r="I6" i="5"/>
  <c r="P18" i="3"/>
  <c r="P19" i="3"/>
  <c r="P72" i="2"/>
  <c r="P52" i="2"/>
  <c r="P156" i="3"/>
  <c r="I29" i="5"/>
  <c r="P149" i="3"/>
  <c r="I22" i="5"/>
  <c r="Q53" i="2"/>
  <c r="Q26" i="3"/>
  <c r="Q10" i="3"/>
  <c r="R13" i="34"/>
  <c r="Q22" i="34"/>
  <c r="Q4" i="34"/>
  <c r="P17" i="3"/>
  <c r="P6" i="3"/>
  <c r="P7" i="3"/>
  <c r="P50" i="2"/>
  <c r="P70" i="2"/>
  <c r="P141" i="3"/>
  <c r="I14" i="5"/>
  <c r="Q75" i="3"/>
  <c r="Q9" i="3" s="1"/>
  <c r="Q3" i="2" l="1"/>
  <c r="Q5" i="34"/>
  <c r="P146" i="3"/>
  <c r="I19" i="5"/>
  <c r="Q22" i="3"/>
  <c r="Q154" i="3"/>
  <c r="J27" i="5"/>
  <c r="Q39" i="2"/>
  <c r="P135" i="3"/>
  <c r="I8" i="5"/>
  <c r="P55" i="2"/>
  <c r="P75" i="2"/>
  <c r="Q24" i="3"/>
  <c r="Q138" i="3"/>
  <c r="J11" i="5"/>
  <c r="Q137" i="3"/>
  <c r="J10" i="5"/>
  <c r="P134" i="3"/>
  <c r="I7" i="5"/>
  <c r="R14" i="34"/>
  <c r="R78" i="3" s="1"/>
  <c r="R73" i="3" s="1"/>
  <c r="R16" i="34"/>
  <c r="R8" i="2" s="1"/>
  <c r="P23" i="3"/>
  <c r="P145" i="3"/>
  <c r="I18" i="5"/>
  <c r="P147" i="3"/>
  <c r="I20" i="5"/>
  <c r="R17" i="34" l="1"/>
  <c r="R26" i="3" s="1"/>
  <c r="Q150" i="3"/>
  <c r="J23" i="5"/>
  <c r="P151" i="3"/>
  <c r="R54" i="2"/>
  <c r="Q21" i="3"/>
  <c r="Q152" i="3"/>
  <c r="J25" i="5"/>
  <c r="R74" i="3"/>
  <c r="R77" i="3" s="1"/>
  <c r="R7" i="2" s="1"/>
  <c r="Q5" i="3"/>
  <c r="Q13" i="3"/>
  <c r="Q28" i="3"/>
  <c r="Q49" i="2"/>
  <c r="Q69" i="2"/>
  <c r="Q77" i="2"/>
  <c r="Q6" i="2"/>
  <c r="Q4" i="2"/>
  <c r="Q5" i="2" s="1"/>
  <c r="Q74" i="2"/>
  <c r="Q73" i="2"/>
  <c r="R75" i="3" l="1"/>
  <c r="R9" i="3" s="1"/>
  <c r="R137" i="3" s="1"/>
  <c r="S13" i="34"/>
  <c r="S14" i="34" s="1"/>
  <c r="S78" i="3" s="1"/>
  <c r="S73" i="3" s="1"/>
  <c r="R22" i="34"/>
  <c r="R4" i="34"/>
  <c r="R5" i="34" s="1"/>
  <c r="R10" i="3"/>
  <c r="R24" i="3" s="1"/>
  <c r="Q51" i="2"/>
  <c r="Q9" i="2"/>
  <c r="Q71" i="2"/>
  <c r="Q156" i="3"/>
  <c r="J29" i="5"/>
  <c r="Q141" i="3"/>
  <c r="J14" i="5"/>
  <c r="Q149" i="3"/>
  <c r="J22" i="5"/>
  <c r="Q133" i="3"/>
  <c r="J6" i="5"/>
  <c r="Q18" i="3"/>
  <c r="Q19" i="3"/>
  <c r="Q72" i="2"/>
  <c r="Q52" i="2"/>
  <c r="Q17" i="3"/>
  <c r="Q6" i="3"/>
  <c r="Q7" i="3"/>
  <c r="Q50" i="2"/>
  <c r="Q70" i="2"/>
  <c r="R53" i="2"/>
  <c r="R22" i="3"/>
  <c r="R154" i="3"/>
  <c r="K27" i="5"/>
  <c r="R39" i="2"/>
  <c r="K11" i="5" l="1"/>
  <c r="S16" i="34"/>
  <c r="S8" i="2" s="1"/>
  <c r="S54" i="2" s="1"/>
  <c r="R3" i="2"/>
  <c r="R73" i="2" s="1"/>
  <c r="K10" i="5"/>
  <c r="R138" i="3"/>
  <c r="S17" i="34"/>
  <c r="S4" i="34" s="1"/>
  <c r="S5" i="34" s="1"/>
  <c r="Q135" i="3"/>
  <c r="J8" i="5"/>
  <c r="Q134" i="3"/>
  <c r="J7" i="5"/>
  <c r="R150" i="3"/>
  <c r="K23" i="5"/>
  <c r="Q23" i="3"/>
  <c r="Q145" i="3"/>
  <c r="J18" i="5"/>
  <c r="J20" i="5"/>
  <c r="Q147" i="3"/>
  <c r="Q146" i="3"/>
  <c r="J19" i="5"/>
  <c r="S74" i="3"/>
  <c r="S77" i="3" s="1"/>
  <c r="S7" i="2" s="1"/>
  <c r="Q55" i="2"/>
  <c r="Q75" i="2"/>
  <c r="R21" i="3"/>
  <c r="R152" i="3"/>
  <c r="K25" i="5"/>
  <c r="R28" i="3" l="1"/>
  <c r="R13" i="3"/>
  <c r="R141" i="3" s="1"/>
  <c r="R6" i="2"/>
  <c r="R19" i="3" s="1"/>
  <c r="R5" i="3"/>
  <c r="K6" i="5" s="1"/>
  <c r="R74" i="2"/>
  <c r="R4" i="2"/>
  <c r="R5" i="2" s="1"/>
  <c r="R51" i="2" s="1"/>
  <c r="R77" i="2"/>
  <c r="R69" i="2"/>
  <c r="S22" i="34"/>
  <c r="R49" i="2"/>
  <c r="S75" i="3"/>
  <c r="S9" i="3" s="1"/>
  <c r="S137" i="3" s="1"/>
  <c r="S26" i="3"/>
  <c r="S22" i="3" s="1"/>
  <c r="S3" i="2"/>
  <c r="S74" i="2" s="1"/>
  <c r="S10" i="3"/>
  <c r="S138" i="3" s="1"/>
  <c r="R156" i="3"/>
  <c r="K29" i="5"/>
  <c r="S53" i="2"/>
  <c r="R149" i="3"/>
  <c r="K22" i="5"/>
  <c r="Q151" i="3"/>
  <c r="L10" i="5" l="1"/>
  <c r="S39" i="2"/>
  <c r="R133" i="3"/>
  <c r="K14" i="5"/>
  <c r="R18" i="3"/>
  <c r="K19" i="5" s="1"/>
  <c r="R52" i="2"/>
  <c r="R50" i="2"/>
  <c r="R70" i="2"/>
  <c r="R7" i="3"/>
  <c r="K8" i="5" s="1"/>
  <c r="R17" i="3"/>
  <c r="R72" i="2"/>
  <c r="L27" i="5"/>
  <c r="R71" i="2"/>
  <c r="R6" i="3"/>
  <c r="R134" i="3" s="1"/>
  <c r="S154" i="3"/>
  <c r="R9" i="2"/>
  <c r="R55" i="2" s="1"/>
  <c r="S49" i="2"/>
  <c r="S6" i="2"/>
  <c r="S72" i="2" s="1"/>
  <c r="S5" i="3"/>
  <c r="L6" i="5" s="1"/>
  <c r="S28" i="3"/>
  <c r="S156" i="3" s="1"/>
  <c r="S13" i="3"/>
  <c r="L14" i="5" s="1"/>
  <c r="S73" i="2"/>
  <c r="L11" i="5"/>
  <c r="S77" i="2"/>
  <c r="S24" i="3"/>
  <c r="S21" i="3" s="1"/>
  <c r="S4" i="2"/>
  <c r="S6" i="3" s="1"/>
  <c r="S69" i="2"/>
  <c r="S150" i="3"/>
  <c r="L23" i="5"/>
  <c r="R147" i="3"/>
  <c r="K20" i="5"/>
  <c r="R146" i="3" l="1"/>
  <c r="R23" i="3"/>
  <c r="R135" i="3"/>
  <c r="R145" i="3"/>
  <c r="K18" i="5"/>
  <c r="S19" i="3"/>
  <c r="L20" i="5" s="1"/>
  <c r="S18" i="3"/>
  <c r="S146" i="3" s="1"/>
  <c r="L7" i="5"/>
  <c r="K7" i="5"/>
  <c r="S141" i="3"/>
  <c r="S152" i="3"/>
  <c r="S52" i="2"/>
  <c r="S133" i="3"/>
  <c r="R75" i="2"/>
  <c r="L25" i="5"/>
  <c r="L29" i="5"/>
  <c r="S5" i="2"/>
  <c r="S9" i="2" s="1"/>
  <c r="S17" i="3"/>
  <c r="S7" i="3"/>
  <c r="L8" i="5" s="1"/>
  <c r="S70" i="2"/>
  <c r="S50" i="2"/>
  <c r="S149" i="3"/>
  <c r="L22" i="5"/>
  <c r="R151" i="3"/>
  <c r="S134" i="3"/>
  <c r="L19" i="5" l="1"/>
  <c r="S147" i="3"/>
  <c r="S23" i="3"/>
  <c r="S71" i="2"/>
  <c r="S51" i="2"/>
  <c r="S135" i="3"/>
  <c r="L18" i="5"/>
  <c r="S145" i="3"/>
  <c r="S75" i="2"/>
  <c r="S55" i="2"/>
  <c r="S151" i="3"/>
  <c r="J4" i="3"/>
  <c r="K4" i="3"/>
  <c r="L4" i="3"/>
  <c r="M4" i="3"/>
  <c r="N4" i="3"/>
  <c r="O4" i="3"/>
  <c r="P4" i="3"/>
  <c r="Q4" i="3"/>
  <c r="R4" i="3"/>
  <c r="S4" i="3"/>
  <c r="J8" i="3"/>
  <c r="K8" i="3"/>
  <c r="L8" i="3"/>
  <c r="M8" i="3"/>
  <c r="N8" i="3"/>
  <c r="O8" i="3"/>
  <c r="P8" i="3"/>
  <c r="Q8" i="3"/>
  <c r="R8" i="3"/>
  <c r="S8" i="3"/>
  <c r="J14" i="3"/>
  <c r="K14" i="3"/>
  <c r="L14" i="3"/>
  <c r="M14" i="3"/>
  <c r="N14" i="3"/>
  <c r="O14" i="3"/>
  <c r="P14" i="3"/>
  <c r="Q14" i="3"/>
  <c r="R14" i="3"/>
  <c r="S14" i="3"/>
  <c r="J25" i="3"/>
  <c r="K25" i="3"/>
  <c r="L25" i="3"/>
  <c r="M25" i="3"/>
  <c r="N25" i="3"/>
  <c r="O25" i="3"/>
  <c r="P25" i="3"/>
  <c r="Q25" i="3"/>
  <c r="R25" i="3"/>
  <c r="S25" i="3"/>
  <c r="J27" i="3"/>
  <c r="K27" i="3"/>
  <c r="L27" i="3"/>
  <c r="M27" i="3"/>
  <c r="N27" i="3"/>
  <c r="O27" i="3"/>
  <c r="P27" i="3"/>
  <c r="Q27" i="3"/>
  <c r="R27" i="3"/>
  <c r="S27" i="3"/>
  <c r="J29" i="3"/>
  <c r="K29" i="3"/>
  <c r="L29" i="3"/>
  <c r="M29" i="3"/>
  <c r="N29" i="3"/>
  <c r="O29" i="3"/>
  <c r="P29" i="3"/>
  <c r="Q29" i="3"/>
  <c r="R29" i="3"/>
  <c r="S29" i="3"/>
  <c r="J30" i="3"/>
  <c r="K30" i="3"/>
  <c r="L30" i="3"/>
  <c r="M30" i="3"/>
  <c r="N30" i="3"/>
  <c r="O30" i="3"/>
  <c r="P30" i="3"/>
  <c r="Q30" i="3"/>
  <c r="R30" i="3"/>
  <c r="S30" i="3"/>
  <c r="J36" i="3"/>
  <c r="K36" i="3"/>
  <c r="L36" i="3"/>
  <c r="M36" i="3"/>
  <c r="N36" i="3"/>
  <c r="O36" i="3"/>
  <c r="P36" i="3"/>
  <c r="Q36" i="3"/>
  <c r="R36" i="3"/>
  <c r="S36" i="3"/>
  <c r="J37" i="3"/>
  <c r="K37" i="3"/>
  <c r="L37" i="3"/>
  <c r="M37" i="3"/>
  <c r="N37" i="3"/>
  <c r="O37" i="3"/>
  <c r="P37" i="3"/>
  <c r="Q37" i="3"/>
  <c r="R37" i="3"/>
  <c r="S37" i="3"/>
  <c r="J38" i="3"/>
  <c r="K38" i="3"/>
  <c r="L38" i="3"/>
  <c r="M38" i="3"/>
  <c r="N38" i="3"/>
  <c r="O38" i="3"/>
  <c r="P38" i="3"/>
  <c r="Q38" i="3"/>
  <c r="R38" i="3"/>
  <c r="S38" i="3"/>
  <c r="K59" i="3"/>
  <c r="L59" i="3"/>
  <c r="M59" i="3"/>
  <c r="N59" i="3"/>
  <c r="O59" i="3"/>
  <c r="P59" i="3"/>
  <c r="Q59" i="3"/>
  <c r="R59" i="3"/>
  <c r="S59" i="3"/>
  <c r="J60" i="3"/>
  <c r="K60" i="3"/>
  <c r="L60" i="3"/>
  <c r="M60" i="3"/>
  <c r="N60" i="3"/>
  <c r="O60" i="3"/>
  <c r="P60" i="3"/>
  <c r="Q60" i="3"/>
  <c r="R60" i="3"/>
  <c r="S60" i="3"/>
  <c r="J63" i="3"/>
  <c r="K63" i="3"/>
  <c r="L63" i="3"/>
  <c r="M63" i="3"/>
  <c r="N63" i="3"/>
  <c r="O63" i="3"/>
  <c r="P63" i="3"/>
  <c r="Q63" i="3"/>
  <c r="R63" i="3"/>
  <c r="S63" i="3"/>
  <c r="J84" i="3"/>
  <c r="K84" i="3"/>
  <c r="L84" i="3"/>
  <c r="M84" i="3"/>
  <c r="N84" i="3"/>
  <c r="O84" i="3"/>
  <c r="P84" i="3"/>
  <c r="Q84" i="3"/>
  <c r="R84" i="3"/>
  <c r="S84" i="3"/>
  <c r="J94" i="3"/>
  <c r="K94" i="3"/>
  <c r="L94" i="3"/>
  <c r="M94" i="3"/>
  <c r="N94" i="3"/>
  <c r="O94" i="3"/>
  <c r="P94" i="3"/>
  <c r="Q94" i="3"/>
  <c r="R94" i="3"/>
  <c r="S94" i="3"/>
  <c r="J95" i="3"/>
  <c r="K95" i="3"/>
  <c r="L95" i="3"/>
  <c r="M95" i="3"/>
  <c r="N95" i="3"/>
  <c r="O95" i="3"/>
  <c r="P95" i="3"/>
  <c r="Q95" i="3"/>
  <c r="R95" i="3"/>
  <c r="S95" i="3"/>
  <c r="J96" i="3"/>
  <c r="K96" i="3"/>
  <c r="L96" i="3"/>
  <c r="M96" i="3"/>
  <c r="N96" i="3"/>
  <c r="O96" i="3"/>
  <c r="P96" i="3"/>
  <c r="Q96" i="3"/>
  <c r="R96" i="3"/>
  <c r="S96" i="3"/>
  <c r="J97" i="3"/>
  <c r="K97" i="3"/>
  <c r="L97" i="3"/>
  <c r="M97" i="3"/>
  <c r="N97" i="3"/>
  <c r="O97" i="3"/>
  <c r="P97" i="3"/>
  <c r="Q97" i="3"/>
  <c r="R97" i="3"/>
  <c r="S97" i="3"/>
  <c r="J98" i="3"/>
  <c r="K98" i="3"/>
  <c r="L98" i="3"/>
  <c r="M98" i="3"/>
  <c r="N98" i="3"/>
  <c r="O98" i="3"/>
  <c r="P98" i="3"/>
  <c r="Q98" i="3"/>
  <c r="R98" i="3"/>
  <c r="S98" i="3"/>
  <c r="J99" i="3"/>
  <c r="K99" i="3"/>
  <c r="L99" i="3"/>
  <c r="M99" i="3"/>
  <c r="N99" i="3"/>
  <c r="O99" i="3"/>
  <c r="P99" i="3"/>
  <c r="Q99" i="3"/>
  <c r="R99" i="3"/>
  <c r="S99" i="3"/>
  <c r="J100" i="3"/>
  <c r="K100" i="3"/>
  <c r="L100" i="3"/>
  <c r="M100" i="3"/>
  <c r="N100" i="3"/>
  <c r="O100" i="3"/>
  <c r="P100" i="3"/>
  <c r="Q100" i="3"/>
  <c r="R100" i="3"/>
  <c r="S100" i="3"/>
  <c r="J101" i="3"/>
  <c r="K101" i="3"/>
  <c r="L101" i="3"/>
  <c r="M101" i="3"/>
  <c r="N101" i="3"/>
  <c r="O101" i="3"/>
  <c r="P101" i="3"/>
  <c r="Q101" i="3"/>
  <c r="R101" i="3"/>
  <c r="S101" i="3"/>
  <c r="J102" i="3"/>
  <c r="K102" i="3"/>
  <c r="L102" i="3"/>
  <c r="M102" i="3"/>
  <c r="N102" i="3"/>
  <c r="O102" i="3"/>
  <c r="P102" i="3"/>
  <c r="Q102" i="3"/>
  <c r="R102" i="3"/>
  <c r="S102" i="3"/>
  <c r="J103" i="3"/>
  <c r="K103" i="3"/>
  <c r="L103" i="3"/>
  <c r="M103" i="3"/>
  <c r="N103" i="3"/>
  <c r="O103" i="3"/>
  <c r="P103" i="3"/>
  <c r="Q103" i="3"/>
  <c r="R103" i="3"/>
  <c r="S103" i="3"/>
  <c r="J104" i="3"/>
  <c r="K104" i="3"/>
  <c r="L104" i="3"/>
  <c r="M104" i="3"/>
  <c r="N104" i="3"/>
  <c r="O104" i="3"/>
  <c r="P104" i="3"/>
  <c r="Q104" i="3"/>
  <c r="R104" i="3"/>
  <c r="S104" i="3"/>
  <c r="J107" i="3"/>
  <c r="K107" i="3"/>
  <c r="L107" i="3"/>
  <c r="M107" i="3"/>
  <c r="N107" i="3"/>
  <c r="O107" i="3"/>
  <c r="P107" i="3"/>
  <c r="Q107" i="3"/>
  <c r="R107" i="3"/>
  <c r="S107" i="3"/>
  <c r="J108" i="3"/>
  <c r="K108" i="3"/>
  <c r="L108" i="3"/>
  <c r="M108" i="3"/>
  <c r="N108" i="3"/>
  <c r="O108" i="3"/>
  <c r="P108" i="3"/>
  <c r="Q108" i="3"/>
  <c r="R108" i="3"/>
  <c r="S108" i="3"/>
  <c r="J109" i="3"/>
  <c r="K109" i="3"/>
  <c r="L109" i="3"/>
  <c r="M109" i="3"/>
  <c r="N109" i="3"/>
  <c r="O109" i="3"/>
  <c r="P109" i="3"/>
  <c r="Q109" i="3"/>
  <c r="R109" i="3"/>
  <c r="S109" i="3"/>
  <c r="J110" i="3"/>
  <c r="K110" i="3"/>
  <c r="L110" i="3"/>
  <c r="M110" i="3"/>
  <c r="N110" i="3"/>
  <c r="O110" i="3"/>
  <c r="P110" i="3"/>
  <c r="Q110" i="3"/>
  <c r="R110" i="3"/>
  <c r="S110" i="3"/>
  <c r="J111" i="3"/>
  <c r="K111" i="3"/>
  <c r="L111" i="3"/>
  <c r="M111" i="3"/>
  <c r="N111" i="3"/>
  <c r="O111" i="3"/>
  <c r="P111" i="3"/>
  <c r="Q111" i="3"/>
  <c r="R111" i="3"/>
  <c r="S111" i="3"/>
  <c r="J112" i="3"/>
  <c r="K112" i="3"/>
  <c r="L112" i="3"/>
  <c r="M112" i="3"/>
  <c r="N112" i="3"/>
  <c r="O112" i="3"/>
  <c r="P112" i="3"/>
  <c r="Q112" i="3"/>
  <c r="R112" i="3"/>
  <c r="S112" i="3"/>
  <c r="J113" i="3"/>
  <c r="K113" i="3"/>
  <c r="L113" i="3"/>
  <c r="M113" i="3"/>
  <c r="N113" i="3"/>
  <c r="O113" i="3"/>
  <c r="P113" i="3"/>
  <c r="Q113" i="3"/>
  <c r="R113" i="3"/>
  <c r="S113" i="3"/>
  <c r="J114" i="3"/>
  <c r="K114" i="3"/>
  <c r="L114" i="3"/>
  <c r="M114" i="3"/>
  <c r="N114" i="3"/>
  <c r="O114" i="3"/>
  <c r="P114" i="3"/>
  <c r="Q114" i="3"/>
  <c r="R114" i="3"/>
  <c r="S114" i="3"/>
  <c r="J115" i="3"/>
  <c r="K115" i="3"/>
  <c r="L115" i="3"/>
  <c r="M115" i="3"/>
  <c r="N115" i="3"/>
  <c r="O115" i="3"/>
  <c r="P115" i="3"/>
  <c r="Q115" i="3"/>
  <c r="R115" i="3"/>
  <c r="S115" i="3"/>
  <c r="J116" i="3"/>
  <c r="K116" i="3"/>
  <c r="L116" i="3"/>
  <c r="M116" i="3"/>
  <c r="N116" i="3"/>
  <c r="O116" i="3"/>
  <c r="P116" i="3"/>
  <c r="Q116" i="3"/>
  <c r="R116" i="3"/>
  <c r="S116" i="3"/>
  <c r="J117" i="3"/>
  <c r="K117" i="3"/>
  <c r="L117" i="3"/>
  <c r="M117" i="3"/>
  <c r="N117" i="3"/>
  <c r="O117" i="3"/>
  <c r="P117" i="3"/>
  <c r="Q117" i="3"/>
  <c r="R117" i="3"/>
  <c r="S117" i="3"/>
  <c r="J118" i="3"/>
  <c r="K118" i="3"/>
  <c r="L118" i="3"/>
  <c r="M118" i="3"/>
  <c r="N118" i="3"/>
  <c r="O118" i="3"/>
  <c r="P118" i="3"/>
  <c r="Q118" i="3"/>
  <c r="R118" i="3"/>
  <c r="S118" i="3"/>
  <c r="J119" i="3"/>
  <c r="K119" i="3"/>
  <c r="L119" i="3"/>
  <c r="M119" i="3"/>
  <c r="N119" i="3"/>
  <c r="O119" i="3"/>
  <c r="P119" i="3"/>
  <c r="Q119" i="3"/>
  <c r="R119" i="3"/>
  <c r="S119" i="3"/>
  <c r="J120" i="3"/>
  <c r="K120" i="3"/>
  <c r="L120" i="3"/>
  <c r="M120" i="3"/>
  <c r="N120" i="3"/>
  <c r="O120" i="3"/>
  <c r="P120" i="3"/>
  <c r="Q120" i="3"/>
  <c r="R120" i="3"/>
  <c r="S120" i="3"/>
  <c r="J123" i="3"/>
  <c r="K123" i="3"/>
  <c r="L123" i="3"/>
  <c r="M123" i="3"/>
  <c r="N123" i="3"/>
  <c r="O123" i="3"/>
  <c r="P123" i="3"/>
  <c r="Q123" i="3"/>
  <c r="R123" i="3"/>
  <c r="S123" i="3"/>
  <c r="J124" i="3"/>
  <c r="K124" i="3"/>
  <c r="L124" i="3"/>
  <c r="M124" i="3"/>
  <c r="N124" i="3"/>
  <c r="O124" i="3"/>
  <c r="P124" i="3"/>
  <c r="Q124" i="3"/>
  <c r="R124" i="3"/>
  <c r="S124" i="3"/>
  <c r="J125" i="3"/>
  <c r="K125" i="3"/>
  <c r="L125" i="3"/>
  <c r="M125" i="3"/>
  <c r="N125" i="3"/>
  <c r="O125" i="3"/>
  <c r="P125" i="3"/>
  <c r="Q125" i="3"/>
  <c r="R125" i="3"/>
  <c r="S125" i="3"/>
  <c r="J126" i="3"/>
  <c r="K126" i="3"/>
  <c r="L126" i="3"/>
  <c r="M126" i="3"/>
  <c r="N126" i="3"/>
  <c r="O126" i="3"/>
  <c r="P126" i="3"/>
  <c r="Q126" i="3"/>
  <c r="R126" i="3"/>
  <c r="S126" i="3"/>
  <c r="J127" i="3"/>
  <c r="K127" i="3"/>
  <c r="L127" i="3"/>
  <c r="M127" i="3"/>
  <c r="N127" i="3"/>
  <c r="O127" i="3"/>
  <c r="P127" i="3"/>
  <c r="Q127" i="3"/>
  <c r="R127" i="3"/>
  <c r="S127" i="3"/>
  <c r="J128" i="3"/>
  <c r="K128" i="3"/>
  <c r="L128" i="3"/>
  <c r="M128" i="3"/>
  <c r="N128" i="3"/>
  <c r="O128" i="3"/>
  <c r="P128" i="3"/>
  <c r="Q128" i="3"/>
  <c r="R128" i="3"/>
  <c r="S128" i="3"/>
  <c r="J132" i="3"/>
  <c r="K132" i="3"/>
  <c r="L132" i="3"/>
  <c r="M132" i="3"/>
  <c r="N132" i="3"/>
  <c r="O132" i="3"/>
  <c r="P132" i="3"/>
  <c r="Q132" i="3"/>
  <c r="R132" i="3"/>
  <c r="S132" i="3"/>
  <c r="J136" i="3"/>
  <c r="K136" i="3"/>
  <c r="L136" i="3"/>
  <c r="M136" i="3"/>
  <c r="N136" i="3"/>
  <c r="O136" i="3"/>
  <c r="P136" i="3"/>
  <c r="Q136" i="3"/>
  <c r="R136" i="3"/>
  <c r="S136" i="3"/>
  <c r="J142" i="3"/>
  <c r="K142" i="3"/>
  <c r="L142" i="3"/>
  <c r="M142" i="3"/>
  <c r="N142" i="3"/>
  <c r="O142" i="3"/>
  <c r="P142" i="3"/>
  <c r="Q142" i="3"/>
  <c r="R142" i="3"/>
  <c r="S142" i="3"/>
  <c r="J155" i="3"/>
  <c r="K155" i="3"/>
  <c r="L155" i="3"/>
  <c r="M155" i="3"/>
  <c r="N155" i="3"/>
  <c r="O155" i="3"/>
  <c r="P155" i="3"/>
  <c r="Q155" i="3"/>
  <c r="R155" i="3"/>
  <c r="S155" i="3"/>
  <c r="J157" i="3"/>
  <c r="K157" i="3"/>
  <c r="L157" i="3"/>
  <c r="M157" i="3"/>
  <c r="N157" i="3"/>
  <c r="O157" i="3"/>
  <c r="P157" i="3"/>
  <c r="Q157" i="3"/>
  <c r="R157" i="3"/>
  <c r="S157" i="3"/>
  <c r="J158" i="3"/>
  <c r="K158" i="3"/>
  <c r="L158" i="3"/>
  <c r="M158" i="3"/>
  <c r="N158" i="3"/>
  <c r="O158" i="3"/>
  <c r="P158" i="3"/>
  <c r="Q158" i="3"/>
  <c r="R158" i="3"/>
  <c r="S158" i="3"/>
  <c r="J164" i="3"/>
  <c r="K164" i="3"/>
  <c r="L164" i="3"/>
  <c r="M164" i="3"/>
  <c r="N164" i="3"/>
  <c r="O164" i="3"/>
  <c r="P164" i="3"/>
  <c r="Q164" i="3"/>
  <c r="R164" i="3"/>
  <c r="S164" i="3"/>
  <c r="J165" i="3"/>
  <c r="K165" i="3"/>
  <c r="L165" i="3"/>
  <c r="M165" i="3"/>
  <c r="N165" i="3"/>
  <c r="O165" i="3"/>
  <c r="P165" i="3"/>
  <c r="Q165" i="3"/>
  <c r="R165" i="3"/>
  <c r="S165" i="3"/>
  <c r="J166" i="3"/>
  <c r="K166" i="3"/>
  <c r="L166" i="3"/>
  <c r="M166" i="3"/>
  <c r="N166" i="3"/>
  <c r="O166" i="3"/>
  <c r="P166" i="3"/>
  <c r="Q166" i="3"/>
  <c r="R166" i="3"/>
  <c r="S166" i="3"/>
  <c r="E17" i="15"/>
  <c r="E18" i="15"/>
  <c r="E19" i="15"/>
  <c r="E20" i="15"/>
  <c r="E22" i="15"/>
  <c r="E23" i="15"/>
  <c r="D9" i="8"/>
  <c r="K9" i="8"/>
  <c r="D10" i="8"/>
  <c r="K10" i="8"/>
  <c r="E17" i="8"/>
  <c r="F17" i="8"/>
  <c r="G17" i="8"/>
  <c r="H17" i="8"/>
  <c r="I17" i="8"/>
  <c r="J17" i="8"/>
  <c r="K17" i="8"/>
  <c r="L17" i="8"/>
  <c r="M17" i="8"/>
  <c r="N17" i="8"/>
  <c r="E18" i="8"/>
  <c r="F18" i="8"/>
  <c r="G18" i="8"/>
  <c r="H18" i="8"/>
  <c r="I18" i="8"/>
  <c r="J18" i="8"/>
  <c r="K18" i="8"/>
  <c r="L18" i="8"/>
  <c r="M18" i="8"/>
  <c r="N18" i="8"/>
  <c r="D22" i="8"/>
  <c r="D23" i="8"/>
  <c r="D24" i="8"/>
  <c r="D25" i="8"/>
  <c r="D27" i="8"/>
  <c r="E41" i="8"/>
  <c r="F41" i="8"/>
  <c r="G41" i="8"/>
  <c r="H41" i="8"/>
  <c r="I41" i="8"/>
  <c r="J41" i="8"/>
  <c r="K41" i="8"/>
  <c r="L41" i="8"/>
  <c r="M41" i="8"/>
  <c r="N41" i="8"/>
  <c r="E42" i="8"/>
  <c r="F42" i="8"/>
  <c r="G42" i="8"/>
  <c r="H42" i="8"/>
  <c r="I42" i="8"/>
  <c r="J42" i="8"/>
  <c r="K42" i="8"/>
  <c r="L42" i="8"/>
  <c r="M42" i="8"/>
  <c r="N42" i="8"/>
  <c r="D44" i="8"/>
  <c r="D45" i="8"/>
  <c r="D46" i="8"/>
  <c r="D47" i="8"/>
  <c r="D49" i="8"/>
  <c r="C3" i="5"/>
  <c r="D3" i="5"/>
  <c r="E3" i="5"/>
  <c r="F3" i="5"/>
  <c r="G3" i="5"/>
  <c r="H3" i="5"/>
  <c r="I3" i="5"/>
  <c r="J3" i="5"/>
  <c r="K3" i="5"/>
  <c r="L3" i="5"/>
  <c r="C26" i="5"/>
  <c r="D26" i="5"/>
  <c r="E26" i="5"/>
  <c r="F26" i="5"/>
  <c r="G26" i="5"/>
  <c r="H26" i="5"/>
  <c r="I26" i="5"/>
  <c r="J26" i="5"/>
  <c r="K26" i="5"/>
  <c r="L26" i="5"/>
  <c r="C30" i="5"/>
  <c r="D30" i="5"/>
  <c r="E30" i="5"/>
  <c r="F30" i="5"/>
  <c r="G30" i="5"/>
  <c r="H30" i="5"/>
  <c r="I30" i="5"/>
  <c r="J30" i="5"/>
  <c r="K30" i="5"/>
  <c r="L30" i="5"/>
  <c r="C43" i="5"/>
  <c r="D43" i="5"/>
  <c r="E43" i="5"/>
  <c r="F43" i="5"/>
  <c r="G43" i="5"/>
  <c r="H43" i="5"/>
  <c r="I43" i="5"/>
  <c r="J43" i="5"/>
  <c r="K43" i="5"/>
  <c r="L43" i="5"/>
  <c r="D45" i="5"/>
  <c r="E45" i="5"/>
  <c r="F45" i="5"/>
  <c r="G45" i="5"/>
  <c r="H45" i="5"/>
  <c r="I45" i="5"/>
  <c r="J45" i="5"/>
  <c r="K45" i="5"/>
  <c r="L45" i="5"/>
  <c r="C46" i="5"/>
  <c r="D46" i="5"/>
  <c r="E46" i="5"/>
  <c r="F46" i="5"/>
  <c r="G46" i="5"/>
  <c r="H46" i="5"/>
  <c r="I46" i="5"/>
  <c r="J46" i="5"/>
  <c r="K46" i="5"/>
  <c r="L46" i="5"/>
  <c r="C48" i="5"/>
  <c r="D48" i="5"/>
  <c r="E48" i="5"/>
  <c r="F48" i="5"/>
  <c r="G48" i="5"/>
  <c r="H48" i="5"/>
  <c r="I48" i="5"/>
  <c r="J48" i="5"/>
  <c r="K48" i="5"/>
  <c r="L48" i="5"/>
  <c r="C50" i="5"/>
  <c r="D50" i="5"/>
  <c r="E50" i="5"/>
  <c r="F50" i="5"/>
  <c r="G50" i="5"/>
  <c r="H50" i="5"/>
  <c r="I50" i="5"/>
  <c r="J50" i="5"/>
  <c r="K50" i="5"/>
  <c r="L50" i="5"/>
  <c r="J10" i="2"/>
  <c r="K10" i="2"/>
  <c r="L10" i="2"/>
  <c r="M10" i="2"/>
  <c r="N10" i="2"/>
  <c r="O10" i="2"/>
  <c r="P10" i="2"/>
  <c r="Q10" i="2"/>
  <c r="R10" i="2"/>
  <c r="S10" i="2"/>
  <c r="J12" i="2"/>
  <c r="K12" i="2"/>
  <c r="L12" i="2"/>
  <c r="M12" i="2"/>
  <c r="N12" i="2"/>
  <c r="O12" i="2"/>
  <c r="P12" i="2"/>
  <c r="Q12" i="2"/>
  <c r="R12" i="2"/>
  <c r="S12" i="2"/>
  <c r="J13" i="2"/>
  <c r="K13" i="2"/>
  <c r="L13" i="2"/>
  <c r="M13" i="2"/>
  <c r="N13" i="2"/>
  <c r="O13" i="2"/>
  <c r="P13" i="2"/>
  <c r="Q13" i="2"/>
  <c r="R13" i="2"/>
  <c r="S13" i="2"/>
  <c r="J14" i="2"/>
  <c r="K14" i="2"/>
  <c r="L14" i="2"/>
  <c r="M14" i="2"/>
  <c r="N14" i="2"/>
  <c r="O14" i="2"/>
  <c r="P14" i="2"/>
  <c r="Q14" i="2"/>
  <c r="R14" i="2"/>
  <c r="S14" i="2"/>
  <c r="J16" i="2"/>
  <c r="K16" i="2"/>
  <c r="L16" i="2"/>
  <c r="M16" i="2"/>
  <c r="N16" i="2"/>
  <c r="O16" i="2"/>
  <c r="P16" i="2"/>
  <c r="Q16" i="2"/>
  <c r="R16" i="2"/>
  <c r="S16" i="2"/>
  <c r="J17" i="2"/>
  <c r="K17" i="2"/>
  <c r="L17" i="2"/>
  <c r="M17" i="2"/>
  <c r="N17" i="2"/>
  <c r="O17" i="2"/>
  <c r="P17" i="2"/>
  <c r="Q17" i="2"/>
  <c r="R17" i="2"/>
  <c r="S17" i="2"/>
  <c r="J38" i="2"/>
  <c r="K38" i="2"/>
  <c r="L38" i="2"/>
  <c r="M38" i="2"/>
  <c r="N38" i="2"/>
  <c r="O38" i="2"/>
  <c r="P38" i="2"/>
  <c r="Q38" i="2"/>
  <c r="R38" i="2"/>
  <c r="S38" i="2"/>
  <c r="J42" i="2"/>
  <c r="K42" i="2"/>
  <c r="L42" i="2"/>
  <c r="M42" i="2"/>
  <c r="N42" i="2"/>
  <c r="O42" i="2"/>
  <c r="P42" i="2"/>
  <c r="Q42" i="2"/>
  <c r="R42" i="2"/>
  <c r="S42" i="2"/>
  <c r="J56" i="2"/>
  <c r="K56" i="2"/>
  <c r="L56" i="2"/>
  <c r="M56" i="2"/>
  <c r="N56" i="2"/>
  <c r="O56" i="2"/>
  <c r="P56" i="2"/>
  <c r="Q56" i="2"/>
  <c r="R56" i="2"/>
  <c r="S56" i="2"/>
  <c r="J58" i="2"/>
  <c r="K58" i="2"/>
  <c r="L58" i="2"/>
  <c r="M58" i="2"/>
  <c r="N58" i="2"/>
  <c r="O58" i="2"/>
  <c r="P58" i="2"/>
  <c r="Q58" i="2"/>
  <c r="R58" i="2"/>
  <c r="S58" i="2"/>
  <c r="J59" i="2"/>
  <c r="K59" i="2"/>
  <c r="L59" i="2"/>
  <c r="M59" i="2"/>
  <c r="N59" i="2"/>
  <c r="O59" i="2"/>
  <c r="P59" i="2"/>
  <c r="Q59" i="2"/>
  <c r="R59" i="2"/>
  <c r="S59" i="2"/>
  <c r="J60" i="2"/>
  <c r="K60" i="2"/>
  <c r="L60" i="2"/>
  <c r="M60" i="2"/>
  <c r="N60" i="2"/>
  <c r="O60" i="2"/>
  <c r="P60" i="2"/>
  <c r="Q60" i="2"/>
  <c r="R60" i="2"/>
  <c r="S60" i="2"/>
  <c r="J62" i="2"/>
  <c r="K62" i="2"/>
  <c r="L62" i="2"/>
  <c r="M62" i="2"/>
  <c r="N62" i="2"/>
  <c r="O62" i="2"/>
  <c r="P62" i="2"/>
  <c r="Q62" i="2"/>
  <c r="R62" i="2"/>
  <c r="S62" i="2"/>
  <c r="J63" i="2"/>
  <c r="K63" i="2"/>
  <c r="L63" i="2"/>
  <c r="M63" i="2"/>
  <c r="N63" i="2"/>
  <c r="O63" i="2"/>
  <c r="P63" i="2"/>
  <c r="Q63" i="2"/>
  <c r="R63" i="2"/>
  <c r="S63" i="2"/>
  <c r="J76" i="2"/>
  <c r="K76" i="2"/>
  <c r="L76" i="2"/>
  <c r="M76" i="2"/>
  <c r="N76" i="2"/>
  <c r="O76" i="2"/>
  <c r="P76" i="2"/>
  <c r="Q76" i="2"/>
  <c r="R76" i="2"/>
  <c r="S76" i="2"/>
  <c r="J78" i="2"/>
  <c r="K78" i="2"/>
  <c r="L78" i="2"/>
  <c r="M78" i="2"/>
  <c r="N78" i="2"/>
  <c r="O78" i="2"/>
  <c r="P78" i="2"/>
  <c r="Q78" i="2"/>
  <c r="R78" i="2"/>
  <c r="S78" i="2"/>
  <c r="J79" i="2"/>
  <c r="K79" i="2"/>
  <c r="L79" i="2"/>
  <c r="M79" i="2"/>
  <c r="N79" i="2"/>
  <c r="O79" i="2"/>
  <c r="P79" i="2"/>
  <c r="Q79" i="2"/>
  <c r="R79" i="2"/>
  <c r="S79" i="2"/>
  <c r="J80" i="2"/>
  <c r="K80" i="2"/>
  <c r="L80" i="2"/>
  <c r="M80" i="2"/>
  <c r="N80" i="2"/>
  <c r="O80" i="2"/>
  <c r="P80" i="2"/>
  <c r="Q80" i="2"/>
  <c r="R80" i="2"/>
  <c r="S80" i="2"/>
  <c r="J6" i="28"/>
  <c r="K6" i="28"/>
  <c r="L6" i="28"/>
  <c r="M6" i="28"/>
  <c r="N6" i="28"/>
  <c r="J7" i="28"/>
  <c r="K7" i="28"/>
  <c r="L7" i="28"/>
  <c r="M7" i="28"/>
  <c r="N7" i="28"/>
  <c r="J8" i="28"/>
  <c r="K8" i="28"/>
  <c r="L8" i="28"/>
  <c r="M8" i="28"/>
  <c r="N8" i="28"/>
  <c r="J9" i="28"/>
  <c r="K9" i="28"/>
  <c r="L9" i="28"/>
  <c r="M9" i="28"/>
  <c r="N9" i="28"/>
  <c r="J11" i="28"/>
  <c r="K11" i="28"/>
  <c r="L11" i="28"/>
  <c r="M11" i="28"/>
  <c r="N11" i="28"/>
  <c r="J12" i="28"/>
  <c r="K12" i="28"/>
  <c r="L12" i="28"/>
  <c r="M12" i="28"/>
  <c r="N12" i="28"/>
  <c r="J14" i="28"/>
  <c r="K14" i="28"/>
  <c r="L14" i="28"/>
  <c r="M14" i="28"/>
  <c r="N14" i="28"/>
  <c r="J15" i="28"/>
  <c r="K15" i="28"/>
  <c r="L15" i="28"/>
  <c r="M15" i="28"/>
  <c r="N15" i="28"/>
  <c r="J16" i="28"/>
  <c r="K16" i="28"/>
  <c r="L16" i="28"/>
  <c r="M16" i="28"/>
  <c r="N16" i="28"/>
  <c r="J17" i="28"/>
  <c r="K17" i="28"/>
  <c r="L17" i="28"/>
  <c r="M17" i="28"/>
  <c r="N17" i="28"/>
  <c r="J18" i="28"/>
  <c r="K18" i="28"/>
  <c r="L18" i="28"/>
  <c r="M18" i="28"/>
  <c r="N18" i="28"/>
  <c r="J19" i="28"/>
  <c r="K19" i="28"/>
  <c r="L19" i="28"/>
  <c r="M19" i="28"/>
  <c r="N19" i="28"/>
  <c r="J20" i="28"/>
  <c r="K20" i="28"/>
  <c r="L20" i="28"/>
  <c r="M20" i="28"/>
  <c r="N20" i="28"/>
  <c r="J24" i="28"/>
  <c r="K24" i="28"/>
  <c r="L24" i="28"/>
  <c r="M24" i="28"/>
  <c r="N24"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tc={CB72C9FA-8C5C-7347-8194-69E94678DD34}</author>
    <author>tc={30BAA35A-7D9E-144D-9077-7F0A6A77D354}</author>
  </authors>
  <commentList>
    <comment ref="I24" authorId="0" shapeId="0" xr:uid="{CB72C9FA-8C5C-7347-8194-69E94678DD34}">
      <text>
        <t>[Threaded comment]
Your version of Excel allows you to read this threaded comment; however, any edits to it will get removed if the file is opened in a newer version of Excel. Learn more: https://go.microsoft.com/fwlink/?linkid=870924
Comment:
    Selling, general and administrative expenses increased $290.9 million, or 15%, compared to 2023 due to the net increase in new stores opened since the prior year and higher payroll and incentive compensation costs. In addition, we experienced the effects of higher credit card and ecommerce fees resulting from an increase in sales compared to the prior year.</t>
      </text>
    </comment>
    <comment ref="I45" authorId="1" shapeId="0" xr:uid="{30BAA35A-7D9E-144D-9077-7F0A6A77D354}">
      <text>
        <t>[Threaded comment]
Your version of Excel allows you to read this threaded comment; however, any edits to it will get removed if the file is opened in a newer version of Excel. Learn more: https://go.microsoft.com/fwlink/?linkid=870924
Comment:
    Debt was paid off before end of Q2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tc={B704C64D-03DE-214F-88F5-6062F08A172D}</author>
  </authors>
  <commentList>
    <comment ref="F10" authorId="0" shapeId="0" xr:uid="{B704C64D-03DE-214F-88F5-6062F08A172D}">
      <text>
        <t xml:space="preserve">[Threaded comment]
Your version of Excel allows you to read this threaded comment; however, any edits to it will get removed if the file is opened in a newer version of Excel. Learn more: https://go.microsoft.com/fwlink/?linkid=870924
Comment:
    Operating lease payments include $ 67.5 million related to periods covered by options to extend lease terms that are reasonably certain of being exercised and exclude $ 504.5 million of legally binding minimum lease payments for leases executed but not yet commenced. We have subtenant agreements under which we will receive $ 1.0 million in 2023, $ 1.0 million in 2024, $ 0.9 million in 2025, $ 0.7 million in 2026, $ 0.6 million in 2027 and $ 0.4 million thereafter.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<sst xmlns="http://schemas.openxmlformats.org/spreadsheetml/2006/main" count="1587" uniqueCount="599">
  <si>
    <t>Income Statement</t>
  </si>
  <si>
    <t>Revenue Model</t>
  </si>
  <si>
    <t>Live Price</t>
  </si>
  <si>
    <t>COGS</t>
  </si>
  <si>
    <t>Compare Store Sales Growth</t>
  </si>
  <si>
    <t>Current Price</t>
  </si>
  <si>
    <t>Select Case</t>
  </si>
  <si>
    <t>1 Bear</t>
  </si>
  <si>
    <t>Valuation Price</t>
  </si>
  <si>
    <t> </t>
  </si>
  <si>
    <t>2 Base</t>
  </si>
  <si>
    <t>12-month Valuation Price</t>
  </si>
  <si>
    <t>3 Bull</t>
  </si>
  <si>
    <t>Valuation Appreciation</t>
  </si>
  <si>
    <t>12-mo Valuation Appreciation</t>
  </si>
  <si>
    <t>SGA</t>
  </si>
  <si>
    <t>Store Growth</t>
  </si>
  <si>
    <t>Divident Yield</t>
  </si>
  <si>
    <t>Total 12-month Return</t>
  </si>
  <si>
    <t xml:space="preserve">Decision </t>
  </si>
  <si>
    <t>Balance Sheet</t>
  </si>
  <si>
    <t>Long Term Debt</t>
  </si>
  <si>
    <t>Share count</t>
  </si>
  <si>
    <t>Cost of Equity</t>
  </si>
  <si>
    <t>Today</t>
  </si>
  <si>
    <t>As of February 18, 2025</t>
  </si>
  <si>
    <t>Number of Shares</t>
  </si>
  <si>
    <t>One year</t>
  </si>
  <si>
    <t>Two year</t>
  </si>
  <si>
    <t>Actual Price:</t>
  </si>
  <si>
    <t>Price Appreciation</t>
  </si>
  <si>
    <t>Model Valuation:</t>
  </si>
  <si>
    <t>Model 12 Month Price Target:</t>
  </si>
  <si>
    <t>Price Appreciation (12 month)</t>
  </si>
  <si>
    <t>Model Current Valuation with Sensitivity of Ke</t>
  </si>
  <si>
    <t>Time period (years)</t>
  </si>
  <si>
    <t>Nominal FCFE:</t>
  </si>
  <si>
    <t>PV FCFE:</t>
  </si>
  <si>
    <t>Terminal Growth Rate</t>
  </si>
  <si>
    <t>Terminal Value in 2030</t>
  </si>
  <si>
    <t>PV of Terminal Value</t>
  </si>
  <si>
    <t>Total PV:</t>
  </si>
  <si>
    <t>Valuation per Share ($):</t>
  </si>
  <si>
    <t>Growth step</t>
  </si>
  <si>
    <t>Ke step</t>
  </si>
  <si>
    <t>Cost Of Equity Ke</t>
  </si>
  <si>
    <t>Model 12 Month Price Target with Sensitivity of Ke</t>
  </si>
  <si>
    <t>Time period</t>
  </si>
  <si>
    <t>Company Name:</t>
  </si>
  <si>
    <t>Company Ticker:</t>
  </si>
  <si>
    <t>Sprouts Farmers Markets Inc</t>
  </si>
  <si>
    <t>SFM</t>
  </si>
  <si>
    <r>
      <t>(</t>
    </r>
    <r>
      <rPr>
        <sz val="11"/>
        <color rgb="FF0000FF"/>
        <rFont val="Calibri"/>
        <family val="2"/>
        <scheme val="minor"/>
      </rPr>
      <t>Blue = input</t>
    </r>
    <r>
      <rPr>
        <sz val="11"/>
        <rFont val="Calibri"/>
        <family val="2"/>
        <scheme val="minor"/>
      </rPr>
      <t>, Black = calculation)</t>
    </r>
  </si>
  <si>
    <t>S&amp;P 500 Data</t>
  </si>
  <si>
    <t>Source</t>
  </si>
  <si>
    <t>S&amp;P500 Forward P/E</t>
  </si>
  <si>
    <t>WSJ</t>
  </si>
  <si>
    <r>
      <t xml:space="preserve">Projected EPS growth rate (g </t>
    </r>
    <r>
      <rPr>
        <vertAlign val="subscript"/>
        <sz val="11"/>
        <rFont val="Calibri"/>
        <family val="2"/>
        <scheme val="minor"/>
      </rPr>
      <t>S&amp;P</t>
    </r>
    <r>
      <rPr>
        <sz val="11"/>
        <rFont val="Calibri"/>
        <family val="2"/>
        <scheme val="minor"/>
      </rPr>
      <t>)</t>
    </r>
  </si>
  <si>
    <r>
      <t>Risk-free rate (R</t>
    </r>
    <r>
      <rPr>
        <vertAlign val="subscript"/>
        <sz val="11"/>
        <rFont val="Calibri"/>
        <family val="2"/>
        <scheme val="minor"/>
      </rPr>
      <t>f</t>
    </r>
    <r>
      <rPr>
        <sz val="11"/>
        <rFont val="Calibri"/>
        <family val="2"/>
        <scheme val="minor"/>
      </rPr>
      <t>)</t>
    </r>
  </si>
  <si>
    <t>https://www.cnbc.com/quotes/US10Y</t>
  </si>
  <si>
    <r>
      <t>Implied required return on equity (R</t>
    </r>
    <r>
      <rPr>
        <vertAlign val="subscript"/>
        <sz val="11"/>
        <rFont val="Calibri"/>
        <family val="2"/>
        <scheme val="minor"/>
      </rPr>
      <t>s&amp;p500</t>
    </r>
    <r>
      <rPr>
        <sz val="11"/>
        <rFont val="Calibri"/>
        <family val="2"/>
        <scheme val="minor"/>
      </rPr>
      <t>)</t>
    </r>
  </si>
  <si>
    <t>Calculation</t>
  </si>
  <si>
    <r>
      <t>Implied equity risk premium (R</t>
    </r>
    <r>
      <rPr>
        <vertAlign val="subscript"/>
        <sz val="11"/>
        <rFont val="Calibri"/>
        <family val="2"/>
        <scheme val="minor"/>
      </rPr>
      <t>m</t>
    </r>
    <r>
      <rPr>
        <sz val="11"/>
        <rFont val="Calibri"/>
        <family val="2"/>
        <scheme val="minor"/>
      </rPr>
      <t>)</t>
    </r>
  </si>
  <si>
    <t>Forward Beta Calculation:</t>
  </si>
  <si>
    <t>Current Price (P)</t>
  </si>
  <si>
    <t>Yahoo!Finance</t>
  </si>
  <si>
    <t>Forward EPS (E)</t>
  </si>
  <si>
    <t>Forward P/E Ratio</t>
  </si>
  <si>
    <t>Projected EPS growth rate (g)</t>
  </si>
  <si>
    <t>Workspace</t>
  </si>
  <si>
    <t>Implied required return on equity (Re)</t>
  </si>
  <si>
    <t>Beta</t>
  </si>
  <si>
    <t xml:space="preserve"> </t>
  </si>
  <si>
    <t>Forward (Bf)</t>
  </si>
  <si>
    <t>Historic (Bh)</t>
  </si>
  <si>
    <t xml:space="preserve">Comps </t>
  </si>
  <si>
    <t>Cost of Equity:</t>
  </si>
  <si>
    <t>Historic equity risk premium</t>
  </si>
  <si>
    <t>Damodaran/Mayer Fund</t>
  </si>
  <si>
    <t>Using Forward Beta</t>
  </si>
  <si>
    <t>Using Historic Beta</t>
  </si>
  <si>
    <t>Using Comps Beta</t>
  </si>
  <si>
    <t>Weighted COE</t>
  </si>
  <si>
    <t>Market COE (beta = 1)</t>
  </si>
  <si>
    <t>Fiscal Year</t>
  </si>
  <si>
    <t>FY2018</t>
  </si>
  <si>
    <t>FY2019</t>
  </si>
  <si>
    <t>FY2020</t>
  </si>
  <si>
    <t>FY2021</t>
  </si>
  <si>
    <t>FY2022</t>
  </si>
  <si>
    <t>FY2023</t>
  </si>
  <si>
    <t>FY2024</t>
  </si>
  <si>
    <t>Dec. 30, 2018</t>
  </si>
  <si>
    <t>Dec. 29, 2019</t>
  </si>
  <si>
    <t>Jan. 03, 2021</t>
  </si>
  <si>
    <t>Jan. 02, 2022</t>
  </si>
  <si>
    <t>Jan. 01, 2023</t>
  </si>
  <si>
    <t>Dec. 31, 2023</t>
  </si>
  <si>
    <t>Dec. 29, 2024</t>
  </si>
  <si>
    <t>Dec. 31, 2025</t>
  </si>
  <si>
    <t>Dec. 31, 2026</t>
  </si>
  <si>
    <t>Dec. 31, 2027</t>
  </si>
  <si>
    <t>Dec. 31, 2028</t>
  </si>
  <si>
    <t>Dec. 31, 2029</t>
  </si>
  <si>
    <t>Dec. 31, 2030</t>
  </si>
  <si>
    <t>Dec. 31, 2031</t>
  </si>
  <si>
    <t>Dec. 31, 2032</t>
  </si>
  <si>
    <t>Dec. 31, 2033</t>
  </si>
  <si>
    <t>Dec. 31, 2034</t>
  </si>
  <si>
    <t>Net Sales</t>
  </si>
  <si>
    <t>Growth</t>
  </si>
  <si>
    <t>Average Revenue per store</t>
  </si>
  <si>
    <t>Calculated comparable store sales growth</t>
  </si>
  <si>
    <t>Given comparable store sales growth**</t>
  </si>
  <si>
    <t>Inflation (Food at Home)</t>
  </si>
  <si>
    <t>Inflation (overall)</t>
  </si>
  <si>
    <t>Stores, beginning of period</t>
  </si>
  <si>
    <t>Opened</t>
  </si>
  <si>
    <t>Acquired</t>
  </si>
  <si>
    <t>Closed</t>
  </si>
  <si>
    <t>Stores, end of period</t>
  </si>
  <si>
    <t>Total square feet, end of period</t>
  </si>
  <si>
    <t>Opened + Acquired</t>
  </si>
  <si>
    <t>Overall growth</t>
  </si>
  <si>
    <t>Comparable store sales growth</t>
  </si>
  <si>
    <t>Bear</t>
  </si>
  <si>
    <t>Base</t>
  </si>
  <si>
    <t>Bull</t>
  </si>
  <si>
    <t>Number of stores growth</t>
  </si>
  <si>
    <t>**Correl between given and calculated comparable store sales growth</t>
  </si>
  <si>
    <t>Perishables</t>
  </si>
  <si>
    <t>Non-Perishables</t>
  </si>
  <si>
    <t>*Assumptions in Bold</t>
  </si>
  <si>
    <t>OLD Revenue Model</t>
  </si>
  <si>
    <t>Revenue</t>
  </si>
  <si>
    <t>Average Revenue from continued stores</t>
  </si>
  <si>
    <t>Average Revenue lost from closed stores</t>
  </si>
  <si>
    <t xml:space="preserve">                                           -  </t>
  </si>
  <si>
    <t>Average Revenue from New Stores</t>
  </si>
  <si>
    <t>Average Revenue per store for continued stores</t>
  </si>
  <si>
    <t>New Store sales per store</t>
  </si>
  <si>
    <t>Ratio of New store sales to Old store sales</t>
  </si>
  <si>
    <t>Given comparable store sales growth</t>
  </si>
  <si>
    <t>Number of Stores</t>
  </si>
  <si>
    <t>Change in Stores</t>
  </si>
  <si>
    <t>Year</t>
  </si>
  <si>
    <t>Facility</t>
  </si>
  <si>
    <t>State</t>
  </si>
  <si>
    <t>Corporate Office</t>
  </si>
  <si>
    <t>Arizona</t>
  </si>
  <si>
    <t>Alabama</t>
  </si>
  <si>
    <t>Distribution Center</t>
  </si>
  <si>
    <t>California</t>
  </si>
  <si>
    <t>Colorado</t>
  </si>
  <si>
    <t>Delaware</t>
  </si>
  <si>
    <t>Florida</t>
  </si>
  <si>
    <t>Texas</t>
  </si>
  <si>
    <t>Georgia</t>
  </si>
  <si>
    <t>Kansas</t>
  </si>
  <si>
    <t>Square Footage*</t>
  </si>
  <si>
    <t>Louisiana</t>
  </si>
  <si>
    <t>Maryland</t>
  </si>
  <si>
    <t>Missouri</t>
  </si>
  <si>
    <t>Nevada</t>
  </si>
  <si>
    <t>New Jersey</t>
  </si>
  <si>
    <t>New Mexico</t>
  </si>
  <si>
    <t>North Carolina</t>
  </si>
  <si>
    <t>Oklahoma</t>
  </si>
  <si>
    <t>Pennsylvania</t>
  </si>
  <si>
    <t>South Carolina</t>
  </si>
  <si>
    <t>Tennessee</t>
  </si>
  <si>
    <t>Utah</t>
  </si>
  <si>
    <t>Virginia</t>
  </si>
  <si>
    <t>Washington</t>
  </si>
  <si>
    <t>Wyoming</t>
  </si>
  <si>
    <t>Total</t>
  </si>
  <si>
    <t>Notes from 10K</t>
  </si>
  <si>
    <t>"We have an extensive analytics-based process for new store site selection, which includes in-depth analysis of area demographics, competition, growth potential, traffic patterns, grocery spend and other key criteria. "</t>
  </si>
  <si>
    <t>"By reducing our store square footage, our newer stores generally have a lower cost to build and decreased occupancy and operating costs, while reducing non-selling space that results in generally flat sales compared to our larger stores. We expect these cost reductions will allow us to deliver higher returns than our larger stores and continue to accelerate our growth."</t>
  </si>
  <si>
    <t>California is thier largest largest market representing 34% of total stores. They also have store concentration in Texas, Arizona, Florida and Colorado, representing 12%, 11%, 11% and 8% of total stores in fiscal 2024, respectively.</t>
  </si>
  <si>
    <t xml:space="preserve"> "As we execute our long-term growth strategy, we may become even more concentrated in these markets, as well as other identified expansion markets. In addition, we source a large portion of our produce from California, ranging from approximately 40% to approximately 70% depending on the time of year. As a result, our business is currently more susceptible to regional conditions than the operations of more geographically diversified competitors, and we are vulnerable to economic downturns and natural disasters in those regions. "</t>
  </si>
  <si>
    <t>"We expect to expand our distribution center network to support our growth."</t>
  </si>
  <si>
    <t>"In 2023, we entered into a partnership with a third-party produce distributor in Pennsylvania to supply fresh produce to our Mid-Atlantic stores. As of December 29, 2024, approximately 80% of our stores were within 250 miles of a distribution center."</t>
  </si>
  <si>
    <t>FY2025</t>
  </si>
  <si>
    <t>FY2026</t>
  </si>
  <si>
    <t>FY2027</t>
  </si>
  <si>
    <t>FY2028</t>
  </si>
  <si>
    <t>FY2029</t>
  </si>
  <si>
    <t>FY2030</t>
  </si>
  <si>
    <t>FY2031</t>
  </si>
  <si>
    <t>FY2032</t>
  </si>
  <si>
    <t>FY2033</t>
  </si>
  <si>
    <t>FY2034</t>
  </si>
  <si>
    <t>Net sales</t>
  </si>
  <si>
    <t>Cost of sales</t>
  </si>
  <si>
    <t>Gross profit</t>
  </si>
  <si>
    <t>Selling, general and administrative expenses</t>
  </si>
  <si>
    <t>Depreciation and amortization (exclusive of depreciation included in cost of sales)</t>
  </si>
  <si>
    <t>Store closure and other costs, net</t>
  </si>
  <si>
    <t>Store closure and other costs, net primarily reflects impairment charges of long-lived assets and costs incurred related to store closures, including severance and any exit costs associated with closing a store, in addition to occupancy costs associated with closed store locations. One-time disaster recovery costs are also included here.</t>
  </si>
  <si>
    <t>.</t>
  </si>
  <si>
    <t>Income from operations - EBIT</t>
  </si>
  <si>
    <t>Interest (income) expense, net</t>
  </si>
  <si>
    <t>Other Income</t>
  </si>
  <si>
    <t>Income before income taxes</t>
  </si>
  <si>
    <t>Income tax provision</t>
  </si>
  <si>
    <t>Net income</t>
  </si>
  <si>
    <t>Net income per share:</t>
  </si>
  <si>
    <t>Basic (in dollars per share)</t>
  </si>
  <si>
    <t>Diluted (in dollars per share)</t>
  </si>
  <si>
    <t>Weighted average shares outstanding:</t>
  </si>
  <si>
    <t>Basic (in shares)</t>
  </si>
  <si>
    <t>Diluted (in shares)</t>
  </si>
  <si>
    <t>Assumption</t>
  </si>
  <si>
    <t>Average</t>
  </si>
  <si>
    <t>Store closure and other costs per last two years of closed stores</t>
  </si>
  <si>
    <t>Income Tax</t>
  </si>
  <si>
    <t>Interest Expense source</t>
  </si>
  <si>
    <t>Long-term debt</t>
  </si>
  <si>
    <t>Finance leases</t>
  </si>
  <si>
    <t>Deferred financing costs</t>
  </si>
  <si>
    <t>Interest income and other</t>
  </si>
  <si>
    <t>Total interest expense, net</t>
  </si>
  <si>
    <t>Interest Rates on</t>
  </si>
  <si>
    <t>% change</t>
  </si>
  <si>
    <t>Income from operations</t>
  </si>
  <si>
    <t>Common Size</t>
  </si>
  <si>
    <t>Consolidated Balance Sheets - USD ($) $ in Thousands</t>
  </si>
  <si>
    <t>Current assets:</t>
  </si>
  <si>
    <t>Cash and cash equivalents</t>
  </si>
  <si>
    <t>Derived Cashflow</t>
  </si>
  <si>
    <t>Accounts receivable, net</t>
  </si>
  <si>
    <t>% of Revenue</t>
  </si>
  <si>
    <t>Inventories</t>
  </si>
  <si>
    <t>% of COGS</t>
  </si>
  <si>
    <t>Prepaid expenses and other current assets</t>
  </si>
  <si>
    <t>Total current assets</t>
  </si>
  <si>
    <t>Property and equipment, net of accumulated depreciation</t>
  </si>
  <si>
    <t>See Schedule below</t>
  </si>
  <si>
    <t>Operating lease assets, net</t>
  </si>
  <si>
    <t>% of Total stores</t>
  </si>
  <si>
    <t>Intangible assets</t>
  </si>
  <si>
    <t>Constant</t>
  </si>
  <si>
    <t>They have indefinite lived intangible assets hence no ammortization</t>
  </si>
  <si>
    <t>Goodwill</t>
  </si>
  <si>
    <t>Other assets</t>
  </si>
  <si>
    <t>Total assets</t>
  </si>
  <si>
    <t>Current liabilities:</t>
  </si>
  <si>
    <t>Accounts payable</t>
  </si>
  <si>
    <t>Accrued liabilities</t>
  </si>
  <si>
    <t>% of SGA</t>
  </si>
  <si>
    <t>Accrued salaries and benefits</t>
  </si>
  <si>
    <t>Accrued income tax</t>
  </si>
  <si>
    <t>Current portion of operating lease liabilities</t>
  </si>
  <si>
    <t>% of operating lease liabilities</t>
  </si>
  <si>
    <t>Current portion of finance lease liabilities</t>
  </si>
  <si>
    <t>% of finance lease liabilities</t>
  </si>
  <si>
    <t>Total current liabilities</t>
  </si>
  <si>
    <t>Long-term operating lease liabilities</t>
  </si>
  <si>
    <t>% of Operating lease assets</t>
  </si>
  <si>
    <t>Long term Debt</t>
  </si>
  <si>
    <t>% of Non Cash Assets</t>
  </si>
  <si>
    <t>Finance lease liabilities</t>
  </si>
  <si>
    <t>Long-term debt and finance lease liabilities</t>
  </si>
  <si>
    <t>Caclulation</t>
  </si>
  <si>
    <t>Other long-term liabilities</t>
  </si>
  <si>
    <t>Deferred income tax liability</t>
  </si>
  <si>
    <t>% of Income Tax</t>
  </si>
  <si>
    <t>Total liabilities</t>
  </si>
  <si>
    <t>Stockholders’ equity:</t>
  </si>
  <si>
    <t>Common stock</t>
  </si>
  <si>
    <t xml:space="preserve"> $0.001 par value; 200,000,000 shares authorized, 99,255,036 shares issued and outstanding, December 29, 2024;</t>
  </si>
  <si>
    <t>Additional paid-in capital</t>
  </si>
  <si>
    <t>Accumulated other comprehensive income (loss)</t>
  </si>
  <si>
    <t>Retained earnings</t>
  </si>
  <si>
    <t>Total stockholders’ equity</t>
  </si>
  <si>
    <t>Total liabilities and stockholders’ equity</t>
  </si>
  <si>
    <t>Retained Earning</t>
  </si>
  <si>
    <t>Beginning Balance</t>
  </si>
  <si>
    <t>Net Income</t>
  </si>
  <si>
    <t>Dividends</t>
  </si>
  <si>
    <t>Stock Repurchases Dollar Amount</t>
  </si>
  <si>
    <t>Share Repurchases
On May 22, 2024, the Company's board of directors authorized a new $600 million share repurchase program for its common stock. The new authorization replaced the Company's then-existing share repurchase authorization of $600 million that was due to expire on December 31, 2024, of which $119.3 million remained available upon its replacement, and under which no further shares may be repurchased. The following table outlines the common stock share repurchase programs authorized by the Company’s board of directors and the related repurchase activity and available authorization as of December 29, 2024:</t>
  </si>
  <si>
    <t>Ending Balance</t>
  </si>
  <si>
    <t>Number of Shares Outstanding</t>
  </si>
  <si>
    <t>Price</t>
  </si>
  <si>
    <t>PPE</t>
  </si>
  <si>
    <t>Land and finance lease assets</t>
  </si>
  <si>
    <t>Furniture, fixtures and equipment</t>
  </si>
  <si>
    <t>Leasehold improvements</t>
  </si>
  <si>
    <t>Construction in progress</t>
  </si>
  <si>
    <t>Total property and equipment</t>
  </si>
  <si>
    <t>Accumulated depreciation and amortization</t>
  </si>
  <si>
    <t>Property and equipment, net</t>
  </si>
  <si>
    <t>Depriciation Exp</t>
  </si>
  <si>
    <t>Capex</t>
  </si>
  <si>
    <t>Capex/new properties</t>
  </si>
  <si>
    <t>Long Term Debt Schedule</t>
  </si>
  <si>
    <t>Debt/EBIT</t>
  </si>
  <si>
    <t>Debt/Non Cash Assets</t>
  </si>
  <si>
    <t>Debt/Equity</t>
  </si>
  <si>
    <t>NET INCOME</t>
  </si>
  <si>
    <t>Repurchases</t>
  </si>
  <si>
    <t>Change in cash</t>
  </si>
  <si>
    <t>Beginning Cash Balance</t>
  </si>
  <si>
    <t>Ending Cash Balance</t>
  </si>
  <si>
    <t>FCFE</t>
  </si>
  <si>
    <t>Check</t>
  </si>
  <si>
    <t>Consolidated Statements of Cash Flows - USD ($) $ in Thousands</t>
  </si>
  <si>
    <t>Operating activities</t>
  </si>
  <si>
    <t>Adjustments to reconcile net income to net cash provided by operating activities:</t>
  </si>
  <si>
    <t>Depreciation and amortization expense</t>
  </si>
  <si>
    <t>Operating lease asset amortization</t>
  </si>
  <si>
    <t>Impairment of assets</t>
  </si>
  <si>
    <t>Share-based compensation</t>
  </si>
  <si>
    <t>Deferred income taxes</t>
  </si>
  <si>
    <t>Other non-cash items</t>
  </si>
  <si>
    <t>Changes in operating assets and liabilities, net of effects from acquisition:</t>
  </si>
  <si>
    <t>Accounts receivable</t>
  </si>
  <si>
    <t xml:space="preserve">Other </t>
  </si>
  <si>
    <t>Operating lease liabilities</t>
  </si>
  <si>
    <t>Cash flows from operating activities</t>
  </si>
  <si>
    <t>Investing activities</t>
  </si>
  <si>
    <t>Purchases of property and equipment</t>
  </si>
  <si>
    <t>Payments for acquisition, net of cash acquired</t>
  </si>
  <si>
    <t>Cash flows used in investing activities</t>
  </si>
  <si>
    <t>Financing activities</t>
  </si>
  <si>
    <t>Proceeds from revolving credit facilities</t>
  </si>
  <si>
    <t>Payments on revolving credit facilities</t>
  </si>
  <si>
    <t>Payments on finance lease liabilities</t>
  </si>
  <si>
    <t>Payments of deferred financing costs</t>
  </si>
  <si>
    <t>Repurchase of common stock</t>
  </si>
  <si>
    <t>Payments of excise tax on repurchases of common stock</t>
  </si>
  <si>
    <t>Proceeds from exercise of stock options</t>
  </si>
  <si>
    <t>Cash flows used in financing activities</t>
  </si>
  <si>
    <t>Increase/(Decrease) in cash, cash equivalents, and restricted cash</t>
  </si>
  <si>
    <t>Cash, cash equivalents, and restricted cash at beginning of the period</t>
  </si>
  <si>
    <t>Cash, cash equivalents, and restricted cash at the end of the period</t>
  </si>
  <si>
    <t>Supplemental disclosure of cash flow information</t>
  </si>
  <si>
    <t>Cash paid for interest</t>
  </si>
  <si>
    <t>Cash paid for income taxes</t>
  </si>
  <si>
    <t>Supplemental disclosure of non-cash activities</t>
  </si>
  <si>
    <t>Property and equipment in accounts payable and accrued liabilities</t>
  </si>
  <si>
    <t>Issuance of shares for acquisition</t>
  </si>
  <si>
    <t>Excise tax accrued on repurchase of common stock</t>
  </si>
  <si>
    <t>Leased assets obtained in exchange for new operating lease liabilities, net of lease terminations</t>
  </si>
  <si>
    <t>Leased assets obtained in exchange for new finance lease liabilities</t>
  </si>
  <si>
    <t>As of June 30</t>
  </si>
  <si>
    <t>LONG-TERM DEBT</t>
  </si>
  <si>
    <t>Amount</t>
  </si>
  <si>
    <t>Coupon Rate</t>
  </si>
  <si>
    <t>2029+</t>
  </si>
  <si>
    <t>3.10% USD note due August 2023</t>
  </si>
  <si>
    <t>—</t>
  </si>
  <si>
    <t>USD</t>
  </si>
  <si>
    <t>1.13% EUR note due November 2023</t>
  </si>
  <si>
    <t>EUR</t>
  </si>
  <si>
    <t>0.50% EUR note due October 2024</t>
  </si>
  <si>
    <t>0.63% EUR note due October 2024</t>
  </si>
  <si>
    <t>0.55% USD note due October 2025</t>
  </si>
  <si>
    <t>4.10% USD note due January 2026</t>
  </si>
  <si>
    <t>2.70% USD note due February 2026</t>
  </si>
  <si>
    <t>1.00% USD note due April 2026</t>
  </si>
  <si>
    <t>3.25% EUR note due August 2026</t>
  </si>
  <si>
    <t>2.45% USD note due November 2026</t>
  </si>
  <si>
    <t>1.90% USD note due February 2027</t>
  </si>
  <si>
    <t>2.80% USD note due March 2027</t>
  </si>
  <si>
    <t>4.88% EUR note due May 2027</t>
  </si>
  <si>
    <t>2.85% USD note due August 2027</t>
  </si>
  <si>
    <t>3.95% USD note due January 2028</t>
  </si>
  <si>
    <t>3.15% EUR note due April 2028</t>
  </si>
  <si>
    <t>1.20% EUR note due October 2028</t>
  </si>
  <si>
    <t>4.35% USD note due January 2029</t>
  </si>
  <si>
    <t>1.25% EUR note due October 2029</t>
  </si>
  <si>
    <t>3.00% USD note due March 2030</t>
  </si>
  <si>
    <t>0.35% EUR note due May 2030</t>
  </si>
  <si>
    <t>1.20% USD note due October 2030</t>
  </si>
  <si>
    <t>1.95% USD note due April 2031</t>
  </si>
  <si>
    <t>3.25% EUR note due August 2031</t>
  </si>
  <si>
    <t>2.30% USD note due February 2032</t>
  </si>
  <si>
    <t>4.05% USD note due January 2033</t>
  </si>
  <si>
    <t>4.55% USD note due January 2034</t>
  </si>
  <si>
    <t>3.20% EUR note due April 2034</t>
  </si>
  <si>
    <t>5.55% USD note due March 2037</t>
  </si>
  <si>
    <t>1.88% EUR note due October 2038</t>
  </si>
  <si>
    <t>3.55% USD note due March 2040</t>
  </si>
  <si>
    <t>0.90% EUR note due November 2041</t>
  </si>
  <si>
    <t>All other long-term debt</t>
  </si>
  <si>
    <t>Current portion of long-term debt</t>
  </si>
  <si>
    <t>TOTAL</t>
  </si>
  <si>
    <t>Weighted average interest rate of long-term debt (1)</t>
  </si>
  <si>
    <t>Correlations</t>
  </si>
  <si>
    <t>HSY</t>
  </si>
  <si>
    <t>PEP</t>
  </si>
  <si>
    <t>KMB</t>
  </si>
  <si>
    <t>ACI</t>
  </si>
  <si>
    <t>Date</t>
  </si>
  <si>
    <t>Cash Flows</t>
  </si>
  <si>
    <t>2025E</t>
  </si>
  <si>
    <t>2026E</t>
  </si>
  <si>
    <t>2027E</t>
  </si>
  <si>
    <t>2028E</t>
  </si>
  <si>
    <t>2029E</t>
  </si>
  <si>
    <t>Formula</t>
  </si>
  <si>
    <t>Profitability</t>
  </si>
  <si>
    <t>Gross margin</t>
  </si>
  <si>
    <t>gross profit/sales</t>
  </si>
  <si>
    <t>EBITDA margin</t>
  </si>
  <si>
    <t>EBIT/sales or EBT/sales</t>
  </si>
  <si>
    <t>EBT margin</t>
  </si>
  <si>
    <t>EBITDA / sales</t>
  </si>
  <si>
    <t>Net profit margin</t>
  </si>
  <si>
    <t>Net income/sales</t>
  </si>
  <si>
    <t>ROA</t>
  </si>
  <si>
    <t>(Net profit margin for ROA)(asset turnover) which is also [EBIT(1-t)/assets]</t>
  </si>
  <si>
    <t>ROE</t>
  </si>
  <si>
    <t>Net income/equity</t>
  </si>
  <si>
    <t>Liquidity</t>
  </si>
  <si>
    <t>Current Ratio</t>
  </si>
  <si>
    <t>Current assets/current liabilities</t>
  </si>
  <si>
    <t>Quick Ratio</t>
  </si>
  <si>
    <t>(Cash + marketable securities)/current liabilities</t>
  </si>
  <si>
    <t>Financial leverage</t>
  </si>
  <si>
    <t>Capital Structure Leverage</t>
  </si>
  <si>
    <t>assets/common equity</t>
  </si>
  <si>
    <t>Total debt to Equity</t>
  </si>
  <si>
    <t>TD/equity</t>
  </si>
  <si>
    <t>Long-term debt ratio</t>
  </si>
  <si>
    <t>(Long-term debt)/(Long-term debt + equity)</t>
  </si>
  <si>
    <t>Liabilities to Equity</t>
  </si>
  <si>
    <t>Total liabilities/equity</t>
  </si>
  <si>
    <t>Working capital to total capital</t>
  </si>
  <si>
    <t>(Current assets - current liabilities) / (total debt + equity)</t>
  </si>
  <si>
    <t>Debt/Operating Profit</t>
  </si>
  <si>
    <t>Interest coverage</t>
  </si>
  <si>
    <t>EBIT/interest or EBITDA/interest</t>
  </si>
  <si>
    <t>Operating Leverage</t>
  </si>
  <si>
    <t>(% change in operating profit)/(% change in sales)</t>
  </si>
  <si>
    <t>Efficiency/Activity</t>
  </si>
  <si>
    <t>Asset turnover</t>
  </si>
  <si>
    <t>Sales/assets</t>
  </si>
  <si>
    <t>Receivables turnover</t>
  </si>
  <si>
    <t>Sales/AR</t>
  </si>
  <si>
    <t>Inventory turnover</t>
  </si>
  <si>
    <t>COGS/inventory</t>
  </si>
  <si>
    <t>Payables turnover</t>
  </si>
  <si>
    <t>COGS/AP</t>
  </si>
  <si>
    <t>Days sales outstanding</t>
  </si>
  <si>
    <t>=365/receivables turnover</t>
  </si>
  <si>
    <t>Days inventory on hand</t>
  </si>
  <si>
    <t>'=365/inventory turnover</t>
  </si>
  <si>
    <t>Days Payables</t>
  </si>
  <si>
    <t>=365/payables turnover</t>
  </si>
  <si>
    <t>Cash Conversion Cycle</t>
  </si>
  <si>
    <t>COMPARABLE COMPANY ANALYSIS</t>
  </si>
  <si>
    <t>COMPANY DATA</t>
  </si>
  <si>
    <t>(in millions)</t>
  </si>
  <si>
    <t>Recent</t>
  </si>
  <si>
    <t>52 week</t>
  </si>
  <si>
    <t>Shares</t>
  </si>
  <si>
    <t>Market</t>
  </si>
  <si>
    <t>Enterprise</t>
  </si>
  <si>
    <t>Book</t>
  </si>
  <si>
    <t>WS 12-mo</t>
  </si>
  <si>
    <t>Company Name</t>
  </si>
  <si>
    <t>Ticker</t>
  </si>
  <si>
    <t>High</t>
  </si>
  <si>
    <t>Out</t>
  </si>
  <si>
    <t>Cap</t>
  </si>
  <si>
    <t>Debt</t>
  </si>
  <si>
    <t>Cash</t>
  </si>
  <si>
    <t>Value</t>
  </si>
  <si>
    <t>Price Target</t>
  </si>
  <si>
    <t>AMAZON COM/d</t>
  </si>
  <si>
    <t>AMZN.O</t>
  </si>
  <si>
    <t>WALMART INC/d</t>
  </si>
  <si>
    <t>WMT</t>
  </si>
  <si>
    <t>COSTCO WHOLESA/d</t>
  </si>
  <si>
    <t>COST.OQ</t>
  </si>
  <si>
    <t>ALBRTS COM A O/d</t>
  </si>
  <si>
    <t>KROGER CO/d</t>
  </si>
  <si>
    <t>KR</t>
  </si>
  <si>
    <t/>
  </si>
  <si>
    <t>SPRTS FRMR MKT/d</t>
  </si>
  <si>
    <t>SFM.OQ</t>
  </si>
  <si>
    <t>I/B/E/S  ESTIMATES</t>
  </si>
  <si>
    <t>CM</t>
  </si>
  <si>
    <t>SALES</t>
  </si>
  <si>
    <t>EPS</t>
  </si>
  <si>
    <t>EBIT</t>
  </si>
  <si>
    <t>EBITDA</t>
  </si>
  <si>
    <t>EPS 5-yr</t>
  </si>
  <si>
    <t>Last FY</t>
  </si>
  <si>
    <t>FYR1</t>
  </si>
  <si>
    <t>FYR2</t>
  </si>
  <si>
    <t>FYR3</t>
  </si>
  <si>
    <t>Growth %</t>
  </si>
  <si>
    <t>VALUATION MULTIPLES</t>
  </si>
  <si>
    <t xml:space="preserve">Price / </t>
  </si>
  <si>
    <t>Price/Sales</t>
  </si>
  <si>
    <t>P/E</t>
  </si>
  <si>
    <t>PEG</t>
  </si>
  <si>
    <t>EV/EBITDA</t>
  </si>
  <si>
    <t>Median</t>
  </si>
  <si>
    <t>ws.OperatingProfitMargin[ws.cpa]</t>
  </si>
  <si>
    <t>ws.AssetTurnover[ws.cpa]</t>
  </si>
  <si>
    <t>ws.InventoryTurnover[ws.cpa]</t>
  </si>
  <si>
    <t>ws.ReceivablesTurnover[ws.cpa]</t>
  </si>
  <si>
    <t>ws.TotalDebtPctCommonEquity[ws.cpa]</t>
  </si>
  <si>
    <t>ws.LTDebtPctCommonEquity[ws.cpa]</t>
  </si>
  <si>
    <t>ws.LTDebtPctTotalCapital[ws.cpa]</t>
  </si>
  <si>
    <t>ws.QuickRatio[ws.cpa]</t>
  </si>
  <si>
    <t>ws.CurrentRatio[ws.cpa]</t>
  </si>
  <si>
    <t>RATIO ANALYSIS</t>
  </si>
  <si>
    <t>Gross</t>
  </si>
  <si>
    <t>Operating</t>
  </si>
  <si>
    <t>Net</t>
  </si>
  <si>
    <t>Asset</t>
  </si>
  <si>
    <t>Inventory</t>
  </si>
  <si>
    <t>Receivables</t>
  </si>
  <si>
    <t>Quick</t>
  </si>
  <si>
    <t>Current</t>
  </si>
  <si>
    <t>Interest</t>
  </si>
  <si>
    <t>Margin</t>
  </si>
  <si>
    <t>Turnvover</t>
  </si>
  <si>
    <t>Debt/E</t>
  </si>
  <si>
    <t>LTD/TC</t>
  </si>
  <si>
    <t>Ratio</t>
  </si>
  <si>
    <t>Coverage</t>
  </si>
  <si>
    <t>NGVC.N</t>
  </si>
  <si>
    <t>Sprouts vs S&amp;P Food retail and NASDAQ over last 5 years</t>
  </si>
  <si>
    <t>conm_x</t>
  </si>
  <si>
    <t>value_mean_decile_decile</t>
  </si>
  <si>
    <t>growth_mean_decile_decile</t>
  </si>
  <si>
    <t>sentiment_mean_decile_decile</t>
  </si>
  <si>
    <t>quality_mean_decile_decile</t>
  </si>
  <si>
    <t>aggregate_mean_decile</t>
  </si>
  <si>
    <t>Rank by Value</t>
  </si>
  <si>
    <t>Rank by Growth</t>
  </si>
  <si>
    <t>Rank by Sentiment</t>
  </si>
  <si>
    <t>Rank by Quality</t>
  </si>
  <si>
    <t>Rank by Aggregate</t>
  </si>
  <si>
    <t>PILGRIM'S PRIDE CORP</t>
  </si>
  <si>
    <t>INGREDION INC</t>
  </si>
  <si>
    <t>MAPLEBEAR INC</t>
  </si>
  <si>
    <t>PHILIP MORRIS INTERNATIONAL</t>
  </si>
  <si>
    <t>ALTRIA GROUP INC</t>
  </si>
  <si>
    <t>TYSON FOODS INC  -CL A</t>
  </si>
  <si>
    <t>MOLSON COORS BEVERAGE CO</t>
  </si>
  <si>
    <t>KIMBERLY-CLARK CORP</t>
  </si>
  <si>
    <t>REYNOLDS CONSUMER PRODUCTS</t>
  </si>
  <si>
    <t>SPROUTS FARMERS MARKET</t>
  </si>
  <si>
    <t>PERFORMANCE FOOD GROUP CO</t>
  </si>
  <si>
    <t>KROGER CO</t>
  </si>
  <si>
    <t>CONAGRA BRANDS INC</t>
  </si>
  <si>
    <t>GENERAL MILLS INC</t>
  </si>
  <si>
    <t>WALMART INC</t>
  </si>
  <si>
    <t>TARGET CORP</t>
  </si>
  <si>
    <t>COSTCO WHOLESALE CORP</t>
  </si>
  <si>
    <t>HORMEL FOODS CORP</t>
  </si>
  <si>
    <t>COLGATE-PALMOLIVE CO</t>
  </si>
  <si>
    <t>KEURIG DR PEPPER INC</t>
  </si>
  <si>
    <t>MONSTER BEVERAGE CORP</t>
  </si>
  <si>
    <t>US FOODS HOLDING CORP</t>
  </si>
  <si>
    <t>BJS WHSL CLUB HLDGS INC</t>
  </si>
  <si>
    <t>DOLLAR TREE INC</t>
  </si>
  <si>
    <t>POST HOLDINGS INC</t>
  </si>
  <si>
    <t>ARCHER-DANIELS-MIDLAND CO</t>
  </si>
  <si>
    <t>MCCORMICK &amp; CO INC</t>
  </si>
  <si>
    <t>KRAFT HEINZ CO</t>
  </si>
  <si>
    <t>SYSCO CORP</t>
  </si>
  <si>
    <t>KELLANOVA</t>
  </si>
  <si>
    <t>BELLRING BRANDS INC</t>
  </si>
  <si>
    <t>CASEYS GENERAL STORES INC</t>
  </si>
  <si>
    <t>CHURCH &amp; DWIGHT INC</t>
  </si>
  <si>
    <t>BROWN FORMAN CORP</t>
  </si>
  <si>
    <t>CLOROX CO/DE</t>
  </si>
  <si>
    <t>DARLING INGREDIENTS INC</t>
  </si>
  <si>
    <t>COCA COLA CONSOLIDATED INC</t>
  </si>
  <si>
    <t>COCA-COLA EUROPACIFIC PARTNE</t>
  </si>
  <si>
    <t>PROCTER &amp; GAMBLE CO</t>
  </si>
  <si>
    <t>BUNGE GLOBAL SA</t>
  </si>
  <si>
    <t>FRESHPET INC</t>
  </si>
  <si>
    <t>MONDELEZ INTERNATIONAL INC</t>
  </si>
  <si>
    <t>CELSIUS HOLDINGS INC</t>
  </si>
  <si>
    <t>ALBERTSONS COS INC</t>
  </si>
  <si>
    <t>KENVUE INC</t>
  </si>
  <si>
    <t>WALGREENS BOOTS ALLIANCE INC</t>
  </si>
  <si>
    <t>SMUCKER (JM) CO</t>
  </si>
  <si>
    <t>CAMPBELL'S CO (THE)</t>
  </si>
  <si>
    <t>DOLLAR GENERAL CORP</t>
  </si>
  <si>
    <t>PEPSICO INC</t>
  </si>
  <si>
    <t>COCA-COLA CO</t>
  </si>
  <si>
    <t>COTY INC</t>
  </si>
  <si>
    <t>HERSHEY CO</t>
  </si>
  <si>
    <t>CONSTELLATION BRANDS</t>
  </si>
  <si>
    <t>ESTEE LAUDER COMPANIES INC</t>
  </si>
  <si>
    <t>LAMB WESTON HOLDINGS INC</t>
  </si>
  <si>
    <t>E.L.F. BEAUTY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</si>
</sst>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8" formatCode="&quot;$&quot;#,##0.00_);[Red]\(&quot;$&quot;#,##0.00\)"/>
    <numFmt numFmtId="44" formatCode="_(&quot;$&quot;* #,##0.00_);_(&quot;$&quot;* \(#,##0.00\);_(&quot;$&quot;* &quot;-&quot;??_);_(@_)"/>
    <numFmt numFmtId="43" formatCode="_(* #,##0.00_);_(* \(#,##0.00\);_(* &quot;-&quot;??_);_(@_)"/>
    <numFmt numFmtId="164" formatCode="_(&quot;$ &quot;#,##0_);_(&quot;$ &quot;\(#,##0\)"/>
    <numFmt numFmtId="165" formatCode="0.0%"/>
    <numFmt numFmtId="166" formatCode="0.000%"/>
    <numFmt numFmtId="167" formatCode="&quot;$&quot;#,##0.00"/>
    <numFmt numFmtId="168" formatCode="m/d/yy;@"/>
    <numFmt numFmtId="169" formatCode="0.0\x"/>
    <numFmt numFmtId="170" formatCode="_(* #,##0.0_);_(* \(#,##0.0\);_(* &quot;-&quot;??_);_(@_)"/>
    <numFmt numFmtId="171" formatCode="&quot;$&quot;#,##0"/>
    <numFmt numFmtId="172" formatCode="0.00\x"/>
    <numFmt numFmtId="173" formatCode="_(* #,##0_);_(* \(#,##0\);_(* &quot;-&quot;??_);_(@_)"/>
    <numFmt numFmtId="174" formatCode="_(* #,##0.0000_);_(* \(#,##0.0000\);_(* &quot;-&quot;??_);_(@_)"/>
    <numFmt numFmtId="175" formatCode="0.00000%"/>
    <numFmt numFmtId="176" formatCode="_(&quot;$&quot;* #,##0_);_(&quot;$&quot;* \(#,##0\);_(&quot;$&quot;* &quot;-&quot;??_);_(@_)"/>
    <numFmt numFmtId="177" formatCode="0.0000%"/>
    <numFmt numFmtId="178" formatCode="_(* #,##0.000_);_(* \(#,##0.000\);_(* &quot;-&quot;??_);_(@_)"/>
  </numFmts>
  <fonts count="60">
    <font>
      <sz val="12"/>
      <color theme="1"/>
      <name val="AmericanTypewriter"/>
      <family val="2"/>
    </font>
    <font>
      <sz val="12"/>
      <color theme="1"/>
      <name val="AmericanTypewriter"/>
      <family val="2"/>
    </font>
    <font>
      <u/>
      <sz val="12"/>
      <color theme="10"/>
      <name val="AmericanTypewriter"/>
      <family val="2"/>
    </font>
    <font>
      <sz val="10"/>
      <name val="Arial"/>
      <family val="2"/>
    </font>
    <font>
      <sz val="10"/>
      <name val="Times New Roman"/>
      <family val="1"/>
    </font>
    <font>
      <sz val="10"/>
      <color theme="1"/>
      <name val="Calibri"/>
      <family val="2"/>
      <scheme val="minor"/>
    </font>
    <font>
      <sz val="10"/>
      <name val="Calibri"/>
      <family val="2"/>
      <scheme val="minor"/>
    </font>
    <font>
      <sz val="10"/>
      <color theme="0"/>
      <name val="Calibri"/>
      <family val="2"/>
      <scheme val="minor"/>
    </font>
    <font>
      <b/>
      <sz val="10"/>
      <color theme="1"/>
      <name val="Calibri"/>
      <family val="2"/>
      <scheme val="minor"/>
    </font>
    <font>
      <b/>
      <sz val="10"/>
      <color theme="0"/>
      <name val="Calibri"/>
      <family val="2"/>
      <scheme val="minor"/>
    </font>
    <font>
      <sz val="10"/>
      <color rgb="FFFF0000"/>
      <name val="Calibri"/>
      <family val="2"/>
      <scheme val="minor"/>
    </font>
    <font>
      <b/>
      <sz val="10"/>
      <name val="Calibri"/>
      <family val="2"/>
      <scheme val="minor"/>
    </font>
    <font>
      <sz val="11"/>
      <color theme="1"/>
      <name val="Avenir Next Regular"/>
    </font>
    <font>
      <b/>
      <sz val="11"/>
      <color theme="0"/>
      <name val="Avenir Next Regular"/>
    </font>
    <font>
      <b/>
      <sz val="11"/>
      <color theme="1"/>
      <name val="Avenir Next Regular"/>
    </font>
    <font>
      <sz val="11"/>
      <color rgb="FF0000FF"/>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theme="0"/>
      <name val="Calibri"/>
      <family val="2"/>
      <scheme val="minor"/>
    </font>
    <font>
      <sz val="11"/>
      <color theme="0"/>
      <name val="Calibri"/>
      <family val="2"/>
      <scheme val="minor"/>
    </font>
    <font>
      <b/>
      <sz val="11"/>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b/>
      <sz val="11"/>
      <color rgb="FF0000FF"/>
      <name val="Calibri"/>
      <family val="2"/>
      <scheme val="minor"/>
    </font>
    <font>
      <sz val="11"/>
      <color rgb="FFFF0000"/>
      <name val="Calibri"/>
      <family val="2"/>
      <scheme val="minor"/>
    </font>
    <font>
      <i/>
      <sz val="11"/>
      <name val="Calibri"/>
      <family val="2"/>
      <scheme val="minor"/>
    </font>
    <font>
      <sz val="11"/>
      <color rgb="FF3366FF"/>
      <name val="Calibri"/>
      <family val="2"/>
      <scheme val="minor"/>
    </font>
    <font>
      <u/>
      <sz val="11"/>
      <color theme="10"/>
      <name val="Calibri"/>
      <family val="2"/>
      <scheme val="minor"/>
    </font>
    <font>
      <vertAlign val="subscript"/>
      <sz val="11"/>
      <name val="Calibri"/>
      <family val="2"/>
      <scheme val="minor"/>
    </font>
    <font>
      <sz val="12"/>
      <color theme="1"/>
      <name val="Calibri"/>
      <family val="2"/>
      <scheme val="minor"/>
    </font>
    <font>
      <sz val="10"/>
      <color rgb="FF000000"/>
      <name val="Calibri"/>
      <family val="2"/>
      <scheme val="minor"/>
    </font>
    <font>
      <i/>
      <sz val="11"/>
      <color theme="1"/>
      <name val="Calibri"/>
      <family val="2"/>
      <scheme val="minor"/>
    </font>
    <font>
      <i/>
      <sz val="11"/>
      <color rgb="FF0432FF"/>
      <name val="Calibri"/>
      <family val="2"/>
      <scheme val="minor"/>
    </font>
    <font>
      <sz val="10"/>
      <color theme="1"/>
      <name val="Arial"/>
      <family val="2"/>
    </font>
    <font>
      <sz val="11"/>
      <color theme="1"/>
      <name val="Calibri"/>
      <family val="2"/>
    </font>
    <font>
      <sz val="12"/>
      <color theme="1"/>
      <name val="Times New Roman"/>
      <family val="1"/>
    </font>
    <font>
      <sz val="12"/>
      <color rgb="FF660066"/>
      <name val="Times New Roman"/>
      <family val="1"/>
    </font>
    <font>
      <sz val="10"/>
      <color rgb="FF009644"/>
      <name val="Times New Roman"/>
      <family val="1"/>
    </font>
    <font>
      <sz val="10"/>
      <color theme="1"/>
      <name val="Times New Roman"/>
      <family val="1"/>
    </font>
    <font>
      <b/>
      <sz val="10"/>
      <color theme="0"/>
      <name val="Times New Roman"/>
      <family val="1"/>
    </font>
    <font>
      <sz val="10"/>
      <color theme="0"/>
      <name val="Times New Roman"/>
      <family val="1"/>
    </font>
    <font>
      <b/>
      <sz val="10"/>
      <color rgb="FF0F243E"/>
      <name val="Times New Roman"/>
      <family val="1"/>
    </font>
    <font>
      <sz val="12"/>
      <color theme="0"/>
      <name val="AmericanTypewriter"/>
      <family val="2"/>
    </font>
    <font>
      <sz val="8"/>
      <name val="AmericanTypewriter"/>
      <family val="2"/>
    </font>
    <font>
      <b/>
      <sz val="8"/>
      <color rgb="FF000000"/>
      <name val="Calibri"/>
      <family val="2"/>
      <scheme val="minor"/>
    </font>
    <font>
      <sz val="8"/>
      <color theme="1"/>
      <name val="Calibri"/>
      <family val="2"/>
      <scheme val="minor"/>
    </font>
    <font>
      <sz val="6"/>
      <color rgb="FF212529"/>
      <name val="Calibri"/>
      <family val="2"/>
      <scheme val="minor"/>
    </font>
    <font>
      <sz val="12"/>
      <color rgb="FF212529"/>
      <name val="Calibri"/>
      <family val="2"/>
      <scheme val="minor"/>
    </font>
    <font>
      <sz val="1"/>
      <color rgb="FF000000"/>
      <name val="Calibri"/>
      <family val="2"/>
      <scheme val="minor"/>
    </font>
    <font>
      <u/>
      <sz val="11"/>
      <color rgb="FF000000"/>
      <name val="Calibri"/>
      <family val="2"/>
      <scheme val="minor"/>
    </font>
    <font>
      <sz val="11"/>
      <color rgb="FF212529"/>
      <name val="Calibri"/>
      <family val="2"/>
      <scheme val="minor"/>
    </font>
    <font>
      <b/>
      <sz val="10"/>
      <color theme="0"/>
      <name val="Arial"/>
      <family val="2"/>
    </font>
    <font>
      <sz val="12"/>
      <color theme="0"/>
      <name val="Calibri"/>
      <family val="2"/>
      <scheme val="minor"/>
    </font>
    <font>
      <sz val="12"/>
      <color theme="0"/>
      <name val="Calibri"/>
      <family val="2"/>
    </font>
    <font>
      <sz val="11"/>
      <color rgb="FF000000"/>
      <name val="Calibri"/>
      <family val="2"/>
    </font>
    <font>
      <b/>
      <sz val="11"/>
      <color rgb="FF000000"/>
      <name val="Calibri"/>
      <family val="2"/>
    </font>
    <font>
      <sz val="11"/>
      <color rgb="FF0000FF"/>
      <name val="Calibri"/>
      <family val="2"/>
    </font>
  </fonts>
  <fills count="17">
    <fill>
      <patternFill patternType="none"/>
    </fill>
    <fill>
      <patternFill patternType="gray125"/>
    </fill>
    <fill>
      <patternFill patternType="solid">
        <fgColor rgb="FFA8A9AE"/>
        <bgColor indexed="64"/>
      </patternFill>
    </fill>
    <fill>
      <patternFill patternType="solid">
        <fgColor theme="2" tint="-9.9978637043366805E-2"/>
        <bgColor indexed="64"/>
      </patternFill>
    </fill>
    <fill>
      <patternFill patternType="solid">
        <fgColor rgb="FFFFFF00"/>
        <bgColor rgb="FFFFFF00"/>
      </patternFill>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rgb="FF0046CA"/>
        <bgColor indexed="64"/>
      </patternFill>
    </fill>
    <fill>
      <patternFill patternType="solid">
        <fgColor theme="2" tint="-9.9978637043366805E-2"/>
        <bgColor rgb="FF000000"/>
      </patternFill>
    </fill>
    <fill>
      <patternFill patternType="solid">
        <fgColor rgb="FFFFFFFF"/>
        <bgColor indexed="64"/>
      </patternFill>
    </fill>
    <fill>
      <patternFill patternType="solid">
        <fgColor theme="0"/>
        <bgColor indexed="64"/>
      </patternFill>
    </fill>
    <fill>
      <patternFill patternType="solid">
        <fgColor theme="2" tint="-9.9978637043366805E-2"/>
        <bgColor rgb="FFDBE5F1"/>
      </patternFill>
    </fill>
    <fill>
      <patternFill patternType="solid">
        <fgColor rgb="FF197037"/>
        <bgColor indexed="64"/>
      </patternFill>
    </fill>
    <fill>
      <patternFill patternType="solid">
        <fgColor rgb="FF6EBD4D"/>
        <bgColor indexed="64"/>
      </patternFill>
    </fill>
    <fill>
      <patternFill patternType="solid">
        <fgColor rgb="FF197037"/>
        <bgColor rgb="FF000000"/>
      </patternFill>
    </fill>
    <fill>
      <patternFill patternType="solid">
        <fgColor rgb="FF197037"/>
        <bgColor rgb="FF19375F"/>
      </patternFill>
    </fill>
  </fills>
  <borders count="77">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top/>
      <bottom style="medium">
        <color rgb="FF000000"/>
      </bottom>
      <diagonal/>
    </border>
    <border>
      <left style="medium">
        <color indexed="64"/>
      </left>
      <right style="medium">
        <color indexed="64"/>
      </right>
      <top style="medium">
        <color indexed="64"/>
      </top>
      <bottom/>
      <diagonal/>
    </border>
    <border>
      <left/>
      <right/>
      <top/>
      <bottom style="thin">
        <color rgb="FF000000"/>
      </bottom>
      <diagonal/>
    </border>
    <border>
      <left/>
      <right/>
      <top/>
      <bottom style="double">
        <color rgb="FF000000"/>
      </bottom>
      <diagonal/>
    </border>
    <border>
      <left/>
      <right/>
      <top style="thin">
        <color rgb="FF000000"/>
      </top>
      <bottom style="double">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style="thin">
        <color rgb="FF000000"/>
      </bottom>
      <diagonal/>
    </border>
    <border>
      <left style="medium">
        <color indexed="64"/>
      </left>
      <right/>
      <top style="thin">
        <color rgb="FF000000"/>
      </top>
      <bottom style="double">
        <color rgb="FF000000"/>
      </bottom>
      <diagonal/>
    </border>
    <border>
      <left/>
      <right style="medium">
        <color indexed="64"/>
      </right>
      <top/>
      <bottom style="thin">
        <color rgb="FF000000"/>
      </bottom>
      <diagonal/>
    </border>
    <border>
      <left/>
      <right style="medium">
        <color indexed="64"/>
      </right>
      <top style="thin">
        <color rgb="FF000000"/>
      </top>
      <bottom style="double">
        <color rgb="FF000000"/>
      </bottom>
      <diagonal/>
    </border>
    <border>
      <left style="medium">
        <color rgb="FF000000"/>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indexed="64"/>
      </right>
      <top/>
      <bottom style="medium">
        <color rgb="FF000000"/>
      </bottom>
      <diagonal/>
    </border>
    <border>
      <left style="medium">
        <color indexed="64"/>
      </left>
      <right/>
      <top/>
      <bottom style="medium">
        <color rgb="FF000000"/>
      </bottom>
      <diagonal/>
    </border>
    <border>
      <left/>
      <right style="medium">
        <color rgb="FF000000"/>
      </right>
      <top style="thin">
        <color rgb="FF000000"/>
      </top>
      <bottom style="double">
        <color rgb="FF000000"/>
      </bottom>
      <diagonal/>
    </border>
    <border>
      <left/>
      <right/>
      <top style="thin">
        <color indexed="64"/>
      </top>
      <bottom style="medium">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9" fontId="3" fillId="0" borderId="0" applyFont="0" applyFill="0" applyBorder="0" applyAlignment="0" applyProtection="0"/>
    <xf numFmtId="44" fontId="1" fillId="0" borderId="0" applyFont="0" applyFill="0" applyBorder="0" applyAlignment="0" applyProtection="0"/>
    <xf numFmtId="0" fontId="4" fillId="0" borderId="0"/>
  </cellStyleXfs>
  <cellXfs count="770">
    <xf numFmtId="0" fontId="0" fillId="0" borderId="0" xfId="0"/>
    <xf numFmtId="0" fontId="5" fillId="0" borderId="0" xfId="0" applyFont="1"/>
    <xf numFmtId="0" fontId="6" fillId="0" borderId="0" xfId="0" applyFont="1"/>
    <xf numFmtId="0" fontId="6" fillId="0" borderId="1" xfId="0" applyFont="1" applyBorder="1"/>
    <xf numFmtId="0" fontId="7" fillId="0" borderId="0" xfId="0" applyFont="1"/>
    <xf numFmtId="0" fontId="5" fillId="0" borderId="0" xfId="0" applyFont="1" applyAlignment="1">
      <alignment horizontal="center"/>
    </xf>
    <xf numFmtId="0" fontId="8" fillId="5" borderId="0" xfId="0" applyFont="1" applyFill="1"/>
    <xf numFmtId="0" fontId="5" fillId="5" borderId="0" xfId="0" applyFont="1" applyFill="1" applyAlignment="1">
      <alignment horizontal="center"/>
    </xf>
    <xf numFmtId="0" fontId="5" fillId="5" borderId="0" xfId="0" applyFont="1" applyFill="1"/>
    <xf numFmtId="0" fontId="5" fillId="0" borderId="26" xfId="0" applyFont="1" applyBorder="1"/>
    <xf numFmtId="0" fontId="5" fillId="0" borderId="26" xfId="0" applyFont="1" applyBorder="1" applyAlignment="1">
      <alignment horizontal="center"/>
    </xf>
    <xf numFmtId="0" fontId="8" fillId="0" borderId="14" xfId="0" applyFont="1" applyBorder="1" applyAlignment="1">
      <alignment horizontal="center"/>
    </xf>
    <xf numFmtId="0" fontId="8" fillId="0" borderId="27" xfId="0" applyFont="1" applyBorder="1" applyAlignment="1">
      <alignment horizontal="center"/>
    </xf>
    <xf numFmtId="0" fontId="8" fillId="0" borderId="15" xfId="0" applyFont="1" applyBorder="1" applyAlignment="1">
      <alignment horizontal="center"/>
    </xf>
    <xf numFmtId="0" fontId="8" fillId="0" borderId="26" xfId="0" applyFont="1" applyBorder="1" applyAlignment="1">
      <alignment horizontal="center"/>
    </xf>
    <xf numFmtId="0" fontId="8" fillId="0" borderId="28" xfId="0" applyFont="1" applyBorder="1" applyAlignment="1">
      <alignment horizontal="center"/>
    </xf>
    <xf numFmtId="0" fontId="8" fillId="0" borderId="19" xfId="0" applyFont="1" applyBorder="1" applyAlignment="1">
      <alignment horizontal="center"/>
    </xf>
    <xf numFmtId="0" fontId="8" fillId="0" borderId="1" xfId="0" applyFont="1" applyBorder="1" applyAlignment="1">
      <alignment horizontal="center"/>
    </xf>
    <xf numFmtId="0" fontId="8" fillId="0" borderId="20" xfId="0" applyFont="1" applyBorder="1" applyAlignment="1">
      <alignment horizontal="center"/>
    </xf>
    <xf numFmtId="0" fontId="6" fillId="0" borderId="29" xfId="0" applyFont="1" applyBorder="1"/>
    <xf numFmtId="0" fontId="5" fillId="4" borderId="30" xfId="0" applyFont="1" applyFill="1" applyBorder="1" applyAlignment="1">
      <alignment horizontal="center"/>
    </xf>
    <xf numFmtId="167" fontId="6" fillId="0" borderId="14" xfId="0" applyNumberFormat="1" applyFont="1" applyBorder="1"/>
    <xf numFmtId="167" fontId="6" fillId="0" borderId="27" xfId="0" applyNumberFormat="1" applyFont="1" applyBorder="1"/>
    <xf numFmtId="170" fontId="5" fillId="0" borderId="0" xfId="1" applyNumberFormat="1" applyFont="1"/>
    <xf numFmtId="171" fontId="6" fillId="0" borderId="27" xfId="1" applyNumberFormat="1" applyFont="1" applyBorder="1"/>
    <xf numFmtId="171" fontId="6" fillId="0" borderId="0" xfId="1" applyNumberFormat="1" applyFont="1"/>
    <xf numFmtId="4" fontId="6" fillId="0" borderId="26" xfId="0" applyNumberFormat="1" applyFont="1" applyBorder="1"/>
    <xf numFmtId="8" fontId="6" fillId="0" borderId="26" xfId="1" applyNumberFormat="1" applyFont="1" applyBorder="1"/>
    <xf numFmtId="10" fontId="6" fillId="0" borderId="0" xfId="2" applyNumberFormat="1" applyFont="1"/>
    <xf numFmtId="167" fontId="6" fillId="0" borderId="36" xfId="0" applyNumberFormat="1" applyFont="1" applyBorder="1"/>
    <xf numFmtId="167" fontId="6" fillId="0" borderId="0" xfId="0" applyNumberFormat="1" applyFont="1"/>
    <xf numFmtId="4" fontId="6" fillId="0" borderId="29" xfId="0" applyNumberFormat="1" applyFont="1" applyBorder="1"/>
    <xf numFmtId="8" fontId="6" fillId="0" borderId="29" xfId="1" applyNumberFormat="1" applyFont="1" applyBorder="1"/>
    <xf numFmtId="0" fontId="6" fillId="6" borderId="29" xfId="0" applyFont="1" applyFill="1" applyBorder="1" applyAlignment="1">
      <alignment horizontal="center"/>
    </xf>
    <xf numFmtId="0" fontId="6" fillId="0" borderId="32" xfId="0" applyFont="1" applyBorder="1"/>
    <xf numFmtId="0" fontId="6" fillId="6" borderId="32" xfId="0" applyFont="1" applyFill="1" applyBorder="1" applyAlignment="1">
      <alignment horizontal="center"/>
    </xf>
    <xf numFmtId="167" fontId="6" fillId="0" borderId="35" xfId="0" applyNumberFormat="1" applyFont="1" applyBorder="1"/>
    <xf numFmtId="167" fontId="6" fillId="0" borderId="34" xfId="0" applyNumberFormat="1" applyFont="1" applyBorder="1"/>
    <xf numFmtId="170" fontId="5" fillId="0" borderId="34" xfId="1" applyNumberFormat="1" applyFont="1" applyBorder="1"/>
    <xf numFmtId="171" fontId="6" fillId="0" borderId="34" xfId="1" applyNumberFormat="1" applyFont="1" applyBorder="1"/>
    <xf numFmtId="4" fontId="6" fillId="0" borderId="32" xfId="0" applyNumberFormat="1" applyFont="1" applyBorder="1"/>
    <xf numFmtId="8" fontId="6" fillId="0" borderId="32" xfId="1" applyNumberFormat="1" applyFont="1" applyBorder="1"/>
    <xf numFmtId="0" fontId="8" fillId="0" borderId="35" xfId="0" applyFont="1" applyBorder="1" applyAlignment="1">
      <alignment horizontal="centerContinuous"/>
    </xf>
    <xf numFmtId="0" fontId="8" fillId="0" borderId="34" xfId="0" applyFont="1" applyBorder="1" applyAlignment="1">
      <alignment horizontal="centerContinuous"/>
    </xf>
    <xf numFmtId="0" fontId="8" fillId="0" borderId="33" xfId="0" applyFont="1" applyBorder="1" applyAlignment="1">
      <alignment horizontal="centerContinuous"/>
    </xf>
    <xf numFmtId="0" fontId="8" fillId="0" borderId="35" xfId="0" applyFont="1" applyBorder="1" applyAlignment="1">
      <alignment horizontal="center"/>
    </xf>
    <xf numFmtId="0" fontId="8" fillId="0" borderId="34" xfId="0" applyFont="1" applyBorder="1" applyAlignment="1">
      <alignment horizontal="center"/>
    </xf>
    <xf numFmtId="0" fontId="8" fillId="0" borderId="33" xfId="0" applyFont="1" applyBorder="1" applyAlignment="1">
      <alignment horizontal="center"/>
    </xf>
    <xf numFmtId="0" fontId="5" fillId="0" borderId="29" xfId="0" applyFont="1" applyBorder="1"/>
    <xf numFmtId="0" fontId="5" fillId="0" borderId="29" xfId="0" applyFont="1" applyBorder="1" applyAlignment="1">
      <alignment horizontal="center"/>
    </xf>
    <xf numFmtId="171" fontId="5" fillId="0" borderId="0" xfId="0" applyNumberFormat="1" applyFont="1" applyAlignment="1">
      <alignment horizontal="center"/>
    </xf>
    <xf numFmtId="171" fontId="5" fillId="0" borderId="15" xfId="0" applyNumberFormat="1" applyFont="1" applyBorder="1" applyAlignment="1">
      <alignment horizontal="center"/>
    </xf>
    <xf numFmtId="167" fontId="5" fillId="0" borderId="0" xfId="0" applyNumberFormat="1" applyFont="1" applyAlignment="1">
      <alignment horizontal="center"/>
    </xf>
    <xf numFmtId="167" fontId="5" fillId="0" borderId="31" xfId="0" applyNumberFormat="1" applyFont="1" applyBorder="1" applyAlignment="1">
      <alignment horizontal="center"/>
    </xf>
    <xf numFmtId="3" fontId="5" fillId="0" borderId="0" xfId="0" applyNumberFormat="1" applyFont="1" applyAlignment="1">
      <alignment horizontal="center"/>
    </xf>
    <xf numFmtId="3" fontId="5" fillId="0" borderId="31" xfId="0" applyNumberFormat="1" applyFont="1" applyBorder="1" applyAlignment="1">
      <alignment horizontal="center"/>
    </xf>
    <xf numFmtId="3" fontId="5" fillId="0" borderId="36" xfId="0" applyNumberFormat="1" applyFont="1" applyBorder="1" applyAlignment="1">
      <alignment horizontal="center"/>
    </xf>
    <xf numFmtId="165" fontId="5" fillId="0" borderId="29" xfId="2" applyNumberFormat="1" applyFont="1" applyBorder="1" applyAlignment="1">
      <alignment horizontal="center"/>
    </xf>
    <xf numFmtId="171" fontId="5" fillId="0" borderId="31" xfId="0" applyNumberFormat="1" applyFont="1" applyBorder="1" applyAlignment="1">
      <alignment horizontal="center"/>
    </xf>
    <xf numFmtId="171" fontId="5" fillId="0" borderId="36" xfId="0" applyNumberFormat="1" applyFont="1" applyBorder="1" applyAlignment="1">
      <alignment horizontal="center"/>
    </xf>
    <xf numFmtId="167" fontId="5" fillId="0" borderId="36" xfId="0" applyNumberFormat="1" applyFont="1" applyBorder="1" applyAlignment="1">
      <alignment horizontal="center"/>
    </xf>
    <xf numFmtId="165" fontId="5" fillId="0" borderId="36" xfId="2" applyNumberFormat="1" applyFont="1" applyBorder="1" applyAlignment="1">
      <alignment horizontal="center"/>
    </xf>
    <xf numFmtId="0" fontId="5" fillId="0" borderId="32" xfId="0" applyFont="1" applyBorder="1"/>
    <xf numFmtId="3" fontId="5" fillId="0" borderId="35" xfId="0" applyNumberFormat="1" applyFont="1" applyBorder="1" applyAlignment="1">
      <alignment horizontal="center"/>
    </xf>
    <xf numFmtId="3" fontId="5" fillId="0" borderId="34" xfId="0" applyNumberFormat="1" applyFont="1" applyBorder="1" applyAlignment="1">
      <alignment horizontal="center"/>
    </xf>
    <xf numFmtId="3" fontId="5" fillId="0" borderId="33" xfId="0" applyNumberFormat="1" applyFont="1" applyBorder="1" applyAlignment="1">
      <alignment horizontal="center"/>
    </xf>
    <xf numFmtId="4" fontId="5" fillId="0" borderId="35" xfId="0" applyNumberFormat="1" applyFont="1" applyBorder="1" applyAlignment="1">
      <alignment horizontal="center"/>
    </xf>
    <xf numFmtId="4" fontId="5" fillId="0" borderId="34" xfId="0" applyNumberFormat="1" applyFont="1" applyBorder="1" applyAlignment="1">
      <alignment horizontal="center"/>
    </xf>
    <xf numFmtId="4" fontId="5" fillId="0" borderId="33" xfId="0" applyNumberFormat="1" applyFont="1" applyBorder="1" applyAlignment="1">
      <alignment horizontal="center"/>
    </xf>
    <xf numFmtId="165" fontId="8" fillId="7" borderId="32" xfId="2" applyNumberFormat="1" applyFont="1" applyFill="1" applyBorder="1" applyAlignment="1">
      <alignment horizontal="center"/>
    </xf>
    <xf numFmtId="3" fontId="5" fillId="0" borderId="27" xfId="0" applyNumberFormat="1" applyFont="1" applyBorder="1" applyAlignment="1">
      <alignment horizontal="centerContinuous"/>
    </xf>
    <xf numFmtId="3" fontId="5" fillId="0" borderId="15" xfId="0" applyNumberFormat="1" applyFont="1" applyBorder="1" applyAlignment="1">
      <alignment horizontal="centerContinuous"/>
    </xf>
    <xf numFmtId="0" fontId="5" fillId="0" borderId="36" xfId="0" applyFont="1" applyBorder="1" applyAlignment="1">
      <alignment horizontal="center"/>
    </xf>
    <xf numFmtId="167" fontId="5" fillId="0" borderId="29" xfId="0" applyNumberFormat="1" applyFont="1" applyBorder="1" applyAlignment="1">
      <alignment horizontal="center"/>
    </xf>
    <xf numFmtId="172" fontId="5" fillId="0" borderId="36" xfId="1" applyNumberFormat="1" applyFont="1" applyBorder="1" applyAlignment="1">
      <alignment horizontal="center"/>
    </xf>
    <xf numFmtId="172" fontId="5" fillId="0" borderId="0" xfId="1" applyNumberFormat="1" applyFont="1" applyAlignment="1">
      <alignment horizontal="center"/>
    </xf>
    <xf numFmtId="172" fontId="5" fillId="0" borderId="31" xfId="1" applyNumberFormat="1" applyFont="1" applyBorder="1" applyAlignment="1">
      <alignment horizontal="center"/>
    </xf>
    <xf numFmtId="172" fontId="5" fillId="0" borderId="36" xfId="0" applyNumberFormat="1" applyFont="1" applyBorder="1" applyAlignment="1">
      <alignment horizontal="center"/>
    </xf>
    <xf numFmtId="172" fontId="5" fillId="0" borderId="0" xfId="0" applyNumberFormat="1" applyFont="1" applyAlignment="1">
      <alignment horizontal="center"/>
    </xf>
    <xf numFmtId="172" fontId="5" fillId="0" borderId="31" xfId="0" applyNumberFormat="1" applyFont="1" applyBorder="1" applyAlignment="1">
      <alignment horizontal="center"/>
    </xf>
    <xf numFmtId="167" fontId="5" fillId="0" borderId="32" xfId="0" applyNumberFormat="1" applyFont="1" applyBorder="1" applyAlignment="1">
      <alignment horizontal="center"/>
    </xf>
    <xf numFmtId="172" fontId="5" fillId="0" borderId="35" xfId="1" applyNumberFormat="1" applyFont="1" applyBorder="1" applyAlignment="1">
      <alignment horizontal="center"/>
    </xf>
    <xf numFmtId="172" fontId="5" fillId="0" borderId="34" xfId="1" applyNumberFormat="1" applyFont="1" applyBorder="1" applyAlignment="1">
      <alignment horizontal="center"/>
    </xf>
    <xf numFmtId="172" fontId="5" fillId="0" borderId="33" xfId="1" applyNumberFormat="1" applyFont="1" applyBorder="1" applyAlignment="1">
      <alignment horizontal="center"/>
    </xf>
    <xf numFmtId="172" fontId="5" fillId="0" borderId="35" xfId="0" applyNumberFormat="1" applyFont="1" applyBorder="1" applyAlignment="1">
      <alignment horizontal="center"/>
    </xf>
    <xf numFmtId="172" fontId="5" fillId="0" borderId="34" xfId="0" applyNumberFormat="1" applyFont="1" applyBorder="1" applyAlignment="1">
      <alignment horizontal="center"/>
    </xf>
    <xf numFmtId="172" fontId="5" fillId="0" borderId="33" xfId="0" applyNumberFormat="1" applyFont="1" applyBorder="1" applyAlignment="1">
      <alignment horizontal="center"/>
    </xf>
    <xf numFmtId="172" fontId="5" fillId="0" borderId="14" xfId="1" applyNumberFormat="1" applyFont="1" applyBorder="1" applyAlignment="1">
      <alignment horizontal="center"/>
    </xf>
    <xf numFmtId="172" fontId="5" fillId="0" borderId="19" xfId="1" applyNumberFormat="1" applyFont="1" applyBorder="1" applyAlignment="1">
      <alignment horizontal="center"/>
    </xf>
    <xf numFmtId="44" fontId="5" fillId="0" borderId="14" xfId="6" applyFont="1" applyBorder="1" applyAlignment="1">
      <alignment horizontal="center"/>
    </xf>
    <xf numFmtId="44" fontId="5" fillId="0" borderId="27" xfId="6" applyFont="1" applyBorder="1" applyAlignment="1">
      <alignment horizontal="center"/>
    </xf>
    <xf numFmtId="44" fontId="5" fillId="0" borderId="15" xfId="6" applyFont="1" applyBorder="1" applyAlignment="1">
      <alignment horizontal="center"/>
    </xf>
    <xf numFmtId="44" fontId="5" fillId="0" borderId="19" xfId="6" applyFont="1" applyBorder="1" applyAlignment="1">
      <alignment horizontal="center"/>
    </xf>
    <xf numFmtId="44" fontId="5" fillId="0" borderId="1" xfId="6" applyFont="1" applyBorder="1" applyAlignment="1">
      <alignment horizontal="center"/>
    </xf>
    <xf numFmtId="44" fontId="5" fillId="0" borderId="20" xfId="6" applyFont="1" applyBorder="1" applyAlignment="1">
      <alignment horizontal="center"/>
    </xf>
    <xf numFmtId="0" fontId="7" fillId="0" borderId="0" xfId="0" applyFont="1" applyAlignment="1">
      <alignment horizontal="center"/>
    </xf>
    <xf numFmtId="0" fontId="7" fillId="0" borderId="0" xfId="7" applyFont="1" applyProtection="1">
      <protection locked="0"/>
    </xf>
    <xf numFmtId="167" fontId="10" fillId="0" borderId="0" xfId="7" applyNumberFormat="1" applyFont="1" applyProtection="1">
      <protection locked="0"/>
    </xf>
    <xf numFmtId="0" fontId="6" fillId="0" borderId="26" xfId="0" applyFont="1" applyBorder="1"/>
    <xf numFmtId="0" fontId="11" fillId="0" borderId="26" xfId="0" applyFont="1" applyBorder="1" applyAlignment="1">
      <alignment horizontal="center"/>
    </xf>
    <xf numFmtId="0" fontId="11" fillId="0" borderId="14" xfId="0" applyFont="1" applyBorder="1" applyAlignment="1">
      <alignment horizontal="center"/>
    </xf>
    <xf numFmtId="0" fontId="11" fillId="0" borderId="27"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19" xfId="0" applyFont="1" applyBorder="1" applyAlignment="1">
      <alignment horizontal="center"/>
    </xf>
    <xf numFmtId="0" fontId="11" fillId="0" borderId="1" xfId="0" applyFont="1" applyBorder="1" applyAlignment="1">
      <alignment horizontal="center"/>
    </xf>
    <xf numFmtId="0" fontId="11" fillId="0" borderId="20" xfId="0" applyFont="1" applyBorder="1" applyAlignment="1">
      <alignment horizontal="center"/>
    </xf>
    <xf numFmtId="0" fontId="6" fillId="0" borderId="36" xfId="0" applyFont="1" applyBorder="1" applyAlignment="1">
      <alignment horizontal="center"/>
    </xf>
    <xf numFmtId="165" fontId="6" fillId="0" borderId="14" xfId="2" applyNumberFormat="1" applyFont="1" applyBorder="1" applyAlignment="1">
      <alignment horizontal="center"/>
    </xf>
    <xf numFmtId="165" fontId="6" fillId="0" borderId="27" xfId="2" applyNumberFormat="1" applyFont="1" applyBorder="1" applyAlignment="1">
      <alignment horizontal="center"/>
    </xf>
    <xf numFmtId="2" fontId="6" fillId="0" borderId="14" xfId="2" applyNumberFormat="1" applyFont="1" applyBorder="1" applyAlignment="1">
      <alignment horizontal="center"/>
    </xf>
    <xf numFmtId="2" fontId="6" fillId="0" borderId="27" xfId="2" applyNumberFormat="1" applyFont="1" applyBorder="1" applyAlignment="1">
      <alignment horizontal="center"/>
    </xf>
    <xf numFmtId="2" fontId="6" fillId="0" borderId="36" xfId="2" applyNumberFormat="1" applyFont="1" applyBorder="1" applyAlignment="1">
      <alignment horizontal="center"/>
    </xf>
    <xf numFmtId="2" fontId="6" fillId="0" borderId="31" xfId="2" applyNumberFormat="1" applyFont="1" applyBorder="1" applyAlignment="1">
      <alignment horizontal="center"/>
    </xf>
    <xf numFmtId="165" fontId="6" fillId="0" borderId="36" xfId="2" applyNumberFormat="1" applyFont="1" applyBorder="1" applyAlignment="1">
      <alignment horizontal="center"/>
    </xf>
    <xf numFmtId="165" fontId="6" fillId="0" borderId="0" xfId="2" applyNumberFormat="1" applyFont="1" applyAlignment="1">
      <alignment horizontal="center"/>
    </xf>
    <xf numFmtId="165" fontId="6" fillId="0" borderId="31" xfId="2" applyNumberFormat="1" applyFont="1" applyBorder="1" applyAlignment="1">
      <alignment horizontal="center"/>
    </xf>
    <xf numFmtId="2" fontId="6" fillId="0" borderId="0" xfId="2" applyNumberFormat="1" applyFont="1" applyAlignment="1">
      <alignment horizontal="center"/>
    </xf>
    <xf numFmtId="2" fontId="6" fillId="0" borderId="29" xfId="2" applyNumberFormat="1" applyFont="1" applyBorder="1" applyAlignment="1">
      <alignment horizontal="center"/>
    </xf>
    <xf numFmtId="0" fontId="6" fillId="0" borderId="32" xfId="0" applyFont="1" applyBorder="1" applyAlignment="1">
      <alignment horizontal="center"/>
    </xf>
    <xf numFmtId="165" fontId="6" fillId="0" borderId="35" xfId="2" applyNumberFormat="1" applyFont="1" applyBorder="1" applyAlignment="1">
      <alignment horizontal="center"/>
    </xf>
    <xf numFmtId="165" fontId="6" fillId="0" borderId="34" xfId="2" applyNumberFormat="1" applyFont="1" applyBorder="1" applyAlignment="1">
      <alignment horizontal="center"/>
    </xf>
    <xf numFmtId="165" fontId="6" fillId="0" borderId="33" xfId="2" applyNumberFormat="1" applyFont="1" applyBorder="1" applyAlignment="1">
      <alignment horizontal="center"/>
    </xf>
    <xf numFmtId="2" fontId="6" fillId="0" borderId="35" xfId="2" applyNumberFormat="1" applyFont="1" applyBorder="1" applyAlignment="1">
      <alignment horizontal="center"/>
    </xf>
    <xf numFmtId="2" fontId="6" fillId="0" borderId="34" xfId="2" applyNumberFormat="1" applyFont="1" applyBorder="1" applyAlignment="1">
      <alignment horizontal="center"/>
    </xf>
    <xf numFmtId="2" fontId="6" fillId="0" borderId="33" xfId="2" applyNumberFormat="1" applyFont="1" applyBorder="1" applyAlignment="1">
      <alignment horizontal="center"/>
    </xf>
    <xf numFmtId="2" fontId="6" fillId="0" borderId="32" xfId="2" applyNumberFormat="1" applyFont="1" applyBorder="1" applyAlignment="1">
      <alignment horizontal="center"/>
    </xf>
    <xf numFmtId="0" fontId="6" fillId="6" borderId="29" xfId="0" quotePrefix="1" applyFont="1" applyFill="1" applyBorder="1" applyAlignment="1">
      <alignment horizontal="center"/>
    </xf>
    <xf numFmtId="165" fontId="5" fillId="0" borderId="0" xfId="0" applyNumberFormat="1" applyFont="1"/>
    <xf numFmtId="43" fontId="6" fillId="0" borderId="26" xfId="1" applyFont="1" applyBorder="1" applyAlignment="1">
      <alignment horizontal="center"/>
    </xf>
    <xf numFmtId="0" fontId="12" fillId="0" borderId="0" xfId="0" applyFont="1"/>
    <xf numFmtId="0" fontId="13" fillId="8" borderId="9" xfId="0" applyFont="1" applyFill="1" applyBorder="1"/>
    <xf numFmtId="0" fontId="12" fillId="0" borderId="27" xfId="0" applyFont="1" applyBorder="1"/>
    <xf numFmtId="3" fontId="12" fillId="0" borderId="0" xfId="0" applyNumberFormat="1" applyFont="1"/>
    <xf numFmtId="0" fontId="12" fillId="0" borderId="12" xfId="0" applyFont="1" applyBorder="1"/>
    <xf numFmtId="0" fontId="12" fillId="0" borderId="11" xfId="0" applyFont="1" applyBorder="1"/>
    <xf numFmtId="0" fontId="13" fillId="8" borderId="8" xfId="0" applyFont="1" applyFill="1" applyBorder="1"/>
    <xf numFmtId="0" fontId="12" fillId="0" borderId="5" xfId="0" applyFont="1" applyBorder="1"/>
    <xf numFmtId="0" fontId="12" fillId="0" borderId="6" xfId="0" applyFont="1" applyBorder="1"/>
    <xf numFmtId="0" fontId="12" fillId="0" borderId="42" xfId="0" applyFont="1" applyBorder="1"/>
    <xf numFmtId="0" fontId="12" fillId="0" borderId="38" xfId="0" applyFont="1" applyBorder="1"/>
    <xf numFmtId="1" fontId="12" fillId="0" borderId="0" xfId="0" applyNumberFormat="1" applyFont="1"/>
    <xf numFmtId="0" fontId="12" fillId="0" borderId="40" xfId="0" applyFont="1" applyBorder="1"/>
    <xf numFmtId="0" fontId="14" fillId="0" borderId="39" xfId="0" applyFont="1" applyBorder="1"/>
    <xf numFmtId="1" fontId="12" fillId="0" borderId="27" xfId="0" applyNumberFormat="1" applyFont="1" applyBorder="1"/>
    <xf numFmtId="1" fontId="12" fillId="0" borderId="40" xfId="0" applyNumberFormat="1" applyFont="1" applyBorder="1"/>
    <xf numFmtId="1" fontId="12" fillId="0" borderId="6" xfId="0" applyNumberFormat="1" applyFont="1" applyBorder="1"/>
    <xf numFmtId="0" fontId="13" fillId="8" borderId="13" xfId="0" applyFont="1" applyFill="1" applyBorder="1"/>
    <xf numFmtId="43" fontId="14" fillId="0" borderId="12" xfId="1" applyFont="1" applyBorder="1"/>
    <xf numFmtId="0" fontId="14" fillId="0" borderId="12" xfId="0" applyFont="1" applyBorder="1"/>
    <xf numFmtId="3" fontId="12" fillId="0" borderId="6" xfId="0" applyNumberFormat="1" applyFont="1" applyBorder="1"/>
    <xf numFmtId="9" fontId="12" fillId="0" borderId="0" xfId="2" applyFont="1"/>
    <xf numFmtId="10" fontId="15" fillId="3" borderId="0" xfId="2" applyNumberFormat="1" applyFont="1" applyFill="1" applyBorder="1"/>
    <xf numFmtId="10" fontId="15" fillId="3" borderId="31" xfId="2" applyNumberFormat="1" applyFont="1" applyFill="1" applyBorder="1"/>
    <xf numFmtId="0" fontId="16" fillId="0" borderId="0" xfId="0" applyFont="1"/>
    <xf numFmtId="1" fontId="16" fillId="0" borderId="0" xfId="0" applyNumberFormat="1" applyFont="1"/>
    <xf numFmtId="0" fontId="17" fillId="0" borderId="0" xfId="0" applyFont="1"/>
    <xf numFmtId="173" fontId="17" fillId="0" borderId="0" xfId="0" applyNumberFormat="1" applyFont="1"/>
    <xf numFmtId="173" fontId="16" fillId="0" borderId="0" xfId="0" applyNumberFormat="1" applyFont="1"/>
    <xf numFmtId="37" fontId="17" fillId="0" borderId="0" xfId="0" applyNumberFormat="1" applyFont="1"/>
    <xf numFmtId="37" fontId="16" fillId="0" borderId="0" xfId="0" applyNumberFormat="1" applyFont="1"/>
    <xf numFmtId="1" fontId="17" fillId="0" borderId="0" xfId="0" applyNumberFormat="1" applyFont="1"/>
    <xf numFmtId="174" fontId="17" fillId="0" borderId="0" xfId="0" applyNumberFormat="1" applyFont="1"/>
    <xf numFmtId="0" fontId="18" fillId="0" borderId="0" xfId="0" applyFont="1"/>
    <xf numFmtId="3" fontId="16" fillId="0" borderId="0" xfId="0" applyNumberFormat="1" applyFont="1" applyAlignment="1">
      <alignment horizontal="right"/>
    </xf>
    <xf numFmtId="164" fontId="18" fillId="0" borderId="0" xfId="0" applyNumberFormat="1" applyFont="1" applyAlignment="1">
      <alignment horizontal="right" vertical="top"/>
    </xf>
    <xf numFmtId="0" fontId="19" fillId="0" borderId="0" xfId="0" applyFont="1" applyAlignment="1">
      <alignment horizontal="right"/>
    </xf>
    <xf numFmtId="0" fontId="18" fillId="0" borderId="5" xfId="0" applyFont="1" applyBorder="1" applyAlignment="1">
      <alignment vertical="top" wrapText="1"/>
    </xf>
    <xf numFmtId="10" fontId="16" fillId="0" borderId="0" xfId="0" applyNumberFormat="1" applyFont="1"/>
    <xf numFmtId="10" fontId="15" fillId="0" borderId="5" xfId="0" applyNumberFormat="1" applyFont="1" applyBorder="1"/>
    <xf numFmtId="0" fontId="16" fillId="0" borderId="6" xfId="0" applyFont="1" applyBorder="1"/>
    <xf numFmtId="10" fontId="16" fillId="0" borderId="0" xfId="2" applyNumberFormat="1" applyFont="1" applyBorder="1"/>
    <xf numFmtId="10" fontId="15" fillId="0" borderId="0" xfId="2" applyNumberFormat="1" applyFont="1" applyBorder="1"/>
    <xf numFmtId="0" fontId="18" fillId="0" borderId="10" xfId="0" applyFont="1" applyBorder="1" applyAlignment="1">
      <alignment vertical="top" wrapText="1"/>
    </xf>
    <xf numFmtId="0" fontId="16" fillId="0" borderId="12" xfId="0" applyFont="1" applyBorder="1"/>
    <xf numFmtId="10" fontId="16" fillId="0" borderId="12" xfId="2" applyNumberFormat="1" applyFont="1" applyBorder="1"/>
    <xf numFmtId="10" fontId="15" fillId="0" borderId="12" xfId="0" applyNumberFormat="1" applyFont="1" applyBorder="1"/>
    <xf numFmtId="10" fontId="16" fillId="0" borderId="12" xfId="0" applyNumberFormat="1" applyFont="1" applyBorder="1"/>
    <xf numFmtId="0" fontId="16" fillId="0" borderId="11" xfId="0" applyFont="1" applyBorder="1"/>
    <xf numFmtId="9" fontId="16" fillId="0" borderId="0" xfId="0" applyNumberFormat="1" applyFont="1"/>
    <xf numFmtId="9" fontId="15" fillId="0" borderId="0" xfId="0" applyNumberFormat="1" applyFont="1"/>
    <xf numFmtId="0" fontId="16" fillId="0" borderId="5" xfId="0" applyFont="1" applyBorder="1" applyAlignment="1">
      <alignment readingOrder="1"/>
    </xf>
    <xf numFmtId="3" fontId="16" fillId="0" borderId="0" xfId="0" applyNumberFormat="1" applyFont="1" applyAlignment="1">
      <alignment readingOrder="1"/>
    </xf>
    <xf numFmtId="3" fontId="16" fillId="0" borderId="0" xfId="0" applyNumberFormat="1" applyFont="1"/>
    <xf numFmtId="0" fontId="16" fillId="0" borderId="5" xfId="0" quotePrefix="1" applyFont="1" applyBorder="1" applyAlignment="1">
      <alignment readingOrder="1"/>
    </xf>
    <xf numFmtId="0" fontId="16" fillId="0" borderId="10" xfId="0" applyFont="1" applyBorder="1" applyAlignment="1">
      <alignment readingOrder="1"/>
    </xf>
    <xf numFmtId="0" fontId="16" fillId="0" borderId="0" xfId="0" applyFont="1" applyAlignment="1">
      <alignment readingOrder="1"/>
    </xf>
    <xf numFmtId="0" fontId="16" fillId="0" borderId="5" xfId="0" applyFont="1" applyBorder="1"/>
    <xf numFmtId="0" fontId="22" fillId="0" borderId="5" xfId="0" applyFont="1" applyBorder="1" applyAlignment="1">
      <alignment vertical="top" wrapText="1"/>
    </xf>
    <xf numFmtId="165" fontId="16" fillId="0" borderId="0" xfId="2" applyNumberFormat="1" applyFont="1" applyBorder="1"/>
    <xf numFmtId="0" fontId="16" fillId="0" borderId="0" xfId="0" applyFont="1" applyAlignment="1">
      <alignment horizontal="left" indent="1"/>
    </xf>
    <xf numFmtId="165" fontId="16" fillId="0" borderId="12" xfId="2" applyNumberFormat="1" applyFont="1" applyBorder="1"/>
    <xf numFmtId="0" fontId="22" fillId="0" borderId="0" xfId="4" applyFont="1"/>
    <xf numFmtId="0" fontId="18" fillId="0" borderId="0" xfId="4" applyFont="1"/>
    <xf numFmtId="0" fontId="22" fillId="0" borderId="0" xfId="4" applyFont="1" applyAlignment="1">
      <alignment horizontal="right"/>
    </xf>
    <xf numFmtId="10" fontId="22" fillId="0" borderId="4" xfId="4" applyNumberFormat="1" applyFont="1" applyBorder="1"/>
    <xf numFmtId="14" fontId="18" fillId="0" borderId="2" xfId="4" applyNumberFormat="1" applyFont="1" applyBorder="1"/>
    <xf numFmtId="0" fontId="18" fillId="0" borderId="3" xfId="4" applyFont="1" applyBorder="1"/>
    <xf numFmtId="3" fontId="16" fillId="0" borderId="4" xfId="4" applyNumberFormat="1" applyFont="1" applyBorder="1"/>
    <xf numFmtId="3" fontId="19" fillId="0" borderId="0" xfId="0" applyNumberFormat="1" applyFont="1"/>
    <xf numFmtId="3" fontId="16" fillId="0" borderId="6" xfId="4" applyNumberFormat="1" applyFont="1" applyBorder="1"/>
    <xf numFmtId="3" fontId="18" fillId="0" borderId="0" xfId="4" applyNumberFormat="1" applyFont="1"/>
    <xf numFmtId="14" fontId="18" fillId="0" borderId="5" xfId="4" applyNumberFormat="1" applyFont="1" applyBorder="1"/>
    <xf numFmtId="0" fontId="18" fillId="0" borderId="6" xfId="4" applyFont="1" applyBorder="1"/>
    <xf numFmtId="14" fontId="18" fillId="0" borderId="10" xfId="4" applyNumberFormat="1" applyFont="1" applyBorder="1"/>
    <xf numFmtId="0" fontId="18" fillId="0" borderId="12" xfId="4" applyFont="1" applyBorder="1"/>
    <xf numFmtId="3" fontId="16" fillId="0" borderId="11" xfId="4" applyNumberFormat="1" applyFont="1" applyBorder="1"/>
    <xf numFmtId="8" fontId="25" fillId="0" borderId="6" xfId="4" applyNumberFormat="1" applyFont="1" applyBorder="1"/>
    <xf numFmtId="167" fontId="26" fillId="0" borderId="6" xfId="4" applyNumberFormat="1" applyFont="1" applyBorder="1"/>
    <xf numFmtId="0" fontId="18" fillId="0" borderId="2" xfId="4" applyFont="1" applyBorder="1"/>
    <xf numFmtId="10" fontId="18" fillId="0" borderId="4" xfId="4" applyNumberFormat="1" applyFont="1" applyBorder="1"/>
    <xf numFmtId="0" fontId="18" fillId="0" borderId="10" xfId="4" applyFont="1" applyBorder="1"/>
    <xf numFmtId="10" fontId="18" fillId="0" borderId="11" xfId="5" applyNumberFormat="1" applyFont="1" applyBorder="1"/>
    <xf numFmtId="2" fontId="22" fillId="0" borderId="0" xfId="4" applyNumberFormat="1" applyFont="1"/>
    <xf numFmtId="0" fontId="22" fillId="0" borderId="0" xfId="4" applyFont="1" applyAlignment="1">
      <alignment horizontal="centerContinuous"/>
    </xf>
    <xf numFmtId="0" fontId="18" fillId="0" borderId="14" xfId="4" applyFont="1" applyBorder="1"/>
    <xf numFmtId="2" fontId="18" fillId="0" borderId="0" xfId="4" applyNumberFormat="1" applyFont="1"/>
    <xf numFmtId="2" fontId="18" fillId="0" borderId="31" xfId="4" applyNumberFormat="1" applyFont="1" applyBorder="1"/>
    <xf numFmtId="0" fontId="18" fillId="0" borderId="1" xfId="4" applyFont="1" applyBorder="1"/>
    <xf numFmtId="37" fontId="18" fillId="0" borderId="1" xfId="4" applyNumberFormat="1" applyFont="1" applyBorder="1"/>
    <xf numFmtId="37" fontId="18" fillId="0" borderId="20" xfId="4" applyNumberFormat="1" applyFont="1" applyBorder="1"/>
    <xf numFmtId="0" fontId="22" fillId="0" borderId="7" xfId="4" applyFont="1" applyBorder="1"/>
    <xf numFmtId="165" fontId="22" fillId="0" borderId="9" xfId="4" applyNumberFormat="1" applyFont="1" applyBorder="1"/>
    <xf numFmtId="165" fontId="22" fillId="0" borderId="0" xfId="4" applyNumberFormat="1" applyFont="1"/>
    <xf numFmtId="10" fontId="18" fillId="0" borderId="0" xfId="2" applyNumberFormat="1" applyFont="1"/>
    <xf numFmtId="3" fontId="18" fillId="0" borderId="15" xfId="4" applyNumberFormat="1" applyFont="1" applyBorder="1"/>
    <xf numFmtId="169" fontId="18" fillId="0" borderId="0" xfId="4" applyNumberFormat="1" applyFont="1"/>
    <xf numFmtId="4" fontId="18" fillId="0" borderId="0" xfId="4" applyNumberFormat="1" applyFont="1"/>
    <xf numFmtId="0" fontId="18" fillId="0" borderId="19" xfId="4" applyFont="1" applyBorder="1"/>
    <xf numFmtId="3" fontId="18" fillId="0" borderId="20" xfId="4" applyNumberFormat="1" applyFont="1" applyBorder="1"/>
    <xf numFmtId="0" fontId="18" fillId="0" borderId="36" xfId="4" applyFont="1" applyBorder="1"/>
    <xf numFmtId="3" fontId="18" fillId="0" borderId="31" xfId="4" applyNumberFormat="1" applyFont="1" applyBorder="1"/>
    <xf numFmtId="0" fontId="22" fillId="0" borderId="43" xfId="4" applyFont="1" applyBorder="1"/>
    <xf numFmtId="2" fontId="22" fillId="0" borderId="44" xfId="4" applyNumberFormat="1" applyFont="1" applyBorder="1"/>
    <xf numFmtId="0" fontId="18" fillId="0" borderId="0" xfId="4" applyFont="1" applyAlignment="1">
      <alignment horizontal="centerContinuous"/>
    </xf>
    <xf numFmtId="2" fontId="27" fillId="0" borderId="0" xfId="4" applyNumberFormat="1" applyFont="1"/>
    <xf numFmtId="10" fontId="18" fillId="0" borderId="0" xfId="4" applyNumberFormat="1" applyFont="1" applyAlignment="1">
      <alignment horizontal="center"/>
    </xf>
    <xf numFmtId="165" fontId="22" fillId="0" borderId="0" xfId="4" applyNumberFormat="1" applyFont="1" applyAlignment="1">
      <alignment horizontal="center"/>
    </xf>
    <xf numFmtId="0" fontId="16" fillId="0" borderId="0" xfId="0" applyFont="1" applyAlignment="1">
      <alignment horizontal="right"/>
    </xf>
    <xf numFmtId="165" fontId="18" fillId="0" borderId="0" xfId="4" applyNumberFormat="1" applyFont="1"/>
    <xf numFmtId="167" fontId="18" fillId="0" borderId="16" xfId="4" applyNumberFormat="1" applyFont="1" applyBorder="1" applyAlignment="1">
      <alignment horizontal="center"/>
    </xf>
    <xf numFmtId="167" fontId="18" fillId="0" borderId="17" xfId="4" applyNumberFormat="1" applyFont="1" applyBorder="1" applyAlignment="1">
      <alignment horizontal="center"/>
    </xf>
    <xf numFmtId="167" fontId="18" fillId="3" borderId="17" xfId="4" applyNumberFormat="1" applyFont="1" applyFill="1" applyBorder="1" applyAlignment="1">
      <alignment horizontal="center"/>
    </xf>
    <xf numFmtId="167" fontId="18" fillId="0" borderId="18" xfId="4" applyNumberFormat="1" applyFont="1" applyBorder="1" applyAlignment="1">
      <alignment horizontal="center"/>
    </xf>
    <xf numFmtId="43" fontId="16" fillId="0" borderId="0" xfId="1" applyFont="1"/>
    <xf numFmtId="167" fontId="18" fillId="0" borderId="21" xfId="4" applyNumberFormat="1" applyFont="1" applyBorder="1" applyAlignment="1">
      <alignment horizontal="center"/>
    </xf>
    <xf numFmtId="167" fontId="18" fillId="0" borderId="0" xfId="4" applyNumberFormat="1" applyFont="1" applyAlignment="1">
      <alignment horizontal="center"/>
    </xf>
    <xf numFmtId="167" fontId="18" fillId="3" borderId="0" xfId="4" applyNumberFormat="1" applyFont="1" applyFill="1" applyAlignment="1">
      <alignment horizontal="center"/>
    </xf>
    <xf numFmtId="167" fontId="18" fillId="0" borderId="22" xfId="4" applyNumberFormat="1" applyFont="1" applyBorder="1" applyAlignment="1">
      <alignment horizontal="center"/>
    </xf>
    <xf numFmtId="167" fontId="18" fillId="2" borderId="2" xfId="4" applyNumberFormat="1" applyFont="1" applyFill="1" applyBorder="1" applyAlignment="1">
      <alignment horizontal="center"/>
    </xf>
    <xf numFmtId="167" fontId="18" fillId="2" borderId="3" xfId="4" applyNumberFormat="1" applyFont="1" applyFill="1" applyBorder="1" applyAlignment="1">
      <alignment horizontal="center"/>
    </xf>
    <xf numFmtId="167" fontId="18" fillId="2" borderId="4" xfId="4" applyNumberFormat="1" applyFont="1" applyFill="1" applyBorder="1" applyAlignment="1">
      <alignment horizontal="center"/>
    </xf>
    <xf numFmtId="0" fontId="22" fillId="0" borderId="0" xfId="4" applyFont="1" applyAlignment="1">
      <alignment horizontal="center"/>
    </xf>
    <xf numFmtId="167" fontId="18" fillId="3" borderId="21" xfId="4" applyNumberFormat="1" applyFont="1" applyFill="1" applyBorder="1" applyAlignment="1">
      <alignment horizontal="center"/>
    </xf>
    <xf numFmtId="167" fontId="18" fillId="2" borderId="5" xfId="4" applyNumberFormat="1" applyFont="1" applyFill="1" applyBorder="1" applyAlignment="1">
      <alignment horizontal="center"/>
    </xf>
    <xf numFmtId="167" fontId="18" fillId="2" borderId="6" xfId="4" applyNumberFormat="1" applyFont="1" applyFill="1" applyBorder="1" applyAlignment="1">
      <alignment horizontal="center"/>
    </xf>
    <xf numFmtId="167" fontId="18" fillId="3" borderId="22" xfId="4" applyNumberFormat="1" applyFont="1" applyFill="1" applyBorder="1" applyAlignment="1">
      <alignment horizontal="center"/>
    </xf>
    <xf numFmtId="167" fontId="18" fillId="2" borderId="10" xfId="4" applyNumberFormat="1" applyFont="1" applyFill="1" applyBorder="1" applyAlignment="1">
      <alignment horizontal="center"/>
    </xf>
    <xf numFmtId="167" fontId="18" fillId="2" borderId="12" xfId="4" applyNumberFormat="1" applyFont="1" applyFill="1" applyBorder="1" applyAlignment="1">
      <alignment horizontal="center"/>
    </xf>
    <xf numFmtId="167" fontId="18" fillId="2" borderId="11" xfId="4" applyNumberFormat="1" applyFont="1" applyFill="1" applyBorder="1" applyAlignment="1">
      <alignment horizontal="center"/>
    </xf>
    <xf numFmtId="167" fontId="18" fillId="0" borderId="23" xfId="4" applyNumberFormat="1" applyFont="1" applyBorder="1" applyAlignment="1">
      <alignment horizontal="center"/>
    </xf>
    <xf numFmtId="167" fontId="18" fillId="0" borderId="24" xfId="4" applyNumberFormat="1" applyFont="1" applyBorder="1" applyAlignment="1">
      <alignment horizontal="center"/>
    </xf>
    <xf numFmtId="167" fontId="18" fillId="3" borderId="24" xfId="4" applyNumberFormat="1" applyFont="1" applyFill="1" applyBorder="1" applyAlignment="1">
      <alignment horizontal="center"/>
    </xf>
    <xf numFmtId="167" fontId="18" fillId="0" borderId="25" xfId="4" applyNumberFormat="1" applyFont="1" applyBorder="1" applyAlignment="1">
      <alignment horizontal="center"/>
    </xf>
    <xf numFmtId="10" fontId="18" fillId="0" borderId="0" xfId="4" applyNumberFormat="1" applyFont="1"/>
    <xf numFmtId="4" fontId="18" fillId="0" borderId="0" xfId="4" applyNumberFormat="1" applyFont="1" applyAlignment="1">
      <alignment horizontal="center"/>
    </xf>
    <xf numFmtId="4" fontId="22" fillId="0" borderId="44" xfId="4" applyNumberFormat="1" applyFont="1" applyBorder="1"/>
    <xf numFmtId="4" fontId="22" fillId="0" borderId="0" xfId="4" applyNumberFormat="1" applyFont="1"/>
    <xf numFmtId="4" fontId="27" fillId="0" borderId="0" xfId="4" applyNumberFormat="1" applyFont="1"/>
    <xf numFmtId="10" fontId="18" fillId="0" borderId="1" xfId="2" applyNumberFormat="1" applyFont="1" applyBorder="1" applyAlignment="1">
      <alignment horizontal="center"/>
    </xf>
    <xf numFmtId="165" fontId="22" fillId="0" borderId="1" xfId="2" applyNumberFormat="1" applyFont="1" applyBorder="1" applyAlignment="1">
      <alignment horizontal="center"/>
    </xf>
    <xf numFmtId="0" fontId="18" fillId="0" borderId="0" xfId="4" applyFont="1" applyAlignment="1">
      <alignment horizontal="centerContinuous" vertical="center"/>
    </xf>
    <xf numFmtId="0" fontId="22" fillId="0" borderId="0" xfId="4" applyFont="1" applyAlignment="1">
      <alignment horizontal="centerContinuous" vertical="center"/>
    </xf>
    <xf numFmtId="0" fontId="19" fillId="0" borderId="0" xfId="0" applyFont="1"/>
    <xf numFmtId="0" fontId="15" fillId="0" borderId="0" xfId="0" applyFont="1"/>
    <xf numFmtId="0" fontId="28" fillId="0" borderId="0" xfId="0" applyFont="1"/>
    <xf numFmtId="0" fontId="18" fillId="0" borderId="38" xfId="0" applyFont="1" applyBorder="1"/>
    <xf numFmtId="0" fontId="18" fillId="0" borderId="31" xfId="0" applyFont="1" applyBorder="1"/>
    <xf numFmtId="0" fontId="15" fillId="9" borderId="0" xfId="0" applyFont="1" applyFill="1"/>
    <xf numFmtId="0" fontId="29" fillId="0" borderId="0" xfId="0" applyFont="1"/>
    <xf numFmtId="0" fontId="30" fillId="0" borderId="6" xfId="3" applyFont="1" applyBorder="1"/>
    <xf numFmtId="10" fontId="15" fillId="9" borderId="0" xfId="0" applyNumberFormat="1" applyFont="1" applyFill="1"/>
    <xf numFmtId="0" fontId="19" fillId="0" borderId="6" xfId="0" applyFont="1" applyBorder="1"/>
    <xf numFmtId="166" fontId="15" fillId="9" borderId="0" xfId="0" applyNumberFormat="1" applyFont="1" applyFill="1"/>
    <xf numFmtId="10" fontId="18" fillId="0" borderId="0" xfId="0" applyNumberFormat="1" applyFont="1"/>
    <xf numFmtId="0" fontId="18" fillId="0" borderId="6" xfId="0" applyFont="1" applyBorder="1"/>
    <xf numFmtId="8" fontId="15" fillId="9" borderId="0" xfId="0" applyNumberFormat="1" applyFont="1" applyFill="1"/>
    <xf numFmtId="2" fontId="18" fillId="0" borderId="0" xfId="0" applyNumberFormat="1" applyFont="1"/>
    <xf numFmtId="4" fontId="18" fillId="0" borderId="0" xfId="0" applyNumberFormat="1" applyFont="1"/>
    <xf numFmtId="9" fontId="15" fillId="0" borderId="0" xfId="2" applyFont="1"/>
    <xf numFmtId="0" fontId="18" fillId="3" borderId="31" xfId="0" applyFont="1" applyFill="1" applyBorder="1"/>
    <xf numFmtId="10" fontId="18" fillId="3" borderId="0" xfId="0" applyNumberFormat="1" applyFont="1" applyFill="1"/>
    <xf numFmtId="0" fontId="18" fillId="0" borderId="39" xfId="0" applyFont="1" applyBorder="1"/>
    <xf numFmtId="0" fontId="18" fillId="0" borderId="41" xfId="0" applyFont="1" applyBorder="1"/>
    <xf numFmtId="10" fontId="18" fillId="0" borderId="12" xfId="0" applyNumberFormat="1" applyFont="1" applyBorder="1"/>
    <xf numFmtId="0" fontId="18" fillId="0" borderId="12" xfId="0" applyFont="1" applyBorder="1"/>
    <xf numFmtId="0" fontId="18" fillId="0" borderId="11" xfId="0" applyFont="1" applyBorder="1"/>
    <xf numFmtId="0" fontId="32" fillId="0" borderId="0" xfId="0" applyFont="1"/>
    <xf numFmtId="0" fontId="33" fillId="0" borderId="0" xfId="0" applyFont="1"/>
    <xf numFmtId="0" fontId="34" fillId="3" borderId="14" xfId="0" applyFont="1" applyFill="1" applyBorder="1"/>
    <xf numFmtId="0" fontId="16" fillId="3" borderId="27" xfId="0" applyFont="1" applyFill="1" applyBorder="1" applyAlignment="1">
      <alignment readingOrder="1"/>
    </xf>
    <xf numFmtId="10" fontId="15" fillId="3" borderId="27" xfId="0" applyNumberFormat="1" applyFont="1" applyFill="1" applyBorder="1" applyAlignment="1">
      <alignment readingOrder="1"/>
    </xf>
    <xf numFmtId="10" fontId="15" fillId="3" borderId="15" xfId="0" applyNumberFormat="1" applyFont="1" applyFill="1" applyBorder="1" applyAlignment="1">
      <alignment readingOrder="1"/>
    </xf>
    <xf numFmtId="10" fontId="35" fillId="3" borderId="26" xfId="0" applyNumberFormat="1" applyFont="1" applyFill="1" applyBorder="1" applyAlignment="1">
      <alignment horizontal="left"/>
    </xf>
    <xf numFmtId="0" fontId="34" fillId="3" borderId="36" xfId="0" applyFont="1" applyFill="1" applyBorder="1"/>
    <xf numFmtId="0" fontId="16" fillId="3" borderId="0" xfId="0" applyFont="1" applyFill="1" applyAlignment="1">
      <alignment readingOrder="1"/>
    </xf>
    <xf numFmtId="10" fontId="35" fillId="3" borderId="29" xfId="0" applyNumberFormat="1" applyFont="1" applyFill="1" applyBorder="1" applyAlignment="1">
      <alignment horizontal="left"/>
    </xf>
    <xf numFmtId="0" fontId="34" fillId="3" borderId="19" xfId="0" applyFont="1" applyFill="1" applyBorder="1"/>
    <xf numFmtId="0" fontId="16" fillId="3" borderId="1" xfId="0" applyFont="1" applyFill="1" applyBorder="1" applyAlignment="1">
      <alignment readingOrder="1"/>
    </xf>
    <xf numFmtId="10" fontId="35" fillId="3" borderId="28" xfId="0" applyNumberFormat="1" applyFont="1" applyFill="1" applyBorder="1" applyAlignment="1">
      <alignment horizontal="left"/>
    </xf>
    <xf numFmtId="173" fontId="16" fillId="0" borderId="0" xfId="1" applyNumberFormat="1" applyFont="1" applyBorder="1"/>
    <xf numFmtId="0" fontId="18" fillId="0" borderId="0" xfId="0" applyFont="1" applyAlignment="1">
      <alignment vertical="top" wrapText="1"/>
    </xf>
    <xf numFmtId="173" fontId="16" fillId="0" borderId="12" xfId="1" applyNumberFormat="1" applyFont="1" applyBorder="1"/>
    <xf numFmtId="173" fontId="18" fillId="0" borderId="0" xfId="1" applyNumberFormat="1" applyFont="1" applyBorder="1" applyAlignment="1">
      <alignment horizontal="right" vertical="top"/>
    </xf>
    <xf numFmtId="9" fontId="16" fillId="0" borderId="6" xfId="0" applyNumberFormat="1" applyFont="1" applyBorder="1"/>
    <xf numFmtId="10" fontId="15" fillId="0" borderId="12" xfId="2" applyNumberFormat="1" applyFont="1" applyBorder="1"/>
    <xf numFmtId="9" fontId="16" fillId="0" borderId="11" xfId="0" applyNumberFormat="1" applyFont="1" applyBorder="1"/>
    <xf numFmtId="10" fontId="15" fillId="3" borderId="1" xfId="0" applyNumberFormat="1" applyFont="1" applyFill="1" applyBorder="1" applyAlignment="1">
      <alignment readingOrder="1"/>
    </xf>
    <xf numFmtId="10" fontId="15" fillId="3" borderId="20" xfId="0" applyNumberFormat="1" applyFont="1" applyFill="1" applyBorder="1" applyAlignment="1">
      <alignment readingOrder="1"/>
    </xf>
    <xf numFmtId="0" fontId="18" fillId="0" borderId="5" xfId="0" applyFont="1" applyBorder="1" applyAlignment="1">
      <alignment vertical="top"/>
    </xf>
    <xf numFmtId="173" fontId="15" fillId="0" borderId="0" xfId="1" applyNumberFormat="1" applyFont="1"/>
    <xf numFmtId="0" fontId="21" fillId="0" borderId="0" xfId="0" applyFont="1" applyAlignment="1">
      <alignment readingOrder="1"/>
    </xf>
    <xf numFmtId="0" fontId="17" fillId="11" borderId="0" xfId="0" applyFont="1" applyFill="1" applyAlignment="1">
      <alignment readingOrder="1"/>
    </xf>
    <xf numFmtId="10" fontId="15" fillId="2" borderId="4" xfId="0" applyNumberFormat="1" applyFont="1" applyFill="1" applyBorder="1"/>
    <xf numFmtId="10" fontId="15" fillId="2" borderId="11" xfId="0" applyNumberFormat="1" applyFont="1" applyFill="1" applyBorder="1"/>
    <xf numFmtId="10" fontId="16" fillId="0" borderId="0" xfId="2" applyNumberFormat="1" applyFont="1"/>
    <xf numFmtId="0" fontId="36" fillId="0" borderId="0" xfId="0" applyFont="1"/>
    <xf numFmtId="0" fontId="36" fillId="0" borderId="6" xfId="0" applyFont="1" applyBorder="1"/>
    <xf numFmtId="0" fontId="36" fillId="0" borderId="12" xfId="0" applyFont="1" applyBorder="1"/>
    <xf numFmtId="0" fontId="36" fillId="0" borderId="11" xfId="0" applyFont="1" applyBorder="1"/>
    <xf numFmtId="10" fontId="36" fillId="0" borderId="5" xfId="0" applyNumberFormat="1" applyFont="1" applyBorder="1"/>
    <xf numFmtId="10" fontId="36" fillId="0" borderId="0" xfId="0" applyNumberFormat="1" applyFont="1"/>
    <xf numFmtId="10" fontId="36" fillId="0" borderId="6" xfId="0" applyNumberFormat="1" applyFont="1" applyBorder="1"/>
    <xf numFmtId="10" fontId="36" fillId="0" borderId="10" xfId="0" applyNumberFormat="1" applyFont="1" applyBorder="1"/>
    <xf numFmtId="10" fontId="36" fillId="0" borderId="12" xfId="0" applyNumberFormat="1" applyFont="1" applyBorder="1"/>
    <xf numFmtId="10" fontId="36" fillId="0" borderId="11" xfId="0" applyNumberFormat="1" applyFont="1" applyBorder="1"/>
    <xf numFmtId="10" fontId="36" fillId="0" borderId="7" xfId="0" applyNumberFormat="1" applyFont="1" applyBorder="1"/>
    <xf numFmtId="10" fontId="36" fillId="0" borderId="8" xfId="0" applyNumberFormat="1" applyFont="1" applyBorder="1"/>
    <xf numFmtId="10" fontId="36" fillId="0" borderId="9" xfId="0" applyNumberFormat="1" applyFont="1" applyBorder="1"/>
    <xf numFmtId="175" fontId="36" fillId="0" borderId="0" xfId="0" applyNumberFormat="1" applyFont="1"/>
    <xf numFmtId="8" fontId="37" fillId="0" borderId="0" xfId="0" applyNumberFormat="1" applyFont="1"/>
    <xf numFmtId="8" fontId="37" fillId="0" borderId="6" xfId="0" applyNumberFormat="1" applyFont="1" applyBorder="1"/>
    <xf numFmtId="8" fontId="37" fillId="0" borderId="12" xfId="0" applyNumberFormat="1" applyFont="1" applyBorder="1"/>
    <xf numFmtId="8" fontId="37" fillId="0" borderId="11" xfId="0" applyNumberFormat="1" applyFont="1" applyBorder="1"/>
    <xf numFmtId="165" fontId="36" fillId="0" borderId="8" xfId="2" applyNumberFormat="1" applyFont="1" applyBorder="1"/>
    <xf numFmtId="165" fontId="36" fillId="0" borderId="9" xfId="2" applyNumberFormat="1" applyFont="1" applyBorder="1"/>
    <xf numFmtId="14" fontId="16" fillId="0" borderId="0" xfId="0" applyNumberFormat="1" applyFont="1"/>
    <xf numFmtId="165" fontId="16" fillId="0" borderId="0" xfId="2" applyNumberFormat="1" applyFont="1"/>
    <xf numFmtId="0" fontId="38" fillId="0" borderId="0" xfId="0" applyFont="1"/>
    <xf numFmtId="3" fontId="38" fillId="0" borderId="0" xfId="0" applyNumberFormat="1" applyFont="1"/>
    <xf numFmtId="10" fontId="38" fillId="0" borderId="0" xfId="0" applyNumberFormat="1" applyFont="1"/>
    <xf numFmtId="10" fontId="39" fillId="0" borderId="0" xfId="0" applyNumberFormat="1" applyFont="1"/>
    <xf numFmtId="165" fontId="41" fillId="0" borderId="0" xfId="0" applyNumberFormat="1" applyFont="1"/>
    <xf numFmtId="0" fontId="41" fillId="0" borderId="0" xfId="0" applyFont="1"/>
    <xf numFmtId="2" fontId="41" fillId="0" borderId="0" xfId="0" applyNumberFormat="1" applyFont="1"/>
    <xf numFmtId="2" fontId="41" fillId="0" borderId="12" xfId="0" applyNumberFormat="1" applyFont="1" applyBorder="1" applyAlignment="1">
      <alignment horizontal="right"/>
    </xf>
    <xf numFmtId="0" fontId="40" fillId="0" borderId="0" xfId="0" applyFont="1"/>
    <xf numFmtId="10" fontId="41" fillId="0" borderId="0" xfId="2" applyNumberFormat="1" applyFont="1" applyBorder="1"/>
    <xf numFmtId="43" fontId="41" fillId="0" borderId="0" xfId="0" applyNumberFormat="1" applyFont="1"/>
    <xf numFmtId="9" fontId="41" fillId="0" borderId="0" xfId="2" applyFont="1" applyBorder="1"/>
    <xf numFmtId="2" fontId="41" fillId="0" borderId="0" xfId="0" applyNumberFormat="1" applyFont="1" applyAlignment="1">
      <alignment horizontal="right"/>
    </xf>
    <xf numFmtId="0" fontId="41" fillId="0" borderId="5" xfId="0" applyFont="1" applyBorder="1"/>
    <xf numFmtId="0" fontId="41" fillId="0" borderId="6" xfId="0" applyFont="1" applyBorder="1"/>
    <xf numFmtId="0" fontId="41" fillId="0" borderId="6" xfId="0" applyFont="1" applyBorder="1" applyAlignment="1">
      <alignment horizontal="left"/>
    </xf>
    <xf numFmtId="0" fontId="41" fillId="0" borderId="6" xfId="0" quotePrefix="1" applyFont="1" applyBorder="1"/>
    <xf numFmtId="0" fontId="41" fillId="0" borderId="10" xfId="0" applyFont="1" applyBorder="1"/>
    <xf numFmtId="165" fontId="41" fillId="0" borderId="12" xfId="0" applyNumberFormat="1" applyFont="1" applyBorder="1"/>
    <xf numFmtId="0" fontId="41" fillId="0" borderId="11" xfId="0" quotePrefix="1" applyFont="1" applyBorder="1"/>
    <xf numFmtId="0" fontId="44" fillId="12" borderId="5" xfId="0" applyFont="1" applyFill="1" applyBorder="1"/>
    <xf numFmtId="0" fontId="44" fillId="12" borderId="0" xfId="0" applyFont="1" applyFill="1"/>
    <xf numFmtId="0" fontId="44" fillId="12" borderId="6" xfId="0" applyFont="1" applyFill="1" applyBorder="1"/>
    <xf numFmtId="10" fontId="41" fillId="0" borderId="6" xfId="2" applyNumberFormat="1" applyFont="1" applyBorder="1"/>
    <xf numFmtId="165" fontId="41" fillId="0" borderId="6" xfId="0" applyNumberFormat="1" applyFont="1" applyBorder="1"/>
    <xf numFmtId="43" fontId="41" fillId="0" borderId="6" xfId="0" applyNumberFormat="1" applyFont="1" applyBorder="1"/>
    <xf numFmtId="2" fontId="41" fillId="0" borderId="6" xfId="0" applyNumberFormat="1" applyFont="1" applyBorder="1"/>
    <xf numFmtId="9" fontId="41" fillId="0" borderId="6" xfId="2" applyFont="1" applyBorder="1"/>
    <xf numFmtId="2" fontId="41" fillId="0" borderId="6" xfId="0" applyNumberFormat="1" applyFont="1" applyBorder="1" applyAlignment="1">
      <alignment horizontal="right"/>
    </xf>
    <xf numFmtId="2" fontId="41" fillId="0" borderId="11" xfId="0" applyNumberFormat="1" applyFont="1" applyBorder="1" applyAlignment="1">
      <alignment horizontal="right"/>
    </xf>
    <xf numFmtId="0" fontId="18" fillId="0" borderId="6" xfId="0" applyFont="1" applyBorder="1" applyAlignment="1">
      <alignment vertical="top" wrapText="1"/>
    </xf>
    <xf numFmtId="10" fontId="16" fillId="0" borderId="6" xfId="2" applyNumberFormat="1" applyFont="1" applyBorder="1"/>
    <xf numFmtId="10" fontId="16" fillId="0" borderId="11" xfId="2" applyNumberFormat="1" applyFont="1" applyBorder="1"/>
    <xf numFmtId="0" fontId="16" fillId="3" borderId="40" xfId="0" applyFont="1" applyFill="1" applyBorder="1" applyAlignment="1">
      <alignment readingOrder="1"/>
    </xf>
    <xf numFmtId="0" fontId="16" fillId="3" borderId="6" xfId="0" applyFont="1" applyFill="1" applyBorder="1" applyAlignment="1">
      <alignment readingOrder="1"/>
    </xf>
    <xf numFmtId="0" fontId="16" fillId="3" borderId="48" xfId="0" applyFont="1" applyFill="1" applyBorder="1" applyAlignment="1">
      <alignment readingOrder="1"/>
    </xf>
    <xf numFmtId="165" fontId="16" fillId="0" borderId="11" xfId="2" applyNumberFormat="1" applyFont="1" applyBorder="1"/>
    <xf numFmtId="4" fontId="5" fillId="0" borderId="0" xfId="0" applyNumberFormat="1" applyFont="1"/>
    <xf numFmtId="0" fontId="16" fillId="0" borderId="2" xfId="0" applyFont="1" applyBorder="1" applyAlignment="1">
      <alignment readingOrder="1"/>
    </xf>
    <xf numFmtId="44" fontId="16" fillId="0" borderId="4" xfId="6" applyFont="1" applyBorder="1" applyAlignment="1">
      <alignment readingOrder="1"/>
    </xf>
    <xf numFmtId="0" fontId="16" fillId="10" borderId="5" xfId="0" applyFont="1" applyFill="1" applyBorder="1" applyAlignment="1">
      <alignment readingOrder="1"/>
    </xf>
    <xf numFmtId="44" fontId="16" fillId="10" borderId="6" xfId="6" applyFont="1" applyFill="1" applyBorder="1" applyAlignment="1">
      <alignment readingOrder="1"/>
    </xf>
    <xf numFmtId="10" fontId="16" fillId="0" borderId="6" xfId="0" applyNumberFormat="1" applyFont="1" applyBorder="1" applyAlignment="1">
      <alignment readingOrder="1"/>
    </xf>
    <xf numFmtId="10" fontId="16" fillId="0" borderId="11" xfId="0" applyNumberFormat="1" applyFont="1" applyBorder="1" applyAlignment="1">
      <alignment readingOrder="1"/>
    </xf>
    <xf numFmtId="170" fontId="0" fillId="0" borderId="0" xfId="1" applyNumberFormat="1" applyFont="1"/>
    <xf numFmtId="173" fontId="16" fillId="0" borderId="0" xfId="1" applyNumberFormat="1" applyFont="1"/>
    <xf numFmtId="3" fontId="16" fillId="0" borderId="12" xfId="0" applyNumberFormat="1" applyFont="1" applyBorder="1"/>
    <xf numFmtId="10" fontId="16" fillId="0" borderId="6" xfId="0" applyNumberFormat="1" applyFont="1" applyBorder="1"/>
    <xf numFmtId="14" fontId="36" fillId="0" borderId="46" xfId="0" applyNumberFormat="1" applyFont="1" applyBorder="1"/>
    <xf numFmtId="14" fontId="36" fillId="0" borderId="47" xfId="0" applyNumberFormat="1" applyFont="1" applyBorder="1"/>
    <xf numFmtId="10" fontId="36" fillId="0" borderId="7" xfId="2" applyNumberFormat="1" applyFont="1" applyBorder="1"/>
    <xf numFmtId="43" fontId="41" fillId="0" borderId="0" xfId="1" applyFont="1" applyBorder="1"/>
    <xf numFmtId="43" fontId="41" fillId="0" borderId="0" xfId="1" applyFont="1" applyAlignment="1">
      <alignment horizontal="right"/>
    </xf>
    <xf numFmtId="43" fontId="38" fillId="0" borderId="0" xfId="1" applyFont="1"/>
    <xf numFmtId="43" fontId="41" fillId="0" borderId="6" xfId="1" applyFont="1" applyBorder="1"/>
    <xf numFmtId="167" fontId="20" fillId="13" borderId="6" xfId="4" applyNumberFormat="1" applyFont="1" applyFill="1" applyBorder="1" applyAlignment="1">
      <alignment horizontal="centerContinuous"/>
    </xf>
    <xf numFmtId="167" fontId="20" fillId="13" borderId="11" xfId="4" applyNumberFormat="1" applyFont="1" applyFill="1" applyBorder="1" applyAlignment="1">
      <alignment horizontal="centerContinuous"/>
    </xf>
    <xf numFmtId="0" fontId="20" fillId="13" borderId="7" xfId="4" applyFont="1" applyFill="1" applyBorder="1" applyAlignment="1">
      <alignment horizontal="centerContinuous"/>
    </xf>
    <xf numFmtId="0" fontId="20" fillId="13" borderId="8" xfId="4" applyFont="1" applyFill="1" applyBorder="1" applyAlignment="1">
      <alignment horizontal="centerContinuous"/>
    </xf>
    <xf numFmtId="0" fontId="20" fillId="13" borderId="9" xfId="4" applyFont="1" applyFill="1" applyBorder="1" applyAlignment="1">
      <alignment horizontal="centerContinuous"/>
    </xf>
    <xf numFmtId="167" fontId="23" fillId="13" borderId="0" xfId="4" applyNumberFormat="1" applyFont="1" applyFill="1" applyAlignment="1">
      <alignment horizontal="center"/>
    </xf>
    <xf numFmtId="0" fontId="21" fillId="13" borderId="2" xfId="0" applyFont="1" applyFill="1" applyBorder="1"/>
    <xf numFmtId="0" fontId="21" fillId="13" borderId="10" xfId="0" applyFont="1" applyFill="1" applyBorder="1"/>
    <xf numFmtId="0" fontId="22" fillId="0" borderId="36" xfId="4" applyFont="1" applyBorder="1"/>
    <xf numFmtId="0" fontId="22" fillId="0" borderId="19" xfId="4" applyFont="1" applyBorder="1"/>
    <xf numFmtId="0" fontId="18" fillId="0" borderId="27" xfId="4" applyFont="1" applyBorder="1"/>
    <xf numFmtId="168" fontId="22" fillId="0" borderId="34" xfId="4" applyNumberFormat="1" applyFont="1" applyBorder="1"/>
    <xf numFmtId="168" fontId="22" fillId="0" borderId="33" xfId="4" applyNumberFormat="1" applyFont="1" applyBorder="1"/>
    <xf numFmtId="0" fontId="24" fillId="15" borderId="37" xfId="0" applyFont="1" applyFill="1" applyBorder="1"/>
    <xf numFmtId="0" fontId="24" fillId="15" borderId="45" xfId="0" applyFont="1" applyFill="1" applyBorder="1"/>
    <xf numFmtId="0" fontId="24" fillId="15" borderId="3" xfId="0" applyFont="1" applyFill="1" applyBorder="1"/>
    <xf numFmtId="0" fontId="24" fillId="15" borderId="4" xfId="0" applyFont="1" applyFill="1" applyBorder="1"/>
    <xf numFmtId="0" fontId="24" fillId="15" borderId="38" xfId="0" applyFont="1" applyFill="1" applyBorder="1"/>
    <xf numFmtId="0" fontId="24" fillId="15" borderId="31" xfId="0" applyFont="1" applyFill="1" applyBorder="1"/>
    <xf numFmtId="0" fontId="24" fillId="15" borderId="0" xfId="0" applyFont="1" applyFill="1"/>
    <xf numFmtId="0" fontId="24" fillId="15" borderId="6" xfId="0" applyFont="1" applyFill="1" applyBorder="1"/>
    <xf numFmtId="0" fontId="20" fillId="13" borderId="7" xfId="0" applyFont="1" applyFill="1" applyBorder="1"/>
    <xf numFmtId="0" fontId="21" fillId="13" borderId="8" xfId="0" applyFont="1" applyFill="1" applyBorder="1" applyAlignment="1">
      <alignment horizontal="center" vertical="center" wrapText="1"/>
    </xf>
    <xf numFmtId="0" fontId="21" fillId="13" borderId="8" xfId="0" applyFont="1" applyFill="1" applyBorder="1"/>
    <xf numFmtId="0" fontId="21" fillId="13" borderId="9" xfId="0" applyFont="1" applyFill="1" applyBorder="1"/>
    <xf numFmtId="0" fontId="19" fillId="0" borderId="5" xfId="0" applyFont="1" applyBorder="1"/>
    <xf numFmtId="165" fontId="16" fillId="0" borderId="6" xfId="2" applyNumberFormat="1" applyFont="1" applyBorder="1"/>
    <xf numFmtId="173" fontId="16" fillId="0" borderId="6" xfId="0" applyNumberFormat="1" applyFont="1" applyBorder="1"/>
    <xf numFmtId="173" fontId="16" fillId="0" borderId="5" xfId="0" applyNumberFormat="1" applyFont="1" applyBorder="1"/>
    <xf numFmtId="173" fontId="16" fillId="0" borderId="6" xfId="1" applyNumberFormat="1" applyFont="1" applyBorder="1"/>
    <xf numFmtId="173" fontId="16" fillId="0" borderId="5" xfId="1" applyNumberFormat="1" applyFont="1" applyBorder="1"/>
    <xf numFmtId="0" fontId="15" fillId="0" borderId="5" xfId="0" applyFont="1" applyBorder="1"/>
    <xf numFmtId="0" fontId="15" fillId="0" borderId="6" xfId="0" applyFont="1" applyBorder="1"/>
    <xf numFmtId="0" fontId="19" fillId="0" borderId="59" xfId="0" applyFont="1" applyBorder="1"/>
    <xf numFmtId="173" fontId="16" fillId="0" borderId="59" xfId="0" applyNumberFormat="1" applyFont="1" applyBorder="1"/>
    <xf numFmtId="173" fontId="16" fillId="0" borderId="60" xfId="0" applyNumberFormat="1" applyFont="1" applyBorder="1"/>
    <xf numFmtId="173" fontId="16" fillId="0" borderId="61" xfId="0" applyNumberFormat="1" applyFont="1" applyBorder="1"/>
    <xf numFmtId="165" fontId="16" fillId="0" borderId="1" xfId="2" applyNumberFormat="1" applyFont="1" applyBorder="1"/>
    <xf numFmtId="0" fontId="19" fillId="0" borderId="62" xfId="0" applyFont="1" applyBorder="1"/>
    <xf numFmtId="0" fontId="16" fillId="0" borderId="27" xfId="0" applyFont="1" applyBorder="1"/>
    <xf numFmtId="10" fontId="16" fillId="0" borderId="27" xfId="2" applyNumberFormat="1" applyFont="1" applyBorder="1"/>
    <xf numFmtId="10" fontId="16" fillId="0" borderId="40" xfId="2" applyNumberFormat="1" applyFont="1" applyBorder="1"/>
    <xf numFmtId="10" fontId="16" fillId="0" borderId="62" xfId="2" applyNumberFormat="1" applyFont="1" applyBorder="1"/>
    <xf numFmtId="0" fontId="16" fillId="0" borderId="62" xfId="0" applyFont="1" applyBorder="1"/>
    <xf numFmtId="173" fontId="16" fillId="0" borderId="27" xfId="0" applyNumberFormat="1" applyFont="1" applyBorder="1"/>
    <xf numFmtId="173" fontId="16" fillId="0" borderId="40" xfId="0" applyNumberFormat="1" applyFont="1" applyBorder="1"/>
    <xf numFmtId="173" fontId="16" fillId="0" borderId="62" xfId="0" applyNumberFormat="1" applyFont="1" applyBorder="1"/>
    <xf numFmtId="0" fontId="16" fillId="0" borderId="58" xfId="0" applyFont="1" applyBorder="1"/>
    <xf numFmtId="173" fontId="16" fillId="0" borderId="1" xfId="0" applyNumberFormat="1" applyFont="1" applyBorder="1"/>
    <xf numFmtId="0" fontId="16" fillId="0" borderId="40" xfId="0" applyFont="1" applyBorder="1"/>
    <xf numFmtId="0" fontId="16" fillId="0" borderId="1" xfId="0" applyFont="1" applyBorder="1"/>
    <xf numFmtId="0" fontId="16" fillId="0" borderId="48" xfId="0" applyFont="1" applyBorder="1"/>
    <xf numFmtId="0" fontId="16" fillId="0" borderId="63" xfId="0" applyFont="1" applyBorder="1"/>
    <xf numFmtId="10" fontId="15" fillId="0" borderId="62" xfId="2" applyNumberFormat="1" applyFont="1" applyBorder="1"/>
    <xf numFmtId="10" fontId="15" fillId="0" borderId="27" xfId="0" applyNumberFormat="1" applyFont="1" applyBorder="1"/>
    <xf numFmtId="10" fontId="15" fillId="0" borderId="40" xfId="0" applyNumberFormat="1" applyFont="1" applyBorder="1"/>
    <xf numFmtId="173" fontId="16" fillId="0" borderId="58" xfId="0" applyNumberFormat="1" applyFont="1" applyBorder="1"/>
    <xf numFmtId="173" fontId="16" fillId="0" borderId="48" xfId="0" applyNumberFormat="1" applyFont="1" applyBorder="1"/>
    <xf numFmtId="0" fontId="17" fillId="0" borderId="0" xfId="0" applyFont="1" applyAlignment="1">
      <alignment horizontal="left" indent="1"/>
    </xf>
    <xf numFmtId="0" fontId="16" fillId="0" borderId="7" xfId="0" applyFont="1" applyBorder="1"/>
    <xf numFmtId="0" fontId="25" fillId="0" borderId="8" xfId="0" applyFont="1" applyBorder="1" applyAlignment="1">
      <alignment horizontal="right"/>
    </xf>
    <xf numFmtId="0" fontId="17" fillId="0" borderId="8" xfId="0" applyFont="1" applyBorder="1" applyAlignment="1">
      <alignment horizontal="right"/>
    </xf>
    <xf numFmtId="0" fontId="25" fillId="0" borderId="9" xfId="0" applyFont="1" applyBorder="1" applyAlignment="1">
      <alignment horizontal="right"/>
    </xf>
    <xf numFmtId="165" fontId="19" fillId="0" borderId="0" xfId="2" applyNumberFormat="1" applyFont="1" applyBorder="1"/>
    <xf numFmtId="165" fontId="19" fillId="0" borderId="6" xfId="2" applyNumberFormat="1" applyFont="1" applyBorder="1"/>
    <xf numFmtId="0" fontId="19" fillId="0" borderId="10" xfId="0" applyFont="1" applyBorder="1"/>
    <xf numFmtId="165" fontId="19" fillId="0" borderId="12" xfId="2" applyNumberFormat="1" applyFont="1" applyBorder="1"/>
    <xf numFmtId="165" fontId="19" fillId="0" borderId="11" xfId="2" applyNumberFormat="1" applyFont="1" applyBorder="1"/>
    <xf numFmtId="15" fontId="47" fillId="0" borderId="0" xfId="0" applyNumberFormat="1" applyFont="1"/>
    <xf numFmtId="0" fontId="48" fillId="0" borderId="0" xfId="0" applyFont="1"/>
    <xf numFmtId="0" fontId="47" fillId="0" borderId="0" xfId="0" applyFont="1"/>
    <xf numFmtId="3" fontId="33" fillId="0" borderId="0" xfId="0" applyNumberFormat="1" applyFont="1"/>
    <xf numFmtId="0" fontId="49" fillId="0" borderId="0" xfId="0" applyFont="1"/>
    <xf numFmtId="0" fontId="50" fillId="0" borderId="0" xfId="0" applyFont="1"/>
    <xf numFmtId="0" fontId="51" fillId="0" borderId="0" xfId="0" applyFont="1"/>
    <xf numFmtId="0" fontId="20" fillId="13" borderId="2" xfId="0" applyFont="1" applyFill="1" applyBorder="1"/>
    <xf numFmtId="0" fontId="21" fillId="13" borderId="3" xfId="0" applyFont="1" applyFill="1" applyBorder="1" applyAlignment="1">
      <alignment horizontal="center" vertical="center" wrapText="1"/>
    </xf>
    <xf numFmtId="0" fontId="21" fillId="13" borderId="3" xfId="0" applyFont="1" applyFill="1" applyBorder="1"/>
    <xf numFmtId="0" fontId="21" fillId="13" borderId="4" xfId="0" applyFont="1" applyFill="1" applyBorder="1"/>
    <xf numFmtId="0" fontId="21" fillId="13" borderId="4" xfId="0" applyFont="1" applyFill="1" applyBorder="1" applyAlignment="1">
      <alignment horizontal="center" vertical="center" wrapText="1"/>
    </xf>
    <xf numFmtId="165" fontId="16" fillId="0" borderId="0" xfId="2" applyNumberFormat="1" applyFont="1" applyFill="1" applyBorder="1"/>
    <xf numFmtId="0" fontId="16" fillId="0" borderId="3" xfId="0" applyFont="1" applyBorder="1"/>
    <xf numFmtId="0" fontId="16" fillId="0" borderId="4" xfId="0" applyFont="1" applyBorder="1"/>
    <xf numFmtId="165" fontId="16" fillId="0" borderId="6" xfId="2" applyNumberFormat="1" applyFont="1" applyFill="1" applyBorder="1"/>
    <xf numFmtId="10" fontId="16" fillId="0" borderId="11" xfId="0" applyNumberFormat="1" applyFont="1" applyBorder="1"/>
    <xf numFmtId="0" fontId="25" fillId="0" borderId="58" xfId="0" applyFont="1" applyBorder="1"/>
    <xf numFmtId="0" fontId="17" fillId="0" borderId="5" xfId="0" applyFont="1" applyBorder="1"/>
    <xf numFmtId="0" fontId="16" fillId="13" borderId="3" xfId="0" applyFont="1" applyFill="1" applyBorder="1"/>
    <xf numFmtId="0" fontId="20" fillId="13" borderId="2" xfId="0" applyFont="1" applyFill="1" applyBorder="1" applyAlignment="1">
      <alignment readingOrder="1"/>
    </xf>
    <xf numFmtId="3" fontId="16" fillId="0" borderId="3" xfId="0" applyNumberFormat="1" applyFont="1" applyBorder="1"/>
    <xf numFmtId="3" fontId="16" fillId="0" borderId="4" xfId="0" applyNumberFormat="1" applyFont="1" applyBorder="1"/>
    <xf numFmtId="3" fontId="16" fillId="0" borderId="11" xfId="0" applyNumberFormat="1" applyFont="1" applyBorder="1"/>
    <xf numFmtId="0" fontId="22" fillId="0" borderId="5" xfId="0" applyFont="1" applyBorder="1" applyAlignment="1">
      <alignment horizontal="left" vertical="top" wrapText="1" indent="1"/>
    </xf>
    <xf numFmtId="0" fontId="17" fillId="0" borderId="6" xfId="0" applyFont="1" applyBorder="1"/>
    <xf numFmtId="173" fontId="17" fillId="0" borderId="0" xfId="1" applyNumberFormat="1" applyFont="1" applyBorder="1"/>
    <xf numFmtId="0" fontId="22" fillId="0" borderId="10" xfId="0" applyFont="1" applyBorder="1" applyAlignment="1">
      <alignment horizontal="left" vertical="top" wrapText="1" indent="1"/>
    </xf>
    <xf numFmtId="0" fontId="20" fillId="13" borderId="3" xfId="0" applyFont="1" applyFill="1" applyBorder="1"/>
    <xf numFmtId="3" fontId="19" fillId="0" borderId="6" xfId="0" applyNumberFormat="1" applyFont="1" applyBorder="1"/>
    <xf numFmtId="0" fontId="25" fillId="0" borderId="5" xfId="0" applyFont="1" applyBorder="1" applyAlignment="1">
      <alignment horizontal="left" indent="1"/>
    </xf>
    <xf numFmtId="173" fontId="19" fillId="0" borderId="0" xfId="1" applyNumberFormat="1" applyFont="1" applyBorder="1"/>
    <xf numFmtId="173" fontId="19" fillId="0" borderId="6" xfId="1" applyNumberFormat="1" applyFont="1" applyBorder="1"/>
    <xf numFmtId="0" fontId="25" fillId="0" borderId="58" xfId="0" applyFont="1" applyBorder="1" applyAlignment="1">
      <alignment horizontal="left" indent="1"/>
    </xf>
    <xf numFmtId="3" fontId="19" fillId="0" borderId="1" xfId="0" applyNumberFormat="1" applyFont="1" applyBorder="1"/>
    <xf numFmtId="0" fontId="25" fillId="0" borderId="5" xfId="0" applyFont="1" applyBorder="1"/>
    <xf numFmtId="0" fontId="25" fillId="0" borderId="62" xfId="0" applyFont="1" applyBorder="1"/>
    <xf numFmtId="0" fontId="25" fillId="0" borderId="10" xfId="0" applyFont="1" applyBorder="1"/>
    <xf numFmtId="10" fontId="19" fillId="0" borderId="12" xfId="0" applyNumberFormat="1" applyFont="1" applyBorder="1"/>
    <xf numFmtId="10" fontId="19" fillId="0" borderId="11" xfId="0" applyNumberFormat="1" applyFont="1" applyBorder="1"/>
    <xf numFmtId="10" fontId="18" fillId="0" borderId="0" xfId="2" applyNumberFormat="1" applyFont="1" applyBorder="1" applyAlignment="1">
      <alignment horizontal="right" vertical="top"/>
    </xf>
    <xf numFmtId="10" fontId="18" fillId="0" borderId="6" xfId="2" applyNumberFormat="1" applyFont="1" applyBorder="1" applyAlignment="1">
      <alignment horizontal="right" vertical="top"/>
    </xf>
    <xf numFmtId="10" fontId="18" fillId="0" borderId="12" xfId="2" applyNumberFormat="1" applyFont="1" applyBorder="1" applyAlignment="1">
      <alignment horizontal="right" vertical="top"/>
    </xf>
    <xf numFmtId="10" fontId="18" fillId="0" borderId="11" xfId="2" applyNumberFormat="1" applyFont="1" applyBorder="1" applyAlignment="1">
      <alignment horizontal="right" vertical="top"/>
    </xf>
    <xf numFmtId="10" fontId="19" fillId="0" borderId="0" xfId="0" applyNumberFormat="1" applyFont="1"/>
    <xf numFmtId="0" fontId="25" fillId="0" borderId="0" xfId="0" applyFont="1"/>
    <xf numFmtId="3" fontId="19" fillId="0" borderId="2" xfId="0" applyNumberFormat="1" applyFont="1" applyBorder="1"/>
    <xf numFmtId="3" fontId="19" fillId="0" borderId="3" xfId="0" applyNumberFormat="1" applyFont="1" applyBorder="1"/>
    <xf numFmtId="3" fontId="19" fillId="0" borderId="3" xfId="0" applyNumberFormat="1" applyFont="1" applyBorder="1" applyAlignment="1">
      <alignment wrapText="1"/>
    </xf>
    <xf numFmtId="3" fontId="19" fillId="0" borderId="4" xfId="0" applyNumberFormat="1" applyFont="1" applyBorder="1"/>
    <xf numFmtId="3" fontId="19" fillId="0" borderId="5" xfId="0" applyNumberFormat="1" applyFont="1" applyBorder="1"/>
    <xf numFmtId="0" fontId="19" fillId="0" borderId="0" xfId="0" applyFont="1" applyAlignment="1">
      <alignment wrapText="1"/>
    </xf>
    <xf numFmtId="0" fontId="19" fillId="0" borderId="64" xfId="0" applyFont="1" applyBorder="1"/>
    <xf numFmtId="0" fontId="19" fillId="0" borderId="51" xfId="0" applyFont="1" applyBorder="1"/>
    <xf numFmtId="3" fontId="19" fillId="0" borderId="51" xfId="0" applyNumberFormat="1" applyFont="1" applyBorder="1" applyAlignment="1">
      <alignment wrapText="1"/>
    </xf>
    <xf numFmtId="0" fontId="19" fillId="0" borderId="51" xfId="0" applyFont="1" applyBorder="1" applyAlignment="1">
      <alignment wrapText="1"/>
    </xf>
    <xf numFmtId="0" fontId="19" fillId="0" borderId="66" xfId="0" applyFont="1" applyBorder="1"/>
    <xf numFmtId="3" fontId="19" fillId="0" borderId="65" xfId="0" applyNumberFormat="1" applyFont="1" applyBorder="1"/>
    <xf numFmtId="3" fontId="19" fillId="0" borderId="53" xfId="0" applyNumberFormat="1" applyFont="1" applyBorder="1"/>
    <xf numFmtId="3" fontId="19" fillId="0" borderId="52" xfId="0" applyNumberFormat="1" applyFont="1" applyBorder="1" applyAlignment="1">
      <alignment wrapText="1"/>
    </xf>
    <xf numFmtId="3" fontId="19" fillId="0" borderId="67" xfId="0" applyNumberFormat="1" applyFont="1" applyBorder="1"/>
    <xf numFmtId="3" fontId="19" fillId="0" borderId="10" xfId="0" applyNumberFormat="1" applyFont="1" applyBorder="1"/>
    <xf numFmtId="0" fontId="16" fillId="14" borderId="13" xfId="0" applyFont="1" applyFill="1" applyBorder="1"/>
    <xf numFmtId="0" fontId="16" fillId="14" borderId="8" xfId="0" applyFont="1" applyFill="1" applyBorder="1"/>
    <xf numFmtId="0" fontId="16" fillId="14" borderId="9" xfId="0" applyFont="1" applyFill="1" applyBorder="1"/>
    <xf numFmtId="0" fontId="52" fillId="0" borderId="46" xfId="0" applyFont="1" applyBorder="1"/>
    <xf numFmtId="0" fontId="52" fillId="0" borderId="0" xfId="0" applyFont="1"/>
    <xf numFmtId="0" fontId="53" fillId="0" borderId="6" xfId="0" applyFont="1" applyBorder="1"/>
    <xf numFmtId="0" fontId="19" fillId="0" borderId="46" xfId="0" applyFont="1" applyBorder="1"/>
    <xf numFmtId="0" fontId="19" fillId="0" borderId="47" xfId="0" applyFont="1" applyBorder="1"/>
    <xf numFmtId="0" fontId="19" fillId="0" borderId="11" xfId="0" applyFont="1" applyBorder="1"/>
    <xf numFmtId="0" fontId="19" fillId="0" borderId="13" xfId="0" applyFont="1" applyBorder="1"/>
    <xf numFmtId="0" fontId="16" fillId="0" borderId="8" xfId="0" applyFont="1" applyBorder="1"/>
    <xf numFmtId="0" fontId="16" fillId="0" borderId="9" xfId="0" applyFont="1" applyBorder="1"/>
    <xf numFmtId="0" fontId="53" fillId="0" borderId="0" xfId="0" applyFont="1"/>
    <xf numFmtId="0" fontId="20" fillId="13" borderId="50" xfId="0" applyFont="1" applyFill="1" applyBorder="1"/>
    <xf numFmtId="0" fontId="18" fillId="0" borderId="46" xfId="0" applyFont="1" applyBorder="1" applyAlignment="1">
      <alignment vertical="top" wrapText="1"/>
    </xf>
    <xf numFmtId="0" fontId="20" fillId="13" borderId="4" xfId="0" applyFont="1" applyFill="1" applyBorder="1"/>
    <xf numFmtId="0" fontId="22" fillId="0" borderId="46" xfId="0" applyFont="1" applyBorder="1" applyAlignment="1">
      <alignment vertical="top" wrapText="1"/>
    </xf>
    <xf numFmtId="0" fontId="22" fillId="0" borderId="46" xfId="0" applyFont="1" applyBorder="1" applyAlignment="1">
      <alignment horizontal="left" vertical="top" wrapText="1" indent="1"/>
    </xf>
    <xf numFmtId="0" fontId="18" fillId="0" borderId="46" xfId="0" applyFont="1" applyBorder="1" applyAlignment="1">
      <alignment vertical="top"/>
    </xf>
    <xf numFmtId="0" fontId="22" fillId="0" borderId="47" xfId="0" applyFont="1" applyBorder="1" applyAlignment="1">
      <alignment horizontal="left" vertical="top" wrapText="1" indent="1"/>
    </xf>
    <xf numFmtId="0" fontId="16" fillId="0" borderId="50" xfId="0" applyFont="1" applyBorder="1" applyAlignment="1">
      <alignment wrapText="1" readingOrder="1"/>
    </xf>
    <xf numFmtId="0" fontId="16" fillId="0" borderId="46" xfId="0" applyFont="1" applyBorder="1" applyAlignment="1">
      <alignment wrapText="1" readingOrder="1"/>
    </xf>
    <xf numFmtId="0" fontId="16" fillId="0" borderId="46" xfId="0" applyFont="1" applyBorder="1" applyAlignment="1">
      <alignment readingOrder="1"/>
    </xf>
    <xf numFmtId="0" fontId="16" fillId="0" borderId="47" xfId="0" applyFont="1" applyBorder="1" applyAlignment="1">
      <alignment readingOrder="1"/>
    </xf>
    <xf numFmtId="176" fontId="21" fillId="13" borderId="2" xfId="6" applyNumberFormat="1" applyFont="1" applyFill="1" applyBorder="1"/>
    <xf numFmtId="176" fontId="21" fillId="13" borderId="3" xfId="6" applyNumberFormat="1" applyFont="1" applyFill="1" applyBorder="1"/>
    <xf numFmtId="176" fontId="21" fillId="13" borderId="3" xfId="6" applyNumberFormat="1" applyFont="1" applyFill="1" applyBorder="1" applyAlignment="1">
      <alignment horizontal="center" vertical="center" wrapText="1"/>
    </xf>
    <xf numFmtId="176" fontId="21" fillId="13" borderId="4" xfId="6" applyNumberFormat="1" applyFont="1" applyFill="1" applyBorder="1" applyAlignment="1">
      <alignment horizontal="center" vertical="center" wrapText="1"/>
    </xf>
    <xf numFmtId="176" fontId="16" fillId="0" borderId="5" xfId="6" applyNumberFormat="1" applyFont="1" applyBorder="1"/>
    <xf numFmtId="176" fontId="18" fillId="0" borderId="0" xfId="6" applyNumberFormat="1" applyFont="1" applyBorder="1" applyAlignment="1">
      <alignment vertical="top" wrapText="1"/>
    </xf>
    <xf numFmtId="176" fontId="16" fillId="0" borderId="0" xfId="6" applyNumberFormat="1" applyFont="1" applyBorder="1"/>
    <xf numFmtId="176" fontId="16" fillId="0" borderId="6" xfId="6" applyNumberFormat="1" applyFont="1" applyBorder="1"/>
    <xf numFmtId="176" fontId="16" fillId="0" borderId="10" xfId="6" applyNumberFormat="1" applyFont="1" applyBorder="1"/>
    <xf numFmtId="173" fontId="18" fillId="0" borderId="0" xfId="1" applyNumberFormat="1" applyFont="1" applyBorder="1" applyAlignment="1">
      <alignment vertical="top" wrapText="1"/>
    </xf>
    <xf numFmtId="173" fontId="16" fillId="0" borderId="11" xfId="1" applyNumberFormat="1" applyFont="1" applyBorder="1"/>
    <xf numFmtId="173" fontId="17" fillId="3" borderId="5" xfId="1" applyNumberFormat="1" applyFont="1" applyFill="1" applyBorder="1"/>
    <xf numFmtId="173" fontId="17" fillId="3" borderId="0" xfId="1" applyNumberFormat="1" applyFont="1" applyFill="1" applyBorder="1"/>
    <xf numFmtId="173" fontId="17" fillId="3" borderId="6" xfId="1" applyNumberFormat="1" applyFont="1" applyFill="1" applyBorder="1"/>
    <xf numFmtId="173" fontId="16" fillId="3" borderId="5" xfId="1" applyNumberFormat="1" applyFont="1" applyFill="1" applyBorder="1"/>
    <xf numFmtId="173" fontId="16" fillId="3" borderId="0" xfId="1" applyNumberFormat="1" applyFont="1" applyFill="1" applyBorder="1"/>
    <xf numFmtId="173" fontId="16" fillId="3" borderId="6" xfId="1" applyNumberFormat="1" applyFont="1" applyFill="1" applyBorder="1"/>
    <xf numFmtId="173" fontId="16" fillId="3" borderId="10" xfId="1" applyNumberFormat="1" applyFont="1" applyFill="1" applyBorder="1"/>
    <xf numFmtId="173" fontId="16" fillId="3" borderId="12" xfId="1" applyNumberFormat="1" applyFont="1" applyFill="1" applyBorder="1"/>
    <xf numFmtId="173" fontId="16" fillId="3" borderId="11" xfId="1" applyNumberFormat="1" applyFont="1" applyFill="1" applyBorder="1"/>
    <xf numFmtId="173" fontId="16" fillId="0" borderId="54" xfId="1" applyNumberFormat="1" applyFont="1" applyBorder="1" applyAlignment="1">
      <alignment horizontal="right" indent="1"/>
    </xf>
    <xf numFmtId="173" fontId="16" fillId="0" borderId="55" xfId="1" applyNumberFormat="1" applyFont="1" applyBorder="1" applyAlignment="1">
      <alignment horizontal="right" indent="1"/>
    </xf>
    <xf numFmtId="173" fontId="16" fillId="0" borderId="0" xfId="1" applyNumberFormat="1" applyFont="1" applyBorder="1" applyAlignment="1">
      <alignment horizontal="right" indent="1"/>
    </xf>
    <xf numFmtId="173" fontId="16" fillId="0" borderId="56" xfId="1" applyNumberFormat="1" applyFont="1" applyBorder="1" applyAlignment="1">
      <alignment horizontal="right" indent="1"/>
    </xf>
    <xf numFmtId="173" fontId="16" fillId="0" borderId="0" xfId="1" applyNumberFormat="1" applyFont="1" applyBorder="1" applyAlignment="1">
      <alignment horizontal="left" indent="1"/>
    </xf>
    <xf numFmtId="173" fontId="16" fillId="0" borderId="56" xfId="1" applyNumberFormat="1" applyFont="1" applyBorder="1" applyAlignment="1">
      <alignment horizontal="left" indent="1"/>
    </xf>
    <xf numFmtId="173" fontId="16" fillId="0" borderId="56" xfId="1" applyNumberFormat="1" applyFont="1" applyBorder="1"/>
    <xf numFmtId="173" fontId="16" fillId="0" borderId="49" xfId="1" applyNumberFormat="1" applyFont="1" applyBorder="1"/>
    <xf numFmtId="173" fontId="16" fillId="0" borderId="57" xfId="1" applyNumberFormat="1" applyFont="1" applyBorder="1"/>
    <xf numFmtId="173" fontId="22" fillId="0" borderId="0" xfId="1" applyNumberFormat="1" applyFont="1" applyBorder="1" applyAlignment="1">
      <alignment horizontal="right" vertical="top"/>
    </xf>
    <xf numFmtId="173" fontId="17" fillId="0" borderId="6" xfId="1" applyNumberFormat="1" applyFont="1" applyBorder="1"/>
    <xf numFmtId="173" fontId="18" fillId="0" borderId="0" xfId="1" applyNumberFormat="1" applyFont="1" applyAlignment="1">
      <alignment horizontal="right" vertical="top"/>
    </xf>
    <xf numFmtId="173" fontId="22" fillId="0" borderId="12" xfId="1" applyNumberFormat="1" applyFont="1" applyBorder="1" applyAlignment="1">
      <alignment horizontal="right" vertical="top"/>
    </xf>
    <xf numFmtId="173" fontId="17" fillId="0" borderId="12" xfId="1" applyNumberFormat="1" applyFont="1" applyBorder="1"/>
    <xf numFmtId="173" fontId="17" fillId="0" borderId="11" xfId="1" applyNumberFormat="1" applyFont="1" applyBorder="1"/>
    <xf numFmtId="173" fontId="16" fillId="0" borderId="3" xfId="1" applyNumberFormat="1" applyFont="1" applyBorder="1"/>
    <xf numFmtId="173" fontId="16" fillId="0" borderId="0" xfId="1" applyNumberFormat="1" applyFont="1" applyBorder="1" applyAlignment="1">
      <alignment wrapText="1"/>
    </xf>
    <xf numFmtId="173" fontId="19" fillId="0" borderId="1" xfId="1" applyNumberFormat="1" applyFont="1" applyBorder="1"/>
    <xf numFmtId="173" fontId="19" fillId="0" borderId="48" xfId="1" applyNumberFormat="1" applyFont="1" applyBorder="1"/>
    <xf numFmtId="173" fontId="16" fillId="0" borderId="1" xfId="1" applyNumberFormat="1" applyFont="1" applyBorder="1"/>
    <xf numFmtId="173" fontId="19" fillId="0" borderId="27" xfId="1" applyNumberFormat="1" applyFont="1" applyBorder="1"/>
    <xf numFmtId="173" fontId="19" fillId="0" borderId="40" xfId="1" applyNumberFormat="1" applyFont="1" applyBorder="1"/>
    <xf numFmtId="173" fontId="18" fillId="0" borderId="6" xfId="1" applyNumberFormat="1" applyFont="1" applyBorder="1" applyAlignment="1">
      <alignment horizontal="right" vertical="top"/>
    </xf>
    <xf numFmtId="0" fontId="54" fillId="13" borderId="13" xfId="0" applyFont="1" applyFill="1" applyBorder="1"/>
    <xf numFmtId="0" fontId="54" fillId="13" borderId="8" xfId="0" applyFont="1" applyFill="1" applyBorder="1"/>
    <xf numFmtId="0" fontId="54" fillId="13" borderId="9" xfId="0" applyFont="1" applyFill="1" applyBorder="1"/>
    <xf numFmtId="0" fontId="54" fillId="13" borderId="46" xfId="0" applyFont="1" applyFill="1" applyBorder="1"/>
    <xf numFmtId="0" fontId="54" fillId="13" borderId="47" xfId="0" applyFont="1" applyFill="1" applyBorder="1"/>
    <xf numFmtId="0" fontId="54" fillId="13" borderId="7" xfId="0" applyFont="1" applyFill="1" applyBorder="1"/>
    <xf numFmtId="0" fontId="42" fillId="16" borderId="2" xfId="0" applyFont="1" applyFill="1" applyBorder="1"/>
    <xf numFmtId="0" fontId="42" fillId="16" borderId="3" xfId="0" applyFont="1" applyFill="1" applyBorder="1" applyAlignment="1">
      <alignment horizontal="right"/>
    </xf>
    <xf numFmtId="0" fontId="42" fillId="16" borderId="4" xfId="0" applyFont="1" applyFill="1" applyBorder="1" applyAlignment="1">
      <alignment horizontal="right"/>
    </xf>
    <xf numFmtId="0" fontId="43" fillId="16" borderId="3" xfId="0" applyFont="1" applyFill="1" applyBorder="1" applyAlignment="1">
      <alignment horizontal="left"/>
    </xf>
    <xf numFmtId="0" fontId="43" fillId="16" borderId="4" xfId="0" applyFont="1" applyFill="1" applyBorder="1" applyAlignment="1">
      <alignment horizontal="left"/>
    </xf>
    <xf numFmtId="0" fontId="7" fillId="13" borderId="0" xfId="0" applyFont="1" applyFill="1"/>
    <xf numFmtId="0" fontId="7" fillId="13" borderId="0" xfId="0" applyFont="1" applyFill="1" applyAlignment="1">
      <alignment horizontal="center"/>
    </xf>
    <xf numFmtId="0" fontId="9" fillId="13" borderId="0" xfId="0" applyFont="1" applyFill="1"/>
    <xf numFmtId="0" fontId="9" fillId="13" borderId="0" xfId="0" applyFont="1" applyFill="1" applyAlignment="1">
      <alignment horizontal="center"/>
    </xf>
    <xf numFmtId="0" fontId="55" fillId="13" borderId="0" xfId="0" applyFont="1" applyFill="1"/>
    <xf numFmtId="0" fontId="45" fillId="13" borderId="0" xfId="0" applyFont="1" applyFill="1"/>
    <xf numFmtId="0" fontId="56" fillId="13" borderId="0" xfId="0" applyFont="1" applyFill="1"/>
    <xf numFmtId="170" fontId="56" fillId="13" borderId="0" xfId="1" applyNumberFormat="1" applyFont="1" applyFill="1"/>
    <xf numFmtId="170" fontId="19" fillId="0" borderId="0" xfId="1" applyNumberFormat="1" applyFont="1" applyFill="1"/>
    <xf numFmtId="170" fontId="25" fillId="0" borderId="0" xfId="1" applyNumberFormat="1" applyFont="1" applyFill="1"/>
    <xf numFmtId="170" fontId="16" fillId="0" borderId="0" xfId="1" applyNumberFormat="1" applyFont="1" applyFill="1"/>
    <xf numFmtId="170" fontId="17" fillId="0" borderId="0" xfId="1" applyNumberFormat="1" applyFont="1" applyFill="1"/>
    <xf numFmtId="0" fontId="20" fillId="13" borderId="68" xfId="0" applyFont="1" applyFill="1" applyBorder="1"/>
    <xf numFmtId="0" fontId="21" fillId="13" borderId="54" xfId="0" applyFont="1" applyFill="1" applyBorder="1"/>
    <xf numFmtId="0" fontId="21" fillId="13" borderId="54" xfId="0" applyFont="1" applyFill="1" applyBorder="1" applyAlignment="1">
      <alignment horizontal="center" vertical="center" wrapText="1"/>
    </xf>
    <xf numFmtId="0" fontId="21" fillId="13" borderId="69" xfId="0" applyFont="1" applyFill="1" applyBorder="1" applyAlignment="1">
      <alignment horizontal="center" vertical="center" wrapText="1"/>
    </xf>
    <xf numFmtId="0" fontId="20" fillId="13" borderId="70" xfId="0" applyFont="1" applyFill="1" applyBorder="1"/>
    <xf numFmtId="0" fontId="20" fillId="13" borderId="54" xfId="0" applyFont="1" applyFill="1" applyBorder="1"/>
    <xf numFmtId="0" fontId="21" fillId="13" borderId="55" xfId="0" applyFont="1" applyFill="1" applyBorder="1"/>
    <xf numFmtId="0" fontId="18" fillId="0" borderId="71" xfId="0" applyFont="1" applyBorder="1" applyAlignment="1">
      <alignment vertical="top" wrapText="1"/>
    </xf>
    <xf numFmtId="10" fontId="15" fillId="0" borderId="0" xfId="0" applyNumberFormat="1" applyFont="1"/>
    <xf numFmtId="0" fontId="16" fillId="0" borderId="56" xfId="0" applyFont="1" applyBorder="1"/>
    <xf numFmtId="0" fontId="18" fillId="0" borderId="72" xfId="0" applyFont="1" applyBorder="1" applyAlignment="1">
      <alignment vertical="top" wrapText="1"/>
    </xf>
    <xf numFmtId="0" fontId="16" fillId="0" borderId="49" xfId="0" applyFont="1" applyBorder="1"/>
    <xf numFmtId="10" fontId="16" fillId="0" borderId="49" xfId="2" applyNumberFormat="1" applyFont="1" applyBorder="1"/>
    <xf numFmtId="10" fontId="16" fillId="0" borderId="73" xfId="2" applyNumberFormat="1" applyFont="1" applyBorder="1"/>
    <xf numFmtId="10" fontId="15" fillId="0" borderId="74" xfId="0" applyNumberFormat="1" applyFont="1" applyBorder="1"/>
    <xf numFmtId="10" fontId="15" fillId="0" borderId="49" xfId="0" applyNumberFormat="1" applyFont="1" applyBorder="1"/>
    <xf numFmtId="10" fontId="16" fillId="0" borderId="49" xfId="0" applyNumberFormat="1" applyFont="1" applyBorder="1"/>
    <xf numFmtId="0" fontId="16" fillId="0" borderId="57" xfId="0" applyFont="1" applyBorder="1"/>
    <xf numFmtId="0" fontId="19" fillId="0" borderId="31" xfId="0" applyFont="1" applyBorder="1"/>
    <xf numFmtId="0" fontId="19" fillId="0" borderId="41" xfId="0" applyFont="1" applyBorder="1"/>
    <xf numFmtId="9" fontId="16" fillId="0" borderId="0" xfId="2" applyFont="1" applyAlignment="1">
      <alignment readingOrder="1"/>
    </xf>
    <xf numFmtId="0" fontId="57" fillId="0" borderId="62" xfId="0" applyFont="1" applyBorder="1"/>
    <xf numFmtId="173" fontId="57" fillId="0" borderId="27" xfId="0" applyNumberFormat="1" applyFont="1" applyBorder="1"/>
    <xf numFmtId="173" fontId="57" fillId="0" borderId="62" xfId="0" applyNumberFormat="1" applyFont="1" applyBorder="1"/>
    <xf numFmtId="173" fontId="57" fillId="0" borderId="40" xfId="0" applyNumberFormat="1" applyFont="1" applyBorder="1"/>
    <xf numFmtId="0" fontId="57" fillId="0" borderId="5" xfId="0" applyFont="1" applyBorder="1"/>
    <xf numFmtId="173" fontId="57" fillId="0" borderId="5" xfId="0" applyNumberFormat="1" applyFont="1" applyBorder="1"/>
    <xf numFmtId="173" fontId="57" fillId="0" borderId="6" xfId="0" applyNumberFormat="1" applyFont="1" applyBorder="1"/>
    <xf numFmtId="0" fontId="57" fillId="0" borderId="58" xfId="0" applyFont="1" applyBorder="1"/>
    <xf numFmtId="173" fontId="57" fillId="0" borderId="1" xfId="0" applyNumberFormat="1" applyFont="1" applyBorder="1"/>
    <xf numFmtId="173" fontId="57" fillId="0" borderId="58" xfId="0" applyNumberFormat="1" applyFont="1" applyBorder="1"/>
    <xf numFmtId="173" fontId="57" fillId="0" borderId="48" xfId="0" applyNumberFormat="1" applyFont="1" applyBorder="1"/>
    <xf numFmtId="0" fontId="58" fillId="0" borderId="5" xfId="0" applyFont="1" applyBorder="1"/>
    <xf numFmtId="43" fontId="59" fillId="0" borderId="5" xfId="0" applyNumberFormat="1" applyFont="1" applyBorder="1"/>
    <xf numFmtId="43" fontId="59" fillId="0" borderId="6" xfId="0" applyNumberFormat="1" applyFont="1" applyBorder="1"/>
    <xf numFmtId="9" fontId="16" fillId="0" borderId="6" xfId="2" applyFont="1" applyBorder="1"/>
    <xf numFmtId="173" fontId="16" fillId="0" borderId="60" xfId="1" applyNumberFormat="1" applyFont="1" applyBorder="1"/>
    <xf numFmtId="173" fontId="16" fillId="0" borderId="34" xfId="1" applyNumberFormat="1" applyFont="1" applyBorder="1"/>
    <xf numFmtId="0" fontId="16" fillId="0" borderId="2" xfId="0" applyFont="1" applyBorder="1"/>
    <xf numFmtId="173" fontId="16" fillId="0" borderId="3" xfId="0" applyNumberFormat="1" applyFont="1" applyBorder="1"/>
    <xf numFmtId="173" fontId="16" fillId="0" borderId="4" xfId="0" applyNumberFormat="1" applyFont="1" applyBorder="1"/>
    <xf numFmtId="173" fontId="57" fillId="0" borderId="0" xfId="0" applyNumberFormat="1" applyFont="1"/>
    <xf numFmtId="0" fontId="57" fillId="0" borderId="0" xfId="0" applyFont="1"/>
    <xf numFmtId="43" fontId="57" fillId="0" borderId="0" xfId="0" applyNumberFormat="1" applyFont="1"/>
    <xf numFmtId="43" fontId="59" fillId="0" borderId="0" xfId="0" applyNumberFormat="1" applyFont="1"/>
    <xf numFmtId="0" fontId="16" fillId="0" borderId="10" xfId="0" applyFont="1" applyBorder="1"/>
    <xf numFmtId="165" fontId="15" fillId="0" borderId="10" xfId="0" applyNumberFormat="1" applyFont="1" applyBorder="1"/>
    <xf numFmtId="165" fontId="15" fillId="0" borderId="12" xfId="0" applyNumberFormat="1" applyFont="1" applyBorder="1"/>
    <xf numFmtId="165" fontId="15" fillId="0" borderId="11" xfId="0" applyNumberFormat="1" applyFont="1" applyBorder="1"/>
    <xf numFmtId="10" fontId="15" fillId="0" borderId="5" xfId="2" applyNumberFormat="1" applyFont="1" applyBorder="1"/>
    <xf numFmtId="10" fontId="15" fillId="0" borderId="6" xfId="0" applyNumberFormat="1" applyFont="1" applyBorder="1"/>
    <xf numFmtId="177" fontId="16" fillId="0" borderId="0" xfId="2" applyNumberFormat="1" applyFont="1"/>
    <xf numFmtId="10" fontId="16" fillId="0" borderId="10" xfId="0" applyNumberFormat="1" applyFont="1" applyBorder="1"/>
    <xf numFmtId="165" fontId="16" fillId="0" borderId="48" xfId="2" applyNumberFormat="1" applyFont="1" applyBorder="1"/>
    <xf numFmtId="1" fontId="16" fillId="0" borderId="62" xfId="0" applyNumberFormat="1" applyFont="1" applyBorder="1"/>
    <xf numFmtId="1" fontId="16" fillId="0" borderId="27" xfId="0" applyNumberFormat="1" applyFont="1" applyBorder="1"/>
    <xf numFmtId="1" fontId="16" fillId="0" borderId="40" xfId="0" applyNumberFormat="1" applyFont="1" applyBorder="1"/>
    <xf numFmtId="165" fontId="15" fillId="0" borderId="5" xfId="2" applyNumberFormat="1" applyFont="1" applyBorder="1"/>
    <xf numFmtId="165" fontId="15" fillId="0" borderId="0" xfId="2" applyNumberFormat="1" applyFont="1"/>
    <xf numFmtId="165" fontId="15" fillId="0" borderId="6" xfId="2" applyNumberFormat="1" applyFont="1" applyBorder="1"/>
    <xf numFmtId="0" fontId="16" fillId="14" borderId="7" xfId="0" applyFont="1" applyFill="1" applyBorder="1"/>
    <xf numFmtId="3" fontId="19" fillId="0" borderId="12" xfId="0" applyNumberFormat="1" applyFont="1" applyBorder="1"/>
    <xf numFmtId="3" fontId="19" fillId="0" borderId="11" xfId="0" applyNumberFormat="1" applyFont="1" applyBorder="1"/>
    <xf numFmtId="43" fontId="16" fillId="0" borderId="6" xfId="1" applyFont="1" applyBorder="1"/>
    <xf numFmtId="43" fontId="16" fillId="0" borderId="0" xfId="2" applyNumberFormat="1" applyFont="1" applyBorder="1"/>
    <xf numFmtId="173" fontId="15" fillId="0" borderId="0" xfId="2" applyNumberFormat="1" applyFont="1" applyBorder="1"/>
    <xf numFmtId="43" fontId="15" fillId="0" borderId="0" xfId="1" applyFont="1" applyBorder="1"/>
    <xf numFmtId="173" fontId="15" fillId="0" borderId="0" xfId="1" applyNumberFormat="1" applyFont="1" applyBorder="1"/>
    <xf numFmtId="173" fontId="15" fillId="0" borderId="1" xfId="0" applyNumberFormat="1" applyFont="1" applyBorder="1"/>
    <xf numFmtId="173" fontId="18" fillId="0" borderId="3" xfId="1" applyNumberFormat="1" applyFont="1" applyBorder="1" applyAlignment="1">
      <alignment horizontal="right" vertical="top"/>
    </xf>
    <xf numFmtId="173" fontId="16" fillId="0" borderId="4" xfId="1" applyNumberFormat="1" applyFont="1" applyBorder="1"/>
    <xf numFmtId="0" fontId="22" fillId="0" borderId="10" xfId="0" applyFont="1" applyBorder="1" applyAlignment="1">
      <alignment vertical="top" wrapText="1"/>
    </xf>
    <xf numFmtId="173" fontId="18" fillId="0" borderId="12" xfId="1" applyNumberFormat="1" applyFont="1" applyBorder="1" applyAlignment="1">
      <alignment horizontal="right" vertical="top"/>
    </xf>
    <xf numFmtId="0" fontId="18" fillId="0" borderId="2" xfId="0" applyFont="1" applyBorder="1" applyAlignment="1">
      <alignment vertical="top" wrapText="1"/>
    </xf>
    <xf numFmtId="10" fontId="16" fillId="0" borderId="3" xfId="2" applyNumberFormat="1" applyFont="1" applyBorder="1"/>
    <xf numFmtId="10" fontId="16" fillId="0" borderId="4" xfId="2" applyNumberFormat="1" applyFont="1" applyBorder="1"/>
    <xf numFmtId="9" fontId="16" fillId="0" borderId="4" xfId="0" applyNumberFormat="1" applyFont="1" applyBorder="1"/>
    <xf numFmtId="43" fontId="16" fillId="0" borderId="0" xfId="1" applyFont="1" applyBorder="1"/>
    <xf numFmtId="0" fontId="18" fillId="0" borderId="3" xfId="0" applyFont="1" applyBorder="1" applyAlignment="1">
      <alignment vertical="top" wrapText="1"/>
    </xf>
    <xf numFmtId="10" fontId="15" fillId="0" borderId="3" xfId="2" applyNumberFormat="1" applyFont="1" applyBorder="1"/>
    <xf numFmtId="9" fontId="16" fillId="0" borderId="3" xfId="0" applyNumberFormat="1" applyFont="1" applyBorder="1"/>
    <xf numFmtId="0" fontId="21" fillId="13" borderId="7" xfId="0" applyFont="1" applyFill="1" applyBorder="1"/>
    <xf numFmtId="3" fontId="19" fillId="0" borderId="75" xfId="0" applyNumberFormat="1" applyFont="1" applyBorder="1"/>
    <xf numFmtId="9" fontId="16" fillId="0" borderId="3" xfId="2" applyFont="1" applyBorder="1"/>
    <xf numFmtId="9" fontId="18" fillId="0" borderId="3" xfId="2" applyFont="1" applyBorder="1" applyAlignment="1">
      <alignment horizontal="right" vertical="top"/>
    </xf>
    <xf numFmtId="9" fontId="16" fillId="0" borderId="4" xfId="2" applyFont="1" applyBorder="1"/>
    <xf numFmtId="9" fontId="18" fillId="0" borderId="0" xfId="2" applyFont="1" applyBorder="1" applyAlignment="1">
      <alignment horizontal="right" vertical="top"/>
    </xf>
    <xf numFmtId="9" fontId="18" fillId="0" borderId="6" xfId="2" applyFont="1" applyBorder="1" applyAlignment="1">
      <alignment horizontal="right" vertical="top"/>
    </xf>
    <xf numFmtId="9" fontId="16" fillId="0" borderId="0" xfId="2" applyFont="1" applyBorder="1"/>
    <xf numFmtId="9" fontId="18" fillId="0" borderId="12" xfId="2" applyFont="1" applyBorder="1" applyAlignment="1">
      <alignment horizontal="right" vertical="top"/>
    </xf>
    <xf numFmtId="9" fontId="16" fillId="0" borderId="12" xfId="2" applyFont="1" applyBorder="1"/>
    <xf numFmtId="9" fontId="16" fillId="0" borderId="11" xfId="2" applyFont="1" applyBorder="1"/>
    <xf numFmtId="9" fontId="18" fillId="0" borderId="11" xfId="2" applyFont="1" applyBorder="1" applyAlignment="1">
      <alignment horizontal="right" vertical="top"/>
    </xf>
    <xf numFmtId="43" fontId="15" fillId="0" borderId="5" xfId="1" applyFont="1" applyBorder="1"/>
    <xf numFmtId="43" fontId="15" fillId="0" borderId="0" xfId="1" applyFont="1"/>
    <xf numFmtId="43" fontId="19" fillId="0" borderId="0" xfId="1" applyFont="1" applyBorder="1"/>
    <xf numFmtId="178" fontId="19" fillId="0" borderId="0" xfId="1" applyNumberFormat="1" applyFont="1" applyBorder="1"/>
    <xf numFmtId="2" fontId="16" fillId="0" borderId="0" xfId="0" applyNumberFormat="1" applyFont="1" applyAlignment="1">
      <alignment readingOrder="1"/>
    </xf>
    <xf numFmtId="0" fontId="16" fillId="0" borderId="31" xfId="0" applyFont="1" applyBorder="1"/>
    <xf numFmtId="0" fontId="16" fillId="14" borderId="62" xfId="0" applyFont="1" applyFill="1" applyBorder="1" applyAlignment="1">
      <alignment readingOrder="1"/>
    </xf>
    <xf numFmtId="44" fontId="16" fillId="14" borderId="40" xfId="6" applyFont="1" applyFill="1" applyBorder="1" applyAlignment="1">
      <alignment readingOrder="1"/>
    </xf>
    <xf numFmtId="0" fontId="16" fillId="14" borderId="58" xfId="0" applyFont="1" applyFill="1" applyBorder="1" applyAlignment="1">
      <alignment readingOrder="1"/>
    </xf>
    <xf numFmtId="44" fontId="16" fillId="14" borderId="48" xfId="6" applyFont="1" applyFill="1" applyBorder="1" applyAlignment="1">
      <alignment readingOrder="1"/>
    </xf>
    <xf numFmtId="0" fontId="23" fillId="13" borderId="62" xfId="0" applyFont="1" applyFill="1" applyBorder="1" applyAlignment="1">
      <alignment readingOrder="1"/>
    </xf>
    <xf numFmtId="9" fontId="24" fillId="13" borderId="40" xfId="0" applyNumberFormat="1" applyFont="1" applyFill="1" applyBorder="1" applyAlignment="1">
      <alignment readingOrder="1"/>
    </xf>
    <xf numFmtId="0" fontId="23" fillId="13" borderId="58" xfId="0" applyFont="1" applyFill="1" applyBorder="1" applyAlignment="1">
      <alignment readingOrder="1"/>
    </xf>
    <xf numFmtId="9" fontId="24" fillId="13" borderId="48" xfId="0" applyNumberFormat="1" applyFont="1" applyFill="1" applyBorder="1" applyAlignment="1">
      <alignment readingOrder="1"/>
    </xf>
    <xf numFmtId="0" fontId="17" fillId="0" borderId="7" xfId="0" applyFont="1" applyBorder="1" applyAlignment="1">
      <alignment readingOrder="1"/>
    </xf>
    <xf numFmtId="0" fontId="17" fillId="0" borderId="9" xfId="0" applyFont="1" applyBorder="1" applyAlignment="1">
      <alignment horizontal="right" readingOrder="1"/>
    </xf>
    <xf numFmtId="0" fontId="19" fillId="0" borderId="2" xfId="0" applyFont="1" applyBorder="1"/>
    <xf numFmtId="10" fontId="19" fillId="0" borderId="3" xfId="2" applyNumberFormat="1" applyFont="1" applyBorder="1"/>
    <xf numFmtId="10" fontId="25" fillId="0" borderId="0" xfId="2" applyNumberFormat="1" applyFont="1" applyBorder="1"/>
    <xf numFmtId="10" fontId="26" fillId="0" borderId="0" xfId="2" applyNumberFormat="1" applyFont="1" applyBorder="1"/>
    <xf numFmtId="10" fontId="17" fillId="0" borderId="0" xfId="2" applyNumberFormat="1" applyFont="1" applyBorder="1"/>
    <xf numFmtId="10" fontId="19" fillId="0" borderId="12" xfId="2" applyNumberFormat="1" applyFont="1" applyBorder="1"/>
    <xf numFmtId="0" fontId="19" fillId="0" borderId="3" xfId="2" applyNumberFormat="1" applyFont="1" applyBorder="1"/>
    <xf numFmtId="9" fontId="16" fillId="0" borderId="0" xfId="0" applyNumberFormat="1" applyFont="1" applyAlignment="1">
      <alignment readingOrder="1"/>
    </xf>
    <xf numFmtId="10" fontId="16" fillId="0" borderId="0" xfId="0" applyNumberFormat="1" applyFont="1" applyAlignment="1">
      <alignment readingOrder="1"/>
    </xf>
    <xf numFmtId="10" fontId="16" fillId="0" borderId="0" xfId="2" applyNumberFormat="1" applyFont="1" applyAlignment="1">
      <alignment readingOrder="1"/>
    </xf>
    <xf numFmtId="0" fontId="16" fillId="0" borderId="3" xfId="0" applyFont="1" applyBorder="1" applyAlignment="1">
      <alignment readingOrder="1"/>
    </xf>
    <xf numFmtId="0" fontId="16" fillId="10" borderId="0" xfId="0" applyFont="1" applyFill="1" applyAlignment="1">
      <alignment readingOrder="1"/>
    </xf>
    <xf numFmtId="0" fontId="16" fillId="14" borderId="27" xfId="0" applyFont="1" applyFill="1" applyBorder="1" applyAlignment="1">
      <alignment readingOrder="1"/>
    </xf>
    <xf numFmtId="0" fontId="16" fillId="14" borderId="1" xfId="0" applyFont="1" applyFill="1" applyBorder="1" applyAlignment="1">
      <alignment readingOrder="1"/>
    </xf>
    <xf numFmtId="0" fontId="23" fillId="13" borderId="27" xfId="0" applyFont="1" applyFill="1" applyBorder="1" applyAlignment="1">
      <alignment readingOrder="1"/>
    </xf>
    <xf numFmtId="0" fontId="23" fillId="13" borderId="1" xfId="0" applyFont="1" applyFill="1" applyBorder="1" applyAlignment="1">
      <alignment readingOrder="1"/>
    </xf>
    <xf numFmtId="0" fontId="16" fillId="0" borderId="12" xfId="0" applyFont="1" applyBorder="1" applyAlignment="1">
      <alignment readingOrder="1"/>
    </xf>
    <xf numFmtId="0" fontId="17" fillId="0" borderId="8" xfId="0" applyFont="1" applyBorder="1" applyAlignment="1">
      <alignment readingOrder="1"/>
    </xf>
    <xf numFmtId="0" fontId="22" fillId="0" borderId="1" xfId="4" applyFont="1" applyBorder="1"/>
    <xf numFmtId="0" fontId="22" fillId="0" borderId="8" xfId="4" applyFont="1" applyBorder="1"/>
    <xf numFmtId="0" fontId="22" fillId="0" borderId="76" xfId="4" applyFont="1" applyBorder="1"/>
    <xf numFmtId="0" fontId="22" fillId="0" borderId="2" xfId="4" applyFont="1" applyBorder="1"/>
    <xf numFmtId="0" fontId="22" fillId="0" borderId="45" xfId="4" applyFont="1" applyBorder="1"/>
    <xf numFmtId="0" fontId="18" fillId="0" borderId="5" xfId="4" applyFont="1" applyBorder="1"/>
    <xf numFmtId="0" fontId="18" fillId="0" borderId="31" xfId="4" applyFont="1" applyBorder="1"/>
    <xf numFmtId="0" fontId="18" fillId="0" borderId="41" xfId="4" applyFont="1" applyBorder="1"/>
    <xf numFmtId="0" fontId="16" fillId="14" borderId="59" xfId="0" applyFont="1" applyFill="1" applyBorder="1" applyAlignment="1">
      <alignment horizontal="center"/>
    </xf>
    <xf numFmtId="0" fontId="16" fillId="14" borderId="60" xfId="0" applyFont="1" applyFill="1" applyBorder="1" applyAlignment="1">
      <alignment horizontal="center"/>
    </xf>
    <xf numFmtId="0" fontId="16" fillId="14" borderId="61" xfId="0" applyFont="1" applyFill="1" applyBorder="1" applyAlignment="1">
      <alignment horizontal="center"/>
    </xf>
    <xf numFmtId="0" fontId="20" fillId="13" borderId="0" xfId="4" applyFont="1" applyFill="1" applyAlignment="1">
      <alignment horizontal="center"/>
    </xf>
    <xf numFmtId="0" fontId="21" fillId="13" borderId="7" xfId="0" applyFont="1" applyFill="1" applyBorder="1" applyAlignment="1">
      <alignment horizontal="center"/>
    </xf>
    <xf numFmtId="0" fontId="21" fillId="13" borderId="8" xfId="0" applyFont="1" applyFill="1" applyBorder="1" applyAlignment="1">
      <alignment horizontal="center"/>
    </xf>
    <xf numFmtId="0" fontId="21" fillId="13" borderId="9" xfId="0" applyFont="1" applyFill="1" applyBorder="1" applyAlignment="1">
      <alignment horizontal="center"/>
    </xf>
    <xf numFmtId="0" fontId="18" fillId="0" borderId="0" xfId="0" applyFont="1" applyAlignment="1">
      <alignment vertical="top" wrapText="1"/>
    </xf>
    <xf numFmtId="0" fontId="16" fillId="0" borderId="0" xfId="0" applyFont="1" applyAlignment="1">
      <alignment horizontal="left"/>
    </xf>
    <xf numFmtId="0" fontId="16" fillId="0" borderId="0" xfId="0" applyFont="1" applyAlignment="1">
      <alignment horizontal="left" wrapText="1"/>
    </xf>
    <xf numFmtId="0" fontId="47" fillId="0" borderId="0" xfId="0" applyFont="1" applyAlignment="1"/>
    <xf numFmtId="0" fontId="16" fillId="0" borderId="0" xfId="0" applyFont="1" applyAlignment="1"/>
  </cellXfs>
  <cellStyles count="8">
    <cellStyle name="Comma" xfId="1" builtinId="3"/>
    <cellStyle name="Currency" xfId="6" builtinId="4"/>
    <cellStyle name="Hyperlink" xfId="3" builtinId="8"/>
    <cellStyle name="Normal" xfId="0" builtinId="0"/>
    <cellStyle name="Normal 3" xfId="4" xr:uid="{09ADF41C-07DD-4C4A-B92A-300C47B8CF2D}"/>
    <cellStyle name="Normal_PiranhaWeb Comps Model 3" xfId="7" xr:uid="{33CDEA06-9CC0-EE41-AB8B-3810273A7151}"/>
    <cellStyle name="Percent" xfId="2" builtinId="5"/>
    <cellStyle name="Percent 2" xfId="5" xr:uid="{BB044018-9C3F-FF44-A68F-695BA8FC1FD5}"/>
  </cellStyles>
  <dxfs count="19">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70" formatCode="_(* #,##0.0_);_(* \(#,##0.0\);_(* &quot;-&quot;??_);_(@_)"/>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b val="0"/>
        <i val="0"/>
        <strike val="0"/>
        <condense val="0"/>
        <extend val="0"/>
        <outline val="0"/>
        <shadow val="0"/>
        <u val="none"/>
        <vertAlign val="baseline"/>
        <sz val="12"/>
        <color theme="0"/>
        <name val="Calibri"/>
        <family val="2"/>
        <scheme val="none"/>
      </font>
      <fill>
        <patternFill patternType="solid">
          <fgColor indexed="64"/>
          <bgColor rgb="FF197037"/>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FF"/>
      <color rgb="FF197037"/>
      <color rgb="FF6EBD4D"/>
      <color rgb="FF4472C4"/>
      <color rgb="FF0046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 vs comparable sales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Model'!$B$8</c:f>
              <c:strCache>
                <c:ptCount val="1"/>
                <c:pt idx="0">
                  <c:v>Calculated comparable store sales growth</c:v>
                </c:pt>
              </c:strCache>
            </c:strRef>
          </c:tx>
          <c:spPr>
            <a:ln w="28575" cap="rnd">
              <a:solidFill>
                <a:schemeClr val="accent1"/>
              </a:solidFill>
              <a:round/>
            </a:ln>
            <a:effectLst/>
          </c:spPr>
          <c:marker>
            <c:symbol val="none"/>
          </c:marker>
          <c:cat>
            <c:strRef>
              <c:f>'Revenue Model'!$C$2:$I$2</c:f>
              <c:strCache>
                <c:ptCount val="7"/>
                <c:pt idx="0">
                  <c:v>FY2018</c:v>
                </c:pt>
                <c:pt idx="1">
                  <c:v>FY2019</c:v>
                </c:pt>
                <c:pt idx="2">
                  <c:v>FY2020</c:v>
                </c:pt>
                <c:pt idx="3">
                  <c:v>FY2021</c:v>
                </c:pt>
                <c:pt idx="4">
                  <c:v>FY2022</c:v>
                </c:pt>
                <c:pt idx="5">
                  <c:v>FY2023</c:v>
                </c:pt>
                <c:pt idx="6">
                  <c:v>FY2024</c:v>
                </c:pt>
              </c:strCache>
            </c:strRef>
          </c:cat>
          <c:val>
            <c:numRef>
              <c:f>'Revenue Model'!$C$8:$I$8</c:f>
              <c:numCache>
                <c:formatCode>0.00%</c:formatCode>
                <c:ptCount val="7"/>
                <c:pt idx="1">
                  <c:v>-9.0457489609527819E-3</c:v>
                </c:pt>
                <c:pt idx="2">
                  <c:v>6.7863732637678975E-2</c:v>
                </c:pt>
                <c:pt idx="3">
                  <c:v>-0.10058767479673225</c:v>
                </c:pt>
                <c:pt idx="4">
                  <c:v>1.6740585567881716E-2</c:v>
                </c:pt>
                <c:pt idx="5">
                  <c:v>2.3208007786572393E-2</c:v>
                </c:pt>
                <c:pt idx="6">
                  <c:v>5.7005294157318032E-2</c:v>
                </c:pt>
              </c:numCache>
            </c:numRef>
          </c:val>
          <c:smooth val="0"/>
          <c:extLst>
            <c:ext xmlns:c16="http://schemas.microsoft.com/office/drawing/2014/chart" uri="{C3380CC4-5D6E-409C-BE32-E72D297353CC}">
              <c16:uniqueId val="{00000000-C7D2-0840-877D-F065E0D08F32}"/>
            </c:ext>
          </c:extLst>
        </c:ser>
        <c:ser>
          <c:idx val="1"/>
          <c:order val="1"/>
          <c:tx>
            <c:strRef>
              <c:f>'Revenue Model'!$B$9</c:f>
              <c:strCache>
                <c:ptCount val="1"/>
                <c:pt idx="0">
                  <c:v>Given comparable store sales growth**</c:v>
                </c:pt>
              </c:strCache>
            </c:strRef>
          </c:tx>
          <c:spPr>
            <a:ln w="28575" cap="rnd">
              <a:solidFill>
                <a:schemeClr val="accent2"/>
              </a:solidFill>
              <a:round/>
            </a:ln>
            <a:effectLst/>
          </c:spPr>
          <c:marker>
            <c:symbol val="none"/>
          </c:marker>
          <c:cat>
            <c:strRef>
              <c:f>'Revenue Model'!$C$2:$I$2</c:f>
              <c:strCache>
                <c:ptCount val="7"/>
                <c:pt idx="0">
                  <c:v>FY2018</c:v>
                </c:pt>
                <c:pt idx="1">
                  <c:v>FY2019</c:v>
                </c:pt>
                <c:pt idx="2">
                  <c:v>FY2020</c:v>
                </c:pt>
                <c:pt idx="3">
                  <c:v>FY2021</c:v>
                </c:pt>
                <c:pt idx="4">
                  <c:v>FY2022</c:v>
                </c:pt>
                <c:pt idx="5">
                  <c:v>FY2023</c:v>
                </c:pt>
                <c:pt idx="6">
                  <c:v>FY2024</c:v>
                </c:pt>
              </c:strCache>
            </c:strRef>
          </c:cat>
          <c:val>
            <c:numRef>
              <c:f>'Revenue Model'!$C$9:$I$9</c:f>
              <c:numCache>
                <c:formatCode>0.0%</c:formatCode>
                <c:ptCount val="7"/>
                <c:pt idx="0">
                  <c:v>2.1000000000000001E-2</c:v>
                </c:pt>
                <c:pt idx="1">
                  <c:v>1.1000000000000001E-2</c:v>
                </c:pt>
                <c:pt idx="2">
                  <c:v>6.9000000000000006E-2</c:v>
                </c:pt>
                <c:pt idx="3">
                  <c:v>-6.7000000000000004E-2</c:v>
                </c:pt>
                <c:pt idx="4">
                  <c:v>2.2000000000000002E-2</c:v>
                </c:pt>
                <c:pt idx="5">
                  <c:v>3.4000000000000002E-2</c:v>
                </c:pt>
                <c:pt idx="6">
                  <c:v>7.5999999999999998E-2</c:v>
                </c:pt>
              </c:numCache>
            </c:numRef>
          </c:val>
          <c:smooth val="0"/>
          <c:extLst>
            <c:ext xmlns:c16="http://schemas.microsoft.com/office/drawing/2014/chart" uri="{C3380CC4-5D6E-409C-BE32-E72D297353CC}">
              <c16:uniqueId val="{00000001-C7D2-0840-877D-F065E0D08F32}"/>
            </c:ext>
          </c:extLst>
        </c:ser>
        <c:ser>
          <c:idx val="2"/>
          <c:order val="2"/>
          <c:tx>
            <c:strRef>
              <c:f>'Revenue Model'!$B$10</c:f>
              <c:strCache>
                <c:ptCount val="1"/>
                <c:pt idx="0">
                  <c:v>Inflation (Food at Home)</c:v>
                </c:pt>
              </c:strCache>
            </c:strRef>
          </c:tx>
          <c:spPr>
            <a:ln w="28575" cap="rnd">
              <a:solidFill>
                <a:schemeClr val="accent3"/>
              </a:solidFill>
              <a:round/>
            </a:ln>
            <a:effectLst/>
          </c:spPr>
          <c:marker>
            <c:symbol val="none"/>
          </c:marker>
          <c:cat>
            <c:strRef>
              <c:f>'Revenue Model'!$C$2:$I$2</c:f>
              <c:strCache>
                <c:ptCount val="7"/>
                <c:pt idx="0">
                  <c:v>FY2018</c:v>
                </c:pt>
                <c:pt idx="1">
                  <c:v>FY2019</c:v>
                </c:pt>
                <c:pt idx="2">
                  <c:v>FY2020</c:v>
                </c:pt>
                <c:pt idx="3">
                  <c:v>FY2021</c:v>
                </c:pt>
                <c:pt idx="4">
                  <c:v>FY2022</c:v>
                </c:pt>
                <c:pt idx="5">
                  <c:v>FY2023</c:v>
                </c:pt>
                <c:pt idx="6">
                  <c:v>FY2024</c:v>
                </c:pt>
              </c:strCache>
            </c:strRef>
          </c:cat>
          <c:val>
            <c:numRef>
              <c:f>'Revenue Model'!$C$10:$I$10</c:f>
              <c:numCache>
                <c:formatCode>0.0%</c:formatCode>
                <c:ptCount val="7"/>
                <c:pt idx="0">
                  <c:v>6.0000000000000001E-3</c:v>
                </c:pt>
                <c:pt idx="1">
                  <c:v>7.0000000000000001E-3</c:v>
                </c:pt>
                <c:pt idx="2">
                  <c:v>3.6999999999999998E-2</c:v>
                </c:pt>
                <c:pt idx="3">
                  <c:v>7.3999999999999996E-2</c:v>
                </c:pt>
                <c:pt idx="4">
                  <c:v>0.113</c:v>
                </c:pt>
                <c:pt idx="5">
                  <c:v>1.2E-2</c:v>
                </c:pt>
                <c:pt idx="6">
                  <c:v>1.9E-2</c:v>
                </c:pt>
              </c:numCache>
            </c:numRef>
          </c:val>
          <c:smooth val="0"/>
          <c:extLst>
            <c:ext xmlns:c16="http://schemas.microsoft.com/office/drawing/2014/chart" uri="{C3380CC4-5D6E-409C-BE32-E72D297353CC}">
              <c16:uniqueId val="{00000002-C7D2-0840-877D-F065E0D08F32}"/>
            </c:ext>
          </c:extLst>
        </c:ser>
        <c:ser>
          <c:idx val="3"/>
          <c:order val="3"/>
          <c:tx>
            <c:strRef>
              <c:f>'Revenue Model'!$B$11</c:f>
              <c:strCache>
                <c:ptCount val="1"/>
                <c:pt idx="0">
                  <c:v>Inflation (overall)</c:v>
                </c:pt>
              </c:strCache>
            </c:strRef>
          </c:tx>
          <c:spPr>
            <a:ln w="28575" cap="rnd">
              <a:solidFill>
                <a:schemeClr val="accent4"/>
              </a:solidFill>
              <a:round/>
            </a:ln>
            <a:effectLst/>
          </c:spPr>
          <c:marker>
            <c:symbol val="none"/>
          </c:marker>
          <c:cat>
            <c:strRef>
              <c:f>'Revenue Model'!$C$2:$I$2</c:f>
              <c:strCache>
                <c:ptCount val="7"/>
                <c:pt idx="0">
                  <c:v>FY2018</c:v>
                </c:pt>
                <c:pt idx="1">
                  <c:v>FY2019</c:v>
                </c:pt>
                <c:pt idx="2">
                  <c:v>FY2020</c:v>
                </c:pt>
                <c:pt idx="3">
                  <c:v>FY2021</c:v>
                </c:pt>
                <c:pt idx="4">
                  <c:v>FY2022</c:v>
                </c:pt>
                <c:pt idx="5">
                  <c:v>FY2023</c:v>
                </c:pt>
                <c:pt idx="6">
                  <c:v>FY2024</c:v>
                </c:pt>
              </c:strCache>
            </c:strRef>
          </c:cat>
          <c:val>
            <c:numRef>
              <c:f>'Revenue Model'!$C$11:$I$11</c:f>
              <c:numCache>
                <c:formatCode>0.0%</c:formatCode>
                <c:ptCount val="7"/>
                <c:pt idx="0">
                  <c:v>1.6E-2</c:v>
                </c:pt>
                <c:pt idx="1">
                  <c:v>2.5000000000000001E-2</c:v>
                </c:pt>
                <c:pt idx="2">
                  <c:v>1.4E-2</c:v>
                </c:pt>
                <c:pt idx="3">
                  <c:v>7.4999999999999997E-2</c:v>
                </c:pt>
                <c:pt idx="4">
                  <c:v>6.4000000000000001E-2</c:v>
                </c:pt>
                <c:pt idx="5">
                  <c:v>3.1E-2</c:v>
                </c:pt>
                <c:pt idx="6">
                  <c:v>0.03</c:v>
                </c:pt>
              </c:numCache>
            </c:numRef>
          </c:val>
          <c:smooth val="0"/>
          <c:extLst>
            <c:ext xmlns:c16="http://schemas.microsoft.com/office/drawing/2014/chart" uri="{C3380CC4-5D6E-409C-BE32-E72D297353CC}">
              <c16:uniqueId val="{00000003-C7D2-0840-877D-F065E0D08F32}"/>
            </c:ext>
          </c:extLst>
        </c:ser>
        <c:dLbls>
          <c:showLegendKey val="0"/>
          <c:showVal val="0"/>
          <c:showCatName val="0"/>
          <c:showSerName val="0"/>
          <c:showPercent val="0"/>
          <c:showBubbleSize val="0"/>
        </c:dLbls>
        <c:smooth val="0"/>
        <c:axId val="1462952624"/>
        <c:axId val="1440961456"/>
      </c:lineChart>
      <c:catAx>
        <c:axId val="146295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961456"/>
        <c:crosses val="autoZero"/>
        <c:auto val="1"/>
        <c:lblAlgn val="ctr"/>
        <c:lblOffset val="100"/>
        <c:noMultiLvlLbl val="0"/>
      </c:catAx>
      <c:valAx>
        <c:axId val="144096145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952624"/>
        <c:crosses val="autoZero"/>
        <c:crossBetween val="between"/>
      </c:valAx>
      <c:spPr>
        <a:noFill/>
        <a:ln>
          <a:noFill/>
        </a:ln>
        <a:effectLst/>
      </c:spPr>
    </c:plotArea>
    <c:legend>
      <c:legendPos val="b"/>
      <c:layout>
        <c:manualLayout>
          <c:xMode val="edge"/>
          <c:yMode val="edge"/>
          <c:x val="7.5812426280723003E-2"/>
          <c:y val="0.81877499403483656"/>
          <c:w val="0.66623032421982065"/>
          <c:h val="9.7698401336196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483357</xdr:colOff>
      <xdr:row>2</xdr:row>
      <xdr:rowOff>151642</xdr:rowOff>
    </xdr:from>
    <xdr:to>
      <xdr:col>6</xdr:col>
      <xdr:colOff>2601</xdr:colOff>
      <xdr:row>10</xdr:row>
      <xdr:rowOff>0</xdr:rowOff>
    </xdr:to>
    <xdr:pic>
      <xdr:nvPicPr>
        <xdr:cNvPr id="3" name="Picture 2">
          <a:extLst>
            <a:ext uri="{FF2B5EF4-FFF2-40B4-BE49-F238E27FC236}">
              <a16:creationId xmlns:a16="http://schemas.microsoft.com/office/drawing/2014/main" id="{65275F77-C175-61D4-4B15-402B6C40DB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3805" y="530746"/>
          <a:ext cx="4714681" cy="13647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431800</xdr:colOff>
      <xdr:row>1</xdr:row>
      <xdr:rowOff>0</xdr:rowOff>
    </xdr:from>
    <xdr:to>
      <xdr:col>25</xdr:col>
      <xdr:colOff>857250</xdr:colOff>
      <xdr:row>22</xdr:row>
      <xdr:rowOff>139700</xdr:rowOff>
    </xdr:to>
    <xdr:graphicFrame macro="">
      <xdr:nvGraphicFramePr>
        <xdr:cNvPr id="3" name="Chart 2">
          <a:extLst>
            <a:ext uri="{FF2B5EF4-FFF2-40B4-BE49-F238E27FC236}">
              <a16:creationId xmlns:a16="http://schemas.microsoft.com/office/drawing/2014/main" id="{581C7CE3-E61A-934B-B670-B3DAB5E78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0</xdr:colOff>
      <xdr:row>14</xdr:row>
      <xdr:rowOff>0</xdr:rowOff>
    </xdr:from>
    <xdr:to>
      <xdr:col>21</xdr:col>
      <xdr:colOff>628650</xdr:colOff>
      <xdr:row>34</xdr:row>
      <xdr:rowOff>238125</xdr:rowOff>
    </xdr:to>
    <xdr:pic>
      <xdr:nvPicPr>
        <xdr:cNvPr id="2" name="Picture 1">
          <a:extLst>
            <a:ext uri="{FF2B5EF4-FFF2-40B4-BE49-F238E27FC236}">
              <a16:creationId xmlns:a16="http://schemas.microsoft.com/office/drawing/2014/main" id="{7F1FC82E-90D9-41C3-BD8E-B762EE3BEF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30150" y="2752725"/>
          <a:ext cx="5943600" cy="4267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1003300</xdr:colOff>
      <xdr:row>7</xdr:row>
      <xdr:rowOff>127000</xdr:rowOff>
    </xdr:from>
    <xdr:to>
      <xdr:col>9</xdr:col>
      <xdr:colOff>485053</xdr:colOff>
      <xdr:row>26</xdr:row>
      <xdr:rowOff>177800</xdr:rowOff>
    </xdr:to>
    <xdr:pic>
      <xdr:nvPicPr>
        <xdr:cNvPr id="2" name="Picture 1" descr="3025">
          <a:extLst>
            <a:ext uri="{FF2B5EF4-FFF2-40B4-BE49-F238E27FC236}">
              <a16:creationId xmlns:a16="http://schemas.microsoft.com/office/drawing/2014/main" id="{39122397-EE21-C26C-BE63-A835C15258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08500" y="1549400"/>
          <a:ext cx="6492153" cy="391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990600</xdr:colOff>
      <xdr:row>28</xdr:row>
      <xdr:rowOff>63500</xdr:rowOff>
    </xdr:from>
    <xdr:to>
      <xdr:col>10</xdr:col>
      <xdr:colOff>584200</xdr:colOff>
      <xdr:row>47</xdr:row>
      <xdr:rowOff>156895</xdr:rowOff>
    </xdr:to>
    <xdr:pic>
      <xdr:nvPicPr>
        <xdr:cNvPr id="3" name="Picture 2">
          <a:extLst>
            <a:ext uri="{FF2B5EF4-FFF2-40B4-BE49-F238E27FC236}">
              <a16:creationId xmlns:a16="http://schemas.microsoft.com/office/drawing/2014/main" id="{8A3FAD72-9CD1-E44E-D0FB-F1EE87BE0614}"/>
            </a:ext>
          </a:extLst>
        </xdr:cNvPr>
        <xdr:cNvPicPr>
          <a:picLocks noChangeAspect="1"/>
        </xdr:cNvPicPr>
      </xdr:nvPicPr>
      <xdr:blipFill>
        <a:blip xmlns:r="http://schemas.openxmlformats.org/officeDocument/2006/relationships" r:embed="rId2"/>
        <a:stretch>
          <a:fillRect/>
        </a:stretch>
      </xdr:blipFill>
      <xdr:spPr>
        <a:xfrm>
          <a:off x="4495800" y="5753100"/>
          <a:ext cx="7772400" cy="3954195"/>
        </a:xfrm>
        <a:prstGeom prst="rect">
          <a:avLst/>
        </a:prstGeom>
      </xdr:spPr>
    </xdr:pic>
    <xdr:clientData/>
  </xdr:twoCellAnchor>
  <xdr:twoCellAnchor editAs="oneCell">
    <xdr:from>
      <xdr:col>3</xdr:col>
      <xdr:colOff>990600</xdr:colOff>
      <xdr:row>48</xdr:row>
      <xdr:rowOff>177801</xdr:rowOff>
    </xdr:from>
    <xdr:to>
      <xdr:col>10</xdr:col>
      <xdr:colOff>579978</xdr:colOff>
      <xdr:row>68</xdr:row>
      <xdr:rowOff>127001</xdr:rowOff>
    </xdr:to>
    <xdr:pic>
      <xdr:nvPicPr>
        <xdr:cNvPr id="4" name="Picture 3">
          <a:extLst>
            <a:ext uri="{FF2B5EF4-FFF2-40B4-BE49-F238E27FC236}">
              <a16:creationId xmlns:a16="http://schemas.microsoft.com/office/drawing/2014/main" id="{D0041279-8C95-0DA8-54BC-2A4B2635EE69}"/>
            </a:ext>
          </a:extLst>
        </xdr:cNvPr>
        <xdr:cNvPicPr>
          <a:picLocks noChangeAspect="1"/>
        </xdr:cNvPicPr>
      </xdr:nvPicPr>
      <xdr:blipFill>
        <a:blip xmlns:r="http://schemas.openxmlformats.org/officeDocument/2006/relationships" r:embed="rId3"/>
        <a:stretch>
          <a:fillRect/>
        </a:stretch>
      </xdr:blipFill>
      <xdr:spPr>
        <a:xfrm>
          <a:off x="4495800" y="9931401"/>
          <a:ext cx="7768178" cy="40132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shitiz Udainiya" id="{86004CE3-9E54-1245-9748-9BBD7895BE81}" userId="S::kshitiz@umd.edu::eaca7e6c-588a-40da-a692-4653867bbd50"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14</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BED8CB-337E-A44E-94B1-9F21FCB9E26A}" name="Table1" displayName="Table1" ref="B2:L60" totalsRowShown="0" headerRowDxfId="12" dataDxfId="11">
  <autoFilter ref="B2:L60" xr:uid="{18BED8CB-337E-A44E-94B1-9F21FCB9E26A}"/>
  <sortState xmlns:xlrd2="http://schemas.microsoft.com/office/spreadsheetml/2017/richdata2" ref="B3:L60">
    <sortCondition ref="L2:L60"/>
  </sortState>
  <tableColumns count="11">
    <tableColumn id="1" xr3:uid="{1E794689-5942-5040-94A5-DDF511A464F5}" name="conm_x" dataDxfId="10"/>
    <tableColumn id="2" xr3:uid="{47894BFE-50D6-B64B-A8E2-6A3B2A307E14}" name="value_mean_decile_decile" dataDxfId="9"/>
    <tableColumn id="3" xr3:uid="{64AA14C8-1AEC-BE4A-8811-EC5806E7D06B}" name="growth_mean_decile_decile" dataDxfId="8"/>
    <tableColumn id="4" xr3:uid="{88A99998-F28F-9648-B470-11CD4D176EAC}" name="sentiment_mean_decile_decile" dataDxfId="7"/>
    <tableColumn id="5" xr3:uid="{6F9F46AE-68B5-D540-8B13-17C5E7CCCC18}" name="quality_mean_decile_decile" dataDxfId="6"/>
    <tableColumn id="6" xr3:uid="{B1688579-5D68-A547-B9D4-8A5A0D102553}" name="aggregate_mean_decile" dataDxfId="5" dataCellStyle="Comma"/>
    <tableColumn id="7" xr3:uid="{EA0CBA7D-A251-AC48-A9EA-458594C34EC5}" name="Rank by Value" dataDxfId="4">
      <calculatedColumnFormula>_xlfn.RANK.EQ(C3,C$3:C$60,0)</calculatedColumnFormula>
    </tableColumn>
    <tableColumn id="8" xr3:uid="{DE7F5621-BE67-D94C-AE4A-A8847BBC7A01}" name="Rank by Growth" dataDxfId="3">
      <calculatedColumnFormula>_xlfn.RANK.EQ(D3,D$3:D$60,0)</calculatedColumnFormula>
    </tableColumn>
    <tableColumn id="9" xr3:uid="{C25227E4-2F5F-FB48-BD15-FD4310AB5CA5}" name="Rank by Sentiment" dataDxfId="2">
      <calculatedColumnFormula>_xlfn.RANK.EQ(E3,E$3:E$60,0)</calculatedColumnFormula>
    </tableColumn>
    <tableColumn id="10" xr3:uid="{5CC18920-EE79-204E-86A6-FB9474074C43}" name="Rank by Quality" dataDxfId="1">
      <calculatedColumnFormula>_xlfn.RANK.EQ(F3,F$3:F$60,0)</calculatedColumnFormula>
    </tableColumn>
    <tableColumn id="11" xr3:uid="{D92E6C5D-F65C-7A4F-AE2F-DB7EB3A7A230}" name="Rank by Aggregate" dataDxfId="0">
      <calculatedColumnFormula>_xlfn.RANK.EQ(G3,G$3:G$60,0)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4" dT="2025-04-24T11:54:49.20" personId="{86004CE3-9E54-1245-9748-9BBD7895BE81}" id="{CB72C9FA-8C5C-7347-8194-69E94678DD34}">
    <text>Selling, general and administrative expenses increased $290.9 million, or 15%, compared to 2023 due to the net increase in new stores opened since the prior year and higher payroll and incentive compensation costs. In addition, we experienced the effects of higher credit card and ecommerce fees resulting from an increase in sales compared to the prior year.</text>
  </threadedComment>
  <threadedComment ref="I45" dT="2025-04-20T02:11:04.51" personId="{86004CE3-9E54-1245-9748-9BBD7895BE81}" id="{30BAA35A-7D9E-144D-9077-7F0A6A77D354}">
    <text>Debt was paid off before end of Q2</text>
  </threadedComment>
</ThreadedComments>
</file>

<file path=xl/threadedComments/threadedComment2.xml><?xml version="1.0" encoding="utf-8"?>
<ThreadedComments xmlns="http://schemas.microsoft.com/office/spreadsheetml/2018/threadedcomments" xmlns:x="http://schemas.openxmlformats.org/spreadsheetml/2006/main">
  <threadedComment ref="F10" dT="2025-04-19T20:34:57.94" personId="{86004CE3-9E54-1245-9748-9BBD7895BE81}" id="{B704C64D-03DE-214F-88F5-6062F08A172D}">
    <text xml:space="preserve">Operating lease payments include $ 67.5 million related to periods covered by options to extend lease terms that are reasonably certain of being exercised and exclude $ 504.5 million of legally binding minimum lease payments for leases executed but not yet commenced. We have subtenant agreements under which we will receive $ 1.0 million in 2023, $ 1.0 million in 2024, $ 0.9 million in 2025, $ 0.7 million in 2026, $ 0.6 million in 2027 and $ 0.4 million thereafter.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B87FCA6-3BD1-D445-B1A4-8D1AF1A608AB}">
  <we:reference id="wa200000565" version="1.0.0.78" store="en-US" storeType="OMEX"/>
  <we:alternateReferences>
    <we:reference id="wa200000565" version="1.0.0.78" store="" storeType="OMEX"/>
  </we:alternateReferences>
  <we:properties>
    <we:property name="userSettings_GEDTC-893175" value="&quot;{\&quot;dex2RequestClickThrough\&quot;:true,\&quot;isKeepRICUpperCase\&quot;:false,\&quot;functionSeparator\&quot;:\&quot;;\&quot;,\&quot;instrumentsHeaderSetting\&quot;:{\&quot;isInclude\&quot;:true,\&quot;headerPosition\&quot;:\&quot;Row\&quot;},\&quot;fieldsHeaderSetting\&quot;:{\&quot;isInclude\&quot;:true,\&quot;headerPosition\&quot;:\&quot;Column\&quot;},\&quot;dateHeaderSetting\&quot;:{\&quot;isInclude\&quot;:false,\&quot;headerPosition\&quot;:\&quot;Column\&quot;},\&quot;commonUserFundamentalsType\&quot;:\&quot;PLATFORM_DEFAULT\&quot;,\&quot;pauseMode\&quot;:false}&quot;"/>
    <we:property name="userSettings_GEUS2-90120" value="&quot;{\&quot;dex2RequestClickThrough\&quot;:true,\&quot;isKeepRICUpperCase\&quot;:false,\&quot;functionSeparator\&quot;:\&quot;;\&quot;,\&quot;instrumentsHeaderSetting\&quot;:{\&quot;isInclude\&quot;:true,\&quot;headerPosition\&quot;:\&quot;Row\&quot;},\&quot;fieldsHeaderSetting\&quot;:{\&quot;isInclude\&quot;:true,\&quot;headerPosition\&quot;:\&quot;Column\&quot;},\&quot;dateHeaderSetting\&quot;:{\&quot;isInclude\&quot;:false,\&quot;headerPosition\&quot;:\&quot;Column\&quot;},\&quot;commonUserFundamentalsType\&quot;:\&quot;PLATFORM_DEFAULT\&quot;,\&quot;pauseMode\&quot;:false}&quot;"/>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cnbc.com/quotes/US10Y" TargetMode="External"/><Relationship Id="rId1" Type="http://schemas.openxmlformats.org/officeDocument/2006/relationships/hyperlink" Target="http://www.wsj.com/mdc/public/page/2_3021-peyield.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FD6F-6AB0-2243-AA27-F45F7E047CA2}">
  <dimension ref="A1:Y1001"/>
  <sheetViews>
    <sheetView showGridLines="0" topLeftCell="A2" zoomScaleNormal="100" workbookViewId="0">
      <selection activeCell="F26" sqref="F26"/>
    </sheetView>
  </sheetViews>
  <sheetFormatPr defaultColWidth="10.33203125" defaultRowHeight="15" customHeight="1"/>
  <cols>
    <col min="1" max="1" width="2.6640625" style="154" customWidth="1"/>
    <col min="2" max="2" width="10.6640625" style="154" customWidth="1"/>
    <col min="3" max="4" width="10.33203125" style="154" customWidth="1"/>
    <col min="5" max="16384" width="10.33203125" style="154"/>
  </cols>
  <sheetData>
    <row r="1" spans="1:25" ht="20.100000000000001" customHeight="1">
      <c r="A1" s="186"/>
      <c r="B1" s="186"/>
      <c r="C1" s="186"/>
      <c r="D1" s="186"/>
      <c r="E1" s="186"/>
      <c r="F1" s="186"/>
      <c r="G1" s="186"/>
      <c r="H1" s="186"/>
      <c r="I1" s="186"/>
      <c r="J1" s="186"/>
      <c r="K1" s="186"/>
      <c r="L1" s="186"/>
      <c r="M1" s="186"/>
      <c r="N1" s="186"/>
      <c r="O1" s="186"/>
      <c r="P1" s="186"/>
      <c r="Q1" s="186"/>
      <c r="R1" s="186"/>
      <c r="S1" s="186"/>
      <c r="T1" s="186"/>
      <c r="U1" s="186"/>
      <c r="V1" s="186"/>
      <c r="W1" s="186"/>
      <c r="X1" s="186"/>
      <c r="Y1" s="186"/>
    </row>
    <row r="2" spans="1:25" ht="15" customHeight="1">
      <c r="A2" s="186"/>
      <c r="B2" s="186"/>
      <c r="C2" s="186"/>
      <c r="D2" s="186"/>
      <c r="E2" s="186"/>
      <c r="F2" s="186"/>
      <c r="G2" s="186"/>
      <c r="H2" s="186"/>
      <c r="I2" s="186"/>
      <c r="J2" s="186"/>
      <c r="K2" s="186"/>
      <c r="L2" s="186"/>
      <c r="M2" s="186"/>
      <c r="N2" s="186"/>
      <c r="O2" s="186"/>
      <c r="P2" s="186"/>
      <c r="Q2" s="186"/>
      <c r="R2" s="186"/>
      <c r="S2" s="186"/>
      <c r="T2" s="186"/>
      <c r="U2" s="186"/>
      <c r="V2" s="186"/>
      <c r="W2" s="186"/>
      <c r="X2" s="186"/>
      <c r="Y2" s="186"/>
    </row>
    <row r="3" spans="1:25" ht="15" customHeight="1">
      <c r="A3" s="186"/>
      <c r="B3" s="186"/>
      <c r="C3" s="186"/>
      <c r="D3" s="186"/>
      <c r="E3" s="186"/>
      <c r="F3" s="186"/>
      <c r="G3" s="186"/>
      <c r="H3" s="186"/>
      <c r="I3" s="186"/>
      <c r="J3" s="186"/>
      <c r="K3" s="186"/>
      <c r="L3" s="186"/>
      <c r="M3" s="186"/>
      <c r="N3" s="186"/>
      <c r="O3" s="186"/>
      <c r="P3" s="186"/>
      <c r="Q3" s="186"/>
      <c r="R3" s="186"/>
      <c r="S3" s="186"/>
      <c r="T3" s="186"/>
      <c r="U3" s="186"/>
      <c r="V3" s="186"/>
      <c r="W3" s="186"/>
      <c r="X3" s="186"/>
      <c r="Y3" s="186"/>
    </row>
    <row r="4" spans="1:25" ht="15" customHeight="1">
      <c r="A4" s="186"/>
      <c r="B4" s="186"/>
      <c r="C4" s="186"/>
      <c r="D4" s="186"/>
      <c r="E4" s="186"/>
      <c r="F4" s="186"/>
      <c r="G4" s="186"/>
      <c r="H4" s="186"/>
      <c r="I4" s="186"/>
      <c r="J4" s="186"/>
      <c r="K4" s="186"/>
      <c r="L4" s="186"/>
      <c r="M4" s="186"/>
      <c r="N4" s="186"/>
      <c r="O4" s="186"/>
      <c r="P4" s="186"/>
      <c r="Q4" s="186"/>
      <c r="R4" s="186"/>
      <c r="S4" s="186"/>
      <c r="T4" s="186"/>
      <c r="U4" s="186"/>
      <c r="V4" s="186"/>
      <c r="W4" s="186"/>
      <c r="X4" s="186"/>
      <c r="Y4" s="186"/>
    </row>
    <row r="5" spans="1:25" ht="15" customHeight="1">
      <c r="A5" s="186"/>
      <c r="B5" s="186"/>
      <c r="C5" s="186"/>
      <c r="D5" s="186"/>
      <c r="E5" s="186"/>
      <c r="F5" s="186"/>
      <c r="G5" s="186"/>
      <c r="H5" s="186"/>
      <c r="I5" s="186"/>
      <c r="J5" s="186"/>
      <c r="K5" s="186"/>
      <c r="L5" s="186"/>
      <c r="M5" s="186"/>
      <c r="N5" s="186"/>
      <c r="O5" s="186"/>
      <c r="P5" s="186"/>
      <c r="Q5" s="186"/>
      <c r="R5" s="186"/>
      <c r="S5" s="186"/>
      <c r="T5" s="186"/>
      <c r="U5" s="186"/>
      <c r="V5" s="186"/>
      <c r="W5" s="186"/>
      <c r="X5" s="186"/>
      <c r="Y5" s="186"/>
    </row>
    <row r="6" spans="1:25" ht="15" customHeight="1">
      <c r="A6" s="186"/>
      <c r="B6" s="186"/>
      <c r="C6" s="186"/>
      <c r="D6" s="186"/>
      <c r="E6" s="186"/>
      <c r="F6" s="186"/>
      <c r="G6" s="186"/>
      <c r="H6" s="186"/>
      <c r="I6" s="186"/>
      <c r="J6" s="186"/>
      <c r="K6" s="186"/>
      <c r="L6" s="186"/>
      <c r="M6" s="186"/>
      <c r="N6" s="186"/>
      <c r="O6" s="186"/>
      <c r="P6" s="186"/>
      <c r="Q6" s="186"/>
      <c r="R6" s="186"/>
      <c r="S6" s="186"/>
      <c r="T6" s="186"/>
      <c r="U6" s="186"/>
      <c r="V6" s="186"/>
      <c r="W6" s="186"/>
      <c r="X6" s="186"/>
      <c r="Y6" s="186"/>
    </row>
    <row r="7" spans="1:25" ht="15" customHeight="1">
      <c r="A7" s="186"/>
      <c r="B7" s="186"/>
      <c r="C7" s="186"/>
      <c r="D7" s="186"/>
      <c r="E7" s="186"/>
      <c r="F7" s="186"/>
      <c r="G7" s="186"/>
      <c r="H7" s="322"/>
      <c r="I7" s="186"/>
      <c r="J7" s="186"/>
      <c r="K7" s="186"/>
      <c r="L7" s="186"/>
      <c r="M7" s="186"/>
      <c r="N7" s="186"/>
      <c r="O7" s="186"/>
      <c r="P7" s="186"/>
      <c r="Q7" s="186"/>
      <c r="R7" s="186"/>
      <c r="S7" s="186"/>
      <c r="T7" s="186"/>
      <c r="U7" s="186"/>
      <c r="V7" s="186"/>
      <c r="W7" s="186"/>
      <c r="X7" s="186"/>
      <c r="Y7" s="186"/>
    </row>
    <row r="8" spans="1:25" ht="15" customHeight="1">
      <c r="A8" s="186"/>
      <c r="B8" s="186"/>
      <c r="C8" s="186"/>
      <c r="D8" s="186"/>
      <c r="E8" s="186"/>
      <c r="F8" s="186"/>
      <c r="G8" s="186"/>
      <c r="H8" s="186"/>
      <c r="I8" s="186"/>
      <c r="J8" s="186"/>
      <c r="K8" s="186"/>
      <c r="L8" s="186"/>
      <c r="M8" s="186"/>
      <c r="N8" s="186"/>
      <c r="O8" s="186"/>
      <c r="P8" s="186"/>
      <c r="Q8" s="186"/>
      <c r="R8" s="186"/>
      <c r="S8" s="186"/>
      <c r="T8" s="186"/>
      <c r="U8" s="186"/>
      <c r="V8" s="186"/>
      <c r="W8" s="186"/>
      <c r="X8" s="186"/>
      <c r="Y8" s="186"/>
    </row>
    <row r="9" spans="1:25" ht="15" customHeight="1">
      <c r="A9" s="186"/>
      <c r="B9" s="186"/>
      <c r="C9" s="186"/>
      <c r="D9" s="186"/>
      <c r="E9" s="186"/>
      <c r="F9" s="186"/>
      <c r="G9" s="186"/>
      <c r="H9" s="186"/>
      <c r="I9" s="186"/>
      <c r="J9" s="186"/>
      <c r="K9" s="186"/>
      <c r="L9" s="186"/>
      <c r="M9" s="186"/>
      <c r="N9" s="186"/>
      <c r="O9" s="186"/>
      <c r="P9" s="186"/>
      <c r="Q9" s="186"/>
      <c r="R9" s="186"/>
      <c r="S9" s="186"/>
      <c r="T9" s="186"/>
      <c r="U9" s="186"/>
      <c r="V9" s="186"/>
      <c r="W9" s="186"/>
      <c r="X9" s="186"/>
      <c r="Y9" s="186"/>
    </row>
    <row r="10" spans="1:25" ht="15" customHeight="1">
      <c r="A10" s="186"/>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row>
    <row r="11" spans="1:25" ht="15" customHeight="1">
      <c r="A11" s="186"/>
      <c r="B11" s="186"/>
      <c r="C11" s="186"/>
      <c r="D11" s="186"/>
      <c r="E11" s="186"/>
      <c r="F11" s="186"/>
      <c r="G11" s="186"/>
      <c r="H11" s="186"/>
      <c r="I11" s="186"/>
      <c r="J11" s="186"/>
      <c r="K11" s="186"/>
      <c r="L11" s="186"/>
      <c r="M11" s="186"/>
      <c r="N11" s="186"/>
      <c r="O11" s="186"/>
      <c r="P11" s="186"/>
      <c r="Q11" s="186"/>
      <c r="R11" s="186"/>
      <c r="S11" s="186"/>
      <c r="T11" s="186"/>
      <c r="U11" s="186"/>
      <c r="V11" s="186"/>
      <c r="W11" s="186"/>
      <c r="X11" s="186"/>
      <c r="Y11" s="186"/>
    </row>
    <row r="12" spans="1:25" ht="15" customHeight="1">
      <c r="A12" s="186"/>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row>
    <row r="13" spans="1:25" ht="15" customHeight="1">
      <c r="A13" s="186"/>
      <c r="B13" s="186"/>
      <c r="C13" s="186"/>
      <c r="D13" s="186"/>
      <c r="E13" s="186"/>
      <c r="F13" s="186"/>
      <c r="G13" s="186"/>
      <c r="H13" s="186" t="s">
        <v>0</v>
      </c>
      <c r="I13" s="186"/>
      <c r="J13" s="186"/>
      <c r="K13" s="186"/>
      <c r="L13" s="186" t="s">
        <v>1</v>
      </c>
      <c r="M13" s="186"/>
      <c r="N13" s="186"/>
      <c r="O13" s="186"/>
      <c r="S13" s="186"/>
      <c r="T13" s="186"/>
      <c r="U13" s="186"/>
      <c r="V13" s="186"/>
      <c r="W13" s="186"/>
      <c r="X13" s="186"/>
      <c r="Y13" s="186"/>
    </row>
    <row r="14" spans="1:25" ht="15" customHeight="1" thickBot="1">
      <c r="A14" s="186"/>
      <c r="B14" s="186"/>
      <c r="C14" s="186"/>
      <c r="D14" s="186"/>
      <c r="E14" s="186"/>
      <c r="F14" s="186"/>
      <c r="G14" s="186"/>
      <c r="H14" s="186"/>
      <c r="I14" s="186"/>
      <c r="J14" s="186"/>
      <c r="K14" s="186"/>
      <c r="L14" s="186"/>
      <c r="M14" s="186"/>
      <c r="N14" s="186"/>
      <c r="O14" s="186"/>
      <c r="S14" s="186"/>
      <c r="T14" s="186"/>
      <c r="U14" s="186"/>
      <c r="V14" s="186"/>
      <c r="W14" s="186"/>
      <c r="X14" s="186"/>
      <c r="Y14" s="186"/>
    </row>
    <row r="15" spans="1:25" ht="15" customHeight="1">
      <c r="A15" s="186"/>
      <c r="B15" s="186"/>
      <c r="C15" s="386" t="s">
        <v>2</v>
      </c>
      <c r="D15" s="742"/>
      <c r="E15" s="387" t="str" cm="1">
        <f t="array" aca="1" ref="E15" ca="1">IFERROR(_xll.RDP.Data("SFM.OQ","TR.PriceClose","Curn=#1",,"USD"),"")</f>
        <v/>
      </c>
      <c r="F15" s="186"/>
      <c r="G15" s="186"/>
      <c r="H15" s="758" t="s">
        <v>3</v>
      </c>
      <c r="I15" s="759"/>
      <c r="J15" s="760"/>
      <c r="K15" s="186"/>
      <c r="L15" s="758" t="s">
        <v>4</v>
      </c>
      <c r="M15" s="759"/>
      <c r="N15" s="760"/>
      <c r="O15" s="186"/>
      <c r="S15" s="186"/>
      <c r="T15" s="186"/>
      <c r="U15" s="186"/>
      <c r="V15" s="186"/>
      <c r="W15" s="186"/>
      <c r="X15" s="186"/>
      <c r="Y15" s="186"/>
    </row>
    <row r="16" spans="1:25" ht="15" customHeight="1">
      <c r="A16" s="186"/>
      <c r="B16" s="186"/>
      <c r="C16" s="388" t="s">
        <v>5</v>
      </c>
      <c r="D16" s="743"/>
      <c r="E16" s="389">
        <v>169.76</v>
      </c>
      <c r="F16" s="186"/>
      <c r="G16" s="186"/>
      <c r="H16" s="428" t="s">
        <v>6</v>
      </c>
      <c r="I16" s="721">
        <v>2</v>
      </c>
      <c r="J16" s="282" t="s">
        <v>7</v>
      </c>
      <c r="K16" s="186"/>
      <c r="L16" s="428" t="s">
        <v>6</v>
      </c>
      <c r="M16" s="721">
        <v>2</v>
      </c>
      <c r="N16" s="282" t="s">
        <v>7</v>
      </c>
      <c r="O16" s="186"/>
      <c r="S16" s="186"/>
      <c r="T16" s="186"/>
      <c r="U16" s="186"/>
      <c r="V16" s="186"/>
      <c r="W16" s="186"/>
      <c r="X16" s="186"/>
      <c r="Y16" s="186"/>
    </row>
    <row r="17" spans="1:25" ht="15" customHeight="1">
      <c r="A17" s="186"/>
      <c r="B17" s="186"/>
      <c r="C17" s="722" t="s">
        <v>8</v>
      </c>
      <c r="D17" s="744"/>
      <c r="E17" s="723">
        <f ca="1">DCF!D9</f>
        <v>163.68279039614009</v>
      </c>
      <c r="F17" s="186"/>
      <c r="G17" s="186"/>
      <c r="H17" s="428" t="s">
        <v>9</v>
      </c>
      <c r="I17" s="641"/>
      <c r="J17" s="282" t="s">
        <v>10</v>
      </c>
      <c r="K17" s="186"/>
      <c r="L17" s="428" t="s">
        <v>9</v>
      </c>
      <c r="M17" s="641"/>
      <c r="N17" s="282" t="s">
        <v>10</v>
      </c>
      <c r="O17" s="186"/>
      <c r="S17" s="186"/>
      <c r="T17" s="186"/>
      <c r="U17" s="186"/>
      <c r="V17" s="186"/>
      <c r="W17" s="186"/>
      <c r="X17" s="186"/>
      <c r="Y17" s="186"/>
    </row>
    <row r="18" spans="1:25" ht="15" customHeight="1" thickBot="1">
      <c r="A18" s="186"/>
      <c r="B18" s="186"/>
      <c r="C18" s="724" t="s">
        <v>11</v>
      </c>
      <c r="D18" s="745"/>
      <c r="E18" s="725">
        <f ca="1">DCF!D10</f>
        <v>175.66053686956627</v>
      </c>
      <c r="F18" s="186"/>
      <c r="G18" s="186"/>
      <c r="H18" s="468" t="s">
        <v>9</v>
      </c>
      <c r="I18" s="642" t="s">
        <v>9</v>
      </c>
      <c r="J18" s="541" t="s">
        <v>12</v>
      </c>
      <c r="K18" s="186"/>
      <c r="L18" s="468" t="s">
        <v>9</v>
      </c>
      <c r="M18" s="642" t="s">
        <v>9</v>
      </c>
      <c r="N18" s="541" t="s">
        <v>12</v>
      </c>
      <c r="O18" s="186"/>
      <c r="S18" s="186"/>
      <c r="T18" s="186"/>
      <c r="U18" s="186"/>
      <c r="V18" s="186"/>
      <c r="W18" s="186"/>
      <c r="X18" s="186"/>
      <c r="Y18" s="186"/>
    </row>
    <row r="19" spans="1:25" ht="15" customHeight="1" thickBot="1">
      <c r="A19" s="186"/>
      <c r="B19" s="186"/>
      <c r="C19" s="726" t="s">
        <v>13</v>
      </c>
      <c r="D19" s="746"/>
      <c r="E19" s="727">
        <f ca="1">DCF!K9</f>
        <v>-3.5798831313972101E-2</v>
      </c>
      <c r="F19" s="643"/>
      <c r="G19" s="186"/>
      <c r="H19" s="186"/>
      <c r="I19" s="186"/>
      <c r="J19" s="186"/>
      <c r="K19" s="186"/>
      <c r="L19" s="186"/>
      <c r="M19" s="186"/>
      <c r="N19" s="186"/>
      <c r="O19" s="186"/>
      <c r="P19" s="186"/>
      <c r="Q19" s="186"/>
      <c r="R19" s="186"/>
      <c r="S19" s="186"/>
      <c r="T19" s="186"/>
      <c r="U19" s="186"/>
      <c r="V19" s="186"/>
      <c r="W19" s="186"/>
      <c r="X19" s="186"/>
      <c r="Y19" s="186"/>
    </row>
    <row r="20" spans="1:25" ht="15" customHeight="1">
      <c r="A20" s="186"/>
      <c r="B20" s="186"/>
      <c r="C20" s="728" t="s">
        <v>14</v>
      </c>
      <c r="D20" s="747"/>
      <c r="E20" s="729">
        <f ca="1">DCF!K10</f>
        <v>3.4758110683118959E-2</v>
      </c>
      <c r="F20" s="186"/>
      <c r="G20" s="186"/>
      <c r="H20" s="758" t="s">
        <v>15</v>
      </c>
      <c r="I20" s="759"/>
      <c r="J20" s="760"/>
      <c r="K20" s="186"/>
      <c r="L20" s="758" t="s">
        <v>16</v>
      </c>
      <c r="M20" s="759"/>
      <c r="N20" s="760"/>
      <c r="O20" s="186"/>
      <c r="P20" s="186"/>
      <c r="Q20" s="186"/>
      <c r="R20" s="186"/>
      <c r="S20" s="186"/>
      <c r="T20" s="186"/>
      <c r="U20" s="186"/>
      <c r="V20" s="186"/>
      <c r="W20" s="186"/>
      <c r="X20" s="186"/>
      <c r="Y20" s="186"/>
    </row>
    <row r="21" spans="1:25" ht="15" customHeight="1">
      <c r="A21" s="186"/>
      <c r="B21" s="186"/>
      <c r="C21" s="181" t="s">
        <v>17</v>
      </c>
      <c r="D21" s="186"/>
      <c r="E21" s="390">
        <v>0</v>
      </c>
      <c r="F21" s="186"/>
      <c r="G21" s="186"/>
      <c r="H21" s="428" t="s">
        <v>6</v>
      </c>
      <c r="I21" s="721">
        <v>2</v>
      </c>
      <c r="J21" s="282" t="s">
        <v>7</v>
      </c>
      <c r="K21" s="186"/>
      <c r="L21" s="428" t="s">
        <v>6</v>
      </c>
      <c r="M21" s="721">
        <v>2</v>
      </c>
      <c r="N21" s="282" t="s">
        <v>7</v>
      </c>
      <c r="O21" s="186"/>
      <c r="P21" s="186"/>
      <c r="Q21" s="186"/>
      <c r="R21" s="186"/>
      <c r="S21" s="186"/>
      <c r="T21" s="186"/>
      <c r="U21" s="186"/>
      <c r="V21" s="186"/>
      <c r="W21" s="186"/>
      <c r="X21" s="186"/>
      <c r="Y21" s="186"/>
    </row>
    <row r="22" spans="1:25" ht="15" customHeight="1" thickBot="1">
      <c r="A22" s="186"/>
      <c r="B22" s="186"/>
      <c r="C22" s="185" t="s">
        <v>18</v>
      </c>
      <c r="D22" s="748"/>
      <c r="E22" s="391">
        <f ca="1">E21+E20</f>
        <v>3.4758110683118959E-2</v>
      </c>
      <c r="F22" s="186"/>
      <c r="G22" s="186"/>
      <c r="H22" s="428" t="s">
        <v>9</v>
      </c>
      <c r="I22" s="641"/>
      <c r="J22" s="282" t="s">
        <v>10</v>
      </c>
      <c r="K22" s="186"/>
      <c r="L22" s="428" t="s">
        <v>9</v>
      </c>
      <c r="M22" s="641"/>
      <c r="N22" s="282" t="s">
        <v>10</v>
      </c>
      <c r="O22" s="186"/>
      <c r="P22" s="186"/>
      <c r="Q22" s="186"/>
      <c r="R22" s="186"/>
      <c r="S22" s="186"/>
      <c r="T22" s="186"/>
      <c r="U22" s="186"/>
      <c r="V22" s="186"/>
      <c r="W22" s="186"/>
      <c r="X22" s="186"/>
      <c r="Y22" s="186"/>
    </row>
    <row r="23" spans="1:25" ht="15" customHeight="1" thickBot="1">
      <c r="A23" s="186"/>
      <c r="B23" s="186"/>
      <c r="C23" s="730" t="s">
        <v>19</v>
      </c>
      <c r="D23" s="749"/>
      <c r="E23" s="731" t="str">
        <f ca="1">IF(E22&gt;=DCF!D4,"BUY!","HOLD")</f>
        <v>HOLD</v>
      </c>
      <c r="F23" s="186"/>
      <c r="G23" s="186"/>
      <c r="H23" s="468" t="s">
        <v>9</v>
      </c>
      <c r="I23" s="642" t="s">
        <v>9</v>
      </c>
      <c r="J23" s="541" t="s">
        <v>12</v>
      </c>
      <c r="K23" s="186"/>
      <c r="L23" s="468" t="s">
        <v>9</v>
      </c>
      <c r="M23" s="642" t="s">
        <v>9</v>
      </c>
      <c r="N23" s="541" t="s">
        <v>12</v>
      </c>
      <c r="O23" s="186"/>
      <c r="P23" s="186"/>
      <c r="Q23" s="186"/>
      <c r="R23" s="186"/>
      <c r="S23" s="186"/>
      <c r="T23" s="186"/>
      <c r="U23" s="186"/>
      <c r="V23" s="186"/>
      <c r="W23" s="186"/>
      <c r="X23" s="186"/>
      <c r="Y23" s="186"/>
    </row>
    <row r="24" spans="1:25" ht="15" customHeight="1">
      <c r="A24" s="186"/>
      <c r="B24" s="186"/>
      <c r="F24" s="186"/>
      <c r="G24" s="186"/>
      <c r="H24" s="186"/>
      <c r="I24" s="186"/>
      <c r="J24" s="186"/>
      <c r="K24" s="186"/>
      <c r="L24" s="186"/>
      <c r="M24" s="186"/>
      <c r="N24" s="186"/>
      <c r="O24" s="186"/>
      <c r="P24" s="186"/>
      <c r="Q24" s="186"/>
      <c r="R24" s="186"/>
      <c r="S24" s="186"/>
      <c r="T24" s="186"/>
      <c r="U24" s="186"/>
      <c r="V24" s="186"/>
      <c r="W24" s="186"/>
      <c r="X24" s="186"/>
      <c r="Y24" s="186"/>
    </row>
    <row r="25" spans="1:25" ht="15" customHeight="1">
      <c r="A25" s="186"/>
      <c r="B25" s="186"/>
      <c r="C25" s="186"/>
      <c r="D25" s="186"/>
      <c r="E25" s="186"/>
      <c r="F25" s="186"/>
      <c r="G25" s="186"/>
      <c r="H25" s="186" t="s">
        <v>20</v>
      </c>
      <c r="I25" s="186"/>
      <c r="J25" s="186"/>
      <c r="K25" s="186"/>
      <c r="L25" s="186"/>
      <c r="M25" s="186"/>
      <c r="N25" s="186"/>
      <c r="O25" s="186"/>
      <c r="P25" s="186"/>
      <c r="Q25" s="186"/>
      <c r="R25" s="186"/>
      <c r="S25" s="186"/>
      <c r="T25" s="186"/>
      <c r="U25" s="186"/>
      <c r="V25" s="186"/>
      <c r="W25" s="186"/>
      <c r="X25" s="186"/>
      <c r="Y25" s="186"/>
    </row>
    <row r="26" spans="1:25" ht="15" customHeight="1" thickBot="1">
      <c r="A26" s="186"/>
      <c r="B26" s="186"/>
      <c r="C26" s="186"/>
      <c r="D26" s="186"/>
      <c r="E26" s="186"/>
      <c r="F26" s="186"/>
      <c r="G26" s="186"/>
      <c r="H26" s="186"/>
      <c r="I26" s="186"/>
      <c r="J26" s="186"/>
      <c r="L26" s="186"/>
      <c r="M26" s="186"/>
      <c r="N26" s="186"/>
      <c r="O26" s="186"/>
      <c r="P26" s="186"/>
      <c r="Q26" s="186"/>
      <c r="R26" s="186"/>
      <c r="S26" s="186"/>
      <c r="T26" s="186"/>
      <c r="U26" s="186"/>
      <c r="V26" s="186"/>
      <c r="W26" s="186"/>
      <c r="X26" s="186"/>
      <c r="Y26" s="186"/>
    </row>
    <row r="27" spans="1:25" ht="15" customHeight="1">
      <c r="A27" s="186"/>
      <c r="B27" s="186"/>
      <c r="C27" s="186"/>
      <c r="D27" s="186"/>
      <c r="E27" s="740"/>
      <c r="F27" s="186"/>
      <c r="G27" s="186"/>
      <c r="H27" s="758" t="s">
        <v>21</v>
      </c>
      <c r="I27" s="759"/>
      <c r="J27" s="760"/>
      <c r="M27" s="186"/>
      <c r="N27" s="186"/>
      <c r="O27" s="186"/>
      <c r="P27" s="186"/>
      <c r="Q27" s="186"/>
      <c r="R27" s="186"/>
      <c r="S27" s="186"/>
      <c r="T27" s="186"/>
      <c r="U27" s="186"/>
      <c r="V27" s="186"/>
      <c r="W27" s="186"/>
      <c r="X27" s="186"/>
      <c r="Y27" s="186"/>
    </row>
    <row r="28" spans="1:25" ht="15" customHeight="1">
      <c r="A28" s="186"/>
      <c r="B28" s="186"/>
      <c r="C28" s="186"/>
      <c r="D28" s="186"/>
      <c r="E28" s="741"/>
      <c r="F28" s="186"/>
      <c r="G28" s="186"/>
      <c r="H28" s="428" t="s">
        <v>6</v>
      </c>
      <c r="I28" s="721">
        <v>1</v>
      </c>
      <c r="J28" s="282" t="s">
        <v>7</v>
      </c>
      <c r="M28" s="186"/>
      <c r="N28" s="186"/>
      <c r="O28" s="186"/>
      <c r="P28" s="186"/>
      <c r="Q28" s="186"/>
      <c r="R28" s="186"/>
      <c r="S28" s="186"/>
      <c r="T28" s="186"/>
      <c r="U28" s="186"/>
      <c r="V28" s="186"/>
      <c r="W28" s="186"/>
      <c r="X28" s="186"/>
      <c r="Y28" s="186"/>
    </row>
    <row r="29" spans="1:25" ht="15" customHeight="1">
      <c r="A29" s="186"/>
      <c r="B29" s="186"/>
      <c r="C29" s="186"/>
      <c r="D29" s="186"/>
      <c r="E29" s="740"/>
      <c r="F29" s="186"/>
      <c r="G29" s="186"/>
      <c r="H29" s="428" t="s">
        <v>9</v>
      </c>
      <c r="I29" s="641"/>
      <c r="J29" s="282" t="s">
        <v>10</v>
      </c>
      <c r="M29" s="186"/>
      <c r="N29" s="186"/>
      <c r="O29" s="186"/>
      <c r="P29" s="186"/>
      <c r="Q29" s="186"/>
      <c r="R29" s="186"/>
      <c r="S29" s="186"/>
      <c r="T29" s="186"/>
      <c r="U29" s="186"/>
      <c r="V29" s="186"/>
      <c r="W29" s="186"/>
      <c r="X29" s="186"/>
      <c r="Y29" s="186"/>
    </row>
    <row r="30" spans="1:25" ht="15" customHeight="1" thickBot="1">
      <c r="A30" s="186"/>
      <c r="B30" s="186"/>
      <c r="C30" s="186"/>
      <c r="D30" s="186"/>
      <c r="E30" s="740"/>
      <c r="F30" s="186"/>
      <c r="G30" s="186"/>
      <c r="H30" s="468" t="s">
        <v>9</v>
      </c>
      <c r="I30" s="642" t="s">
        <v>9</v>
      </c>
      <c r="J30" s="541" t="s">
        <v>12</v>
      </c>
      <c r="M30" s="186"/>
      <c r="N30" s="186"/>
      <c r="O30" s="186"/>
      <c r="P30" s="186"/>
      <c r="Q30" s="186"/>
      <c r="R30" s="186"/>
      <c r="S30" s="186"/>
      <c r="T30" s="186"/>
      <c r="U30" s="186"/>
      <c r="V30" s="186"/>
      <c r="W30" s="186"/>
      <c r="X30" s="186"/>
      <c r="Y30" s="186"/>
    </row>
    <row r="31" spans="1:25" ht="15" customHeight="1">
      <c r="A31" s="186"/>
      <c r="B31" s="186"/>
      <c r="C31" s="186"/>
      <c r="D31" s="186"/>
      <c r="E31" s="739"/>
      <c r="F31" s="186"/>
      <c r="G31" s="186"/>
      <c r="H31" s="186"/>
      <c r="M31" s="186"/>
      <c r="N31" s="186"/>
      <c r="O31" s="186"/>
      <c r="P31" s="186"/>
      <c r="Q31" s="186"/>
      <c r="R31" s="186"/>
      <c r="S31" s="186"/>
      <c r="T31" s="186"/>
      <c r="U31" s="186"/>
      <c r="V31" s="186"/>
      <c r="W31" s="186"/>
      <c r="X31" s="186"/>
      <c r="Y31" s="186"/>
    </row>
    <row r="32" spans="1:25" ht="15" customHeight="1">
      <c r="A32" s="186"/>
      <c r="B32" s="186"/>
      <c r="C32" s="186"/>
      <c r="D32" s="186"/>
      <c r="E32" s="186"/>
      <c r="F32" s="186"/>
      <c r="G32" s="186"/>
      <c r="H32" s="186"/>
      <c r="I32" s="186"/>
      <c r="M32" s="186"/>
      <c r="N32" s="186"/>
      <c r="O32" s="186"/>
      <c r="P32" s="186"/>
      <c r="Q32" s="186"/>
      <c r="R32" s="186"/>
      <c r="S32" s="186"/>
      <c r="T32" s="186"/>
      <c r="U32" s="186"/>
      <c r="V32" s="186"/>
      <c r="W32" s="186"/>
      <c r="X32" s="186"/>
      <c r="Y32" s="186"/>
    </row>
    <row r="33" spans="1:25" ht="15" customHeight="1">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row>
    <row r="34" spans="1:25" ht="15" customHeight="1">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row>
    <row r="35" spans="1:25" ht="15" customHeight="1">
      <c r="A35" s="186"/>
      <c r="B35" s="186"/>
      <c r="C35" s="186"/>
      <c r="D35" s="186"/>
      <c r="E35" s="186"/>
      <c r="F35" s="186"/>
      <c r="G35" s="720"/>
      <c r="H35" s="186"/>
      <c r="I35" s="186"/>
      <c r="J35" s="186"/>
      <c r="K35" s="186"/>
      <c r="L35" s="186"/>
      <c r="M35" s="186"/>
      <c r="N35" s="186"/>
      <c r="O35" s="186"/>
      <c r="P35" s="186"/>
      <c r="Q35" s="186"/>
      <c r="R35" s="186"/>
      <c r="S35" s="186"/>
      <c r="T35" s="186"/>
      <c r="U35" s="186"/>
      <c r="V35" s="186"/>
      <c r="W35" s="186"/>
      <c r="X35" s="186"/>
      <c r="Y35" s="186"/>
    </row>
    <row r="36" spans="1:25" ht="15" customHeight="1">
      <c r="A36" s="186"/>
      <c r="B36" s="186"/>
      <c r="C36" s="186"/>
      <c r="D36" s="186"/>
      <c r="E36" s="186"/>
      <c r="F36" s="186"/>
      <c r="G36" s="186"/>
      <c r="H36" s="186"/>
      <c r="I36" s="186"/>
      <c r="J36" s="186"/>
      <c r="K36" s="186"/>
      <c r="L36" s="186"/>
      <c r="M36" s="186"/>
      <c r="N36" s="186"/>
      <c r="O36" s="321"/>
      <c r="P36" s="186"/>
      <c r="Q36" s="186"/>
      <c r="R36" s="186"/>
      <c r="S36" s="186"/>
      <c r="T36" s="186"/>
      <c r="U36" s="186"/>
      <c r="V36" s="186"/>
      <c r="W36" s="186"/>
      <c r="X36" s="186"/>
      <c r="Y36" s="186"/>
    </row>
    <row r="37" spans="1:25" ht="15" customHeight="1">
      <c r="A37" s="186"/>
      <c r="B37" s="186"/>
      <c r="C37" s="186"/>
      <c r="D37" s="186"/>
      <c r="E37" s="186"/>
      <c r="F37" s="186"/>
      <c r="G37" s="186"/>
      <c r="H37" s="186"/>
      <c r="I37" s="186"/>
      <c r="M37" s="186"/>
      <c r="N37" s="186"/>
      <c r="O37" s="321"/>
      <c r="P37" s="186"/>
      <c r="Q37" s="186"/>
      <c r="R37" s="186"/>
      <c r="S37" s="186"/>
      <c r="T37" s="186"/>
      <c r="U37" s="186"/>
      <c r="V37" s="186"/>
      <c r="W37" s="186"/>
      <c r="X37" s="186"/>
      <c r="Y37" s="186"/>
    </row>
    <row r="38" spans="1:25" ht="15" customHeight="1">
      <c r="A38" s="186"/>
      <c r="B38" s="186"/>
      <c r="C38" s="186"/>
      <c r="D38" s="186"/>
      <c r="E38" s="186"/>
      <c r="F38" s="186"/>
      <c r="G38" s="186"/>
      <c r="H38" s="186"/>
      <c r="I38" s="186"/>
      <c r="M38" s="186"/>
      <c r="N38" s="186"/>
      <c r="O38" s="186"/>
      <c r="P38" s="186"/>
      <c r="Q38" s="186"/>
      <c r="R38" s="186"/>
      <c r="S38" s="186"/>
      <c r="T38" s="186"/>
      <c r="U38" s="186"/>
      <c r="V38" s="186"/>
      <c r="W38" s="186"/>
      <c r="X38" s="186"/>
      <c r="Y38" s="186"/>
    </row>
    <row r="39" spans="1:25" ht="15" customHeight="1">
      <c r="A39" s="186"/>
      <c r="B39" s="186"/>
      <c r="C39" s="186"/>
      <c r="D39" s="186"/>
      <c r="E39" s="186"/>
      <c r="F39" s="186"/>
      <c r="G39" s="186"/>
      <c r="H39" s="186"/>
      <c r="I39" s="186"/>
      <c r="M39" s="186"/>
      <c r="N39" s="186"/>
      <c r="O39" s="186"/>
      <c r="P39" s="186"/>
      <c r="Q39" s="186"/>
      <c r="R39" s="186"/>
      <c r="S39" s="186"/>
      <c r="T39" s="186"/>
      <c r="U39" s="186"/>
      <c r="V39" s="186"/>
      <c r="W39" s="186"/>
      <c r="X39" s="186"/>
      <c r="Y39" s="186"/>
    </row>
    <row r="40" spans="1:25" ht="15" customHeight="1">
      <c r="A40" s="186"/>
      <c r="B40" s="186"/>
      <c r="C40" s="186"/>
      <c r="D40" s="186"/>
      <c r="E40" s="186"/>
      <c r="F40" s="186"/>
      <c r="G40" s="186"/>
      <c r="H40" s="186"/>
      <c r="I40" s="186"/>
      <c r="M40" s="186"/>
      <c r="N40" s="186"/>
      <c r="O40" s="186"/>
      <c r="P40" s="186"/>
      <c r="Q40" s="186"/>
      <c r="R40" s="186"/>
      <c r="S40" s="186"/>
      <c r="T40" s="186"/>
      <c r="U40" s="186"/>
      <c r="V40" s="186"/>
      <c r="W40" s="186"/>
      <c r="X40" s="186"/>
      <c r="Y40" s="186"/>
    </row>
    <row r="41" spans="1:25" ht="15" customHeight="1">
      <c r="A41" s="186"/>
      <c r="B41" s="186"/>
      <c r="C41" s="186"/>
      <c r="D41" s="186"/>
      <c r="E41" s="186"/>
      <c r="F41" s="186"/>
      <c r="G41" s="186"/>
      <c r="H41" s="186"/>
      <c r="I41" s="186"/>
      <c r="M41" s="186"/>
      <c r="N41" s="186"/>
      <c r="O41" s="186"/>
      <c r="P41" s="186"/>
      <c r="Q41" s="186"/>
      <c r="R41" s="186"/>
      <c r="S41" s="186"/>
      <c r="T41" s="186"/>
      <c r="U41" s="186"/>
      <c r="V41" s="186"/>
      <c r="W41" s="186"/>
      <c r="X41" s="186"/>
      <c r="Y41" s="186"/>
    </row>
    <row r="42" spans="1:25" ht="15" customHeight="1">
      <c r="A42" s="186"/>
      <c r="B42" s="186"/>
      <c r="C42" s="186"/>
      <c r="D42" s="186"/>
      <c r="E42" s="186"/>
      <c r="F42" s="186"/>
      <c r="G42" s="186"/>
      <c r="H42" s="186"/>
      <c r="I42" s="186"/>
      <c r="M42" s="186"/>
      <c r="N42" s="186"/>
      <c r="O42" s="186"/>
      <c r="P42" s="186"/>
      <c r="Q42" s="186"/>
      <c r="R42" s="186"/>
      <c r="S42" s="186"/>
      <c r="T42" s="186"/>
      <c r="U42" s="186"/>
      <c r="V42" s="186"/>
      <c r="W42" s="186"/>
      <c r="X42" s="186"/>
      <c r="Y42" s="186"/>
    </row>
    <row r="43" spans="1:25" ht="15" customHeight="1">
      <c r="A43" s="186"/>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row>
    <row r="44" spans="1:25" ht="15" customHeight="1">
      <c r="A44" s="186"/>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row>
    <row r="45" spans="1:25" ht="15" customHeight="1">
      <c r="A45" s="186"/>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row>
    <row r="46" spans="1:25" ht="15" customHeight="1">
      <c r="A46" s="186"/>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row>
    <row r="47" spans="1:25" ht="15" customHeight="1">
      <c r="A47" s="186"/>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row>
    <row r="48" spans="1:25" ht="15" customHeight="1">
      <c r="A48" s="186"/>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row>
    <row r="49" spans="1:25" ht="15" customHeight="1">
      <c r="A49" s="186"/>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row>
    <row r="50" spans="1:25" ht="15" customHeight="1">
      <c r="A50" s="186"/>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row>
    <row r="51" spans="1:25" ht="15" customHeight="1">
      <c r="A51" s="186"/>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row>
    <row r="52" spans="1:25" ht="15" customHeight="1">
      <c r="A52" s="186"/>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row>
    <row r="53" spans="1:25" ht="15" customHeight="1">
      <c r="A53" s="186"/>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row>
    <row r="54" spans="1:25" ht="15" customHeight="1">
      <c r="A54" s="186"/>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row>
    <row r="55" spans="1:25" ht="15" customHeight="1">
      <c r="A55" s="186"/>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row>
    <row r="56" spans="1:25" ht="15" customHeight="1">
      <c r="A56" s="186"/>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row>
    <row r="57" spans="1:25" ht="15" customHeight="1">
      <c r="A57" s="186"/>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row>
    <row r="58" spans="1:25" ht="15" customHeight="1">
      <c r="A58" s="186"/>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row>
    <row r="59" spans="1:25" ht="15" customHeight="1">
      <c r="A59" s="186"/>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row>
    <row r="60" spans="1:25" ht="15" customHeight="1">
      <c r="A60" s="186"/>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row>
    <row r="61" spans="1:25" ht="15" customHeight="1">
      <c r="A61" s="186"/>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row>
    <row r="62" spans="1:25" ht="15" customHeight="1">
      <c r="A62" s="186"/>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row>
    <row r="63" spans="1:25" ht="15" customHeight="1">
      <c r="A63" s="186"/>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row>
    <row r="64" spans="1:25" ht="15" customHeight="1">
      <c r="A64" s="186"/>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row>
    <row r="65" spans="1:25" ht="15" customHeight="1">
      <c r="A65" s="186"/>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row>
    <row r="66" spans="1:25" ht="15" customHeight="1">
      <c r="A66" s="186"/>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row>
    <row r="67" spans="1:25" ht="15" customHeight="1">
      <c r="A67" s="186"/>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row>
    <row r="68" spans="1:25" ht="15" customHeight="1">
      <c r="A68" s="186"/>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row>
    <row r="69" spans="1:25" ht="15" customHeight="1">
      <c r="A69" s="186"/>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row>
    <row r="70" spans="1:25" ht="15" customHeight="1">
      <c r="A70" s="186"/>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row>
    <row r="71" spans="1:25" ht="15" customHeight="1">
      <c r="A71" s="186"/>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row>
    <row r="72" spans="1:25" ht="15" customHeight="1">
      <c r="A72" s="186"/>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row>
    <row r="73" spans="1:25" ht="15" customHeight="1">
      <c r="A73" s="186"/>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row>
    <row r="74" spans="1:25" ht="15" customHeight="1">
      <c r="A74" s="186"/>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row>
    <row r="75" spans="1:25" ht="15" customHeight="1">
      <c r="A75" s="186"/>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row>
    <row r="76" spans="1:25" ht="15" customHeight="1">
      <c r="A76" s="186"/>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row>
    <row r="77" spans="1:25" ht="15" customHeight="1">
      <c r="A77" s="18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row>
    <row r="78" spans="1:25" ht="15" customHeight="1">
      <c r="A78" s="186"/>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row>
    <row r="79" spans="1:25" ht="15" customHeight="1">
      <c r="A79" s="186"/>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row>
    <row r="80" spans="1:25" ht="15" customHeight="1">
      <c r="A80" s="186"/>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row>
    <row r="81" spans="1:25" ht="15" customHeight="1">
      <c r="A81" s="186"/>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row>
    <row r="82" spans="1:25" ht="15" customHeight="1">
      <c r="A82" s="186"/>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row>
    <row r="83" spans="1:25" ht="15" customHeight="1">
      <c r="A83" s="186"/>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row>
    <row r="84" spans="1:25" ht="15" customHeight="1">
      <c r="A84" s="186"/>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row>
    <row r="85" spans="1:25" ht="15" customHeight="1">
      <c r="A85" s="186"/>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row>
    <row r="86" spans="1:25" ht="15" customHeight="1">
      <c r="A86" s="186"/>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row>
    <row r="87" spans="1:25" ht="15" customHeight="1">
      <c r="A87" s="186"/>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row>
    <row r="88" spans="1:25" ht="15" customHeight="1">
      <c r="A88" s="186"/>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row>
    <row r="89" spans="1:25" ht="15" customHeight="1">
      <c r="A89" s="186"/>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row>
    <row r="90" spans="1:25" ht="15" customHeight="1">
      <c r="A90" s="186"/>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row>
    <row r="91" spans="1:25" ht="15" customHeight="1">
      <c r="A91" s="186"/>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row>
    <row r="92" spans="1:25" ht="15" customHeight="1">
      <c r="A92" s="186"/>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row>
    <row r="93" spans="1:25" ht="15" customHeight="1">
      <c r="A93" s="186"/>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row>
    <row r="94" spans="1:25" ht="15" customHeight="1">
      <c r="A94" s="186"/>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row>
    <row r="95" spans="1:25" ht="15" customHeight="1">
      <c r="A95" s="186"/>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row>
    <row r="96" spans="1:25" ht="15" customHeight="1">
      <c r="A96" s="186"/>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row>
    <row r="97" spans="1:25" ht="15" customHeight="1">
      <c r="A97" s="186"/>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row>
    <row r="98" spans="1:25" ht="15" customHeight="1">
      <c r="A98" s="186"/>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row>
    <row r="99" spans="1:25" ht="15" customHeight="1">
      <c r="A99" s="186"/>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row>
    <row r="100" spans="1:25" ht="15" customHeight="1">
      <c r="A100" s="186"/>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row>
    <row r="101" spans="1:25" ht="15" customHeight="1">
      <c r="A101" s="186"/>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row>
    <row r="102" spans="1:25" ht="15" customHeight="1">
      <c r="A102" s="186"/>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row>
    <row r="103" spans="1:25" ht="15" customHeight="1">
      <c r="A103" s="186"/>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row>
    <row r="104" spans="1:25" ht="15" customHeight="1">
      <c r="A104" s="186"/>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row>
    <row r="105" spans="1:25" ht="15" customHeight="1">
      <c r="A105" s="186"/>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row>
    <row r="106" spans="1:25" ht="15" customHeight="1">
      <c r="A106" s="186"/>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row>
    <row r="107" spans="1:25" ht="15" customHeight="1">
      <c r="A107" s="186"/>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row>
    <row r="108" spans="1:25" ht="15" customHeight="1">
      <c r="A108" s="186"/>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row>
    <row r="109" spans="1:25" ht="15" customHeight="1">
      <c r="A109" s="186"/>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row>
    <row r="110" spans="1:25" ht="15" customHeight="1">
      <c r="A110" s="186"/>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row>
    <row r="111" spans="1:25" ht="15" customHeight="1">
      <c r="A111" s="186"/>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row>
    <row r="112" spans="1:25" ht="15" customHeight="1">
      <c r="A112" s="186"/>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row>
    <row r="113" spans="1:25" ht="15" customHeight="1">
      <c r="A113" s="186"/>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row>
    <row r="114" spans="1:25" ht="15" customHeight="1">
      <c r="A114" s="186"/>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row>
    <row r="115" spans="1:25" ht="15" customHeight="1">
      <c r="A115" s="186"/>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row>
    <row r="116" spans="1:25" ht="15" customHeight="1">
      <c r="A116" s="186"/>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row>
    <row r="117" spans="1:25" ht="15" customHeight="1">
      <c r="A117" s="186"/>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row>
    <row r="118" spans="1:25" ht="15" customHeight="1">
      <c r="A118" s="186"/>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row>
    <row r="119" spans="1:25" ht="15" customHeight="1">
      <c r="A119" s="186"/>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row>
    <row r="120" spans="1:25" ht="15" customHeight="1">
      <c r="A120" s="186"/>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row>
    <row r="121" spans="1:25" ht="15" customHeight="1">
      <c r="A121" s="186"/>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row>
    <row r="122" spans="1:25" ht="15" customHeight="1">
      <c r="A122" s="186"/>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row>
    <row r="123" spans="1:25" ht="15" customHeight="1">
      <c r="A123" s="186"/>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row>
    <row r="124" spans="1:25" ht="15" customHeight="1">
      <c r="A124" s="186"/>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row>
    <row r="125" spans="1:25" ht="15" customHeight="1">
      <c r="A125" s="186"/>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row>
    <row r="126" spans="1:25" ht="15" customHeight="1">
      <c r="A126" s="186"/>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row>
    <row r="127" spans="1:25" ht="15" customHeight="1">
      <c r="A127" s="186"/>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row>
    <row r="128" spans="1:25" ht="15" customHeight="1">
      <c r="A128" s="186"/>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row>
    <row r="129" spans="1:25" ht="15" customHeight="1">
      <c r="A129" s="186"/>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row>
    <row r="130" spans="1:25" ht="15" customHeight="1">
      <c r="A130" s="186"/>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row>
    <row r="131" spans="1:25" ht="15" customHeight="1">
      <c r="A131" s="186"/>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row>
    <row r="132" spans="1:25" ht="15" customHeight="1">
      <c r="A132" s="186"/>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row>
    <row r="133" spans="1:25" ht="15" customHeight="1">
      <c r="A133" s="186"/>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row>
    <row r="134" spans="1:25" ht="15" customHeight="1">
      <c r="A134" s="186"/>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row>
    <row r="135" spans="1:25" ht="15" customHeight="1">
      <c r="A135" s="186"/>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row>
    <row r="136" spans="1:25" ht="15" customHeight="1">
      <c r="A136" s="186"/>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row>
    <row r="137" spans="1:25" ht="15" customHeight="1">
      <c r="A137" s="186"/>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row>
    <row r="138" spans="1:25" ht="15" customHeight="1">
      <c r="A138" s="186"/>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row>
    <row r="139" spans="1:25" ht="15" customHeight="1">
      <c r="A139" s="186"/>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row>
    <row r="140" spans="1:25" ht="15" customHeight="1">
      <c r="A140" s="186"/>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row>
    <row r="141" spans="1:25" ht="15" customHeight="1">
      <c r="A141" s="186"/>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row>
    <row r="142" spans="1:25" ht="15" customHeight="1">
      <c r="A142" s="186"/>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row>
    <row r="143" spans="1:25" ht="15" customHeight="1">
      <c r="A143" s="186"/>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row>
    <row r="144" spans="1:25" ht="15" customHeight="1">
      <c r="A144" s="186"/>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row>
    <row r="145" spans="1:25" ht="15" customHeight="1">
      <c r="A145" s="186"/>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row>
    <row r="146" spans="1:25" ht="15" customHeight="1">
      <c r="A146" s="186"/>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row>
    <row r="147" spans="1:25" ht="15" customHeight="1">
      <c r="A147" s="186"/>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row>
    <row r="148" spans="1:25" ht="15" customHeight="1">
      <c r="A148" s="186"/>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row>
    <row r="149" spans="1:25" ht="15" customHeight="1">
      <c r="A149" s="186"/>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row>
    <row r="150" spans="1:25" ht="15" customHeight="1">
      <c r="A150" s="186"/>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row>
    <row r="151" spans="1:25" ht="15" customHeight="1">
      <c r="A151" s="186"/>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row>
    <row r="152" spans="1:25" ht="15" customHeight="1">
      <c r="A152" s="186"/>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row>
    <row r="153" spans="1:25" ht="15" customHeight="1">
      <c r="A153" s="186"/>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row>
    <row r="154" spans="1:25" ht="15" customHeight="1">
      <c r="A154" s="186"/>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row>
    <row r="155" spans="1:25" ht="15" customHeight="1">
      <c r="A155" s="186"/>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row>
    <row r="156" spans="1:25" ht="15" customHeight="1">
      <c r="A156" s="186"/>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row>
    <row r="157" spans="1:25" ht="15" customHeight="1">
      <c r="A157" s="186"/>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row>
    <row r="158" spans="1:25" ht="15" customHeight="1">
      <c r="A158" s="186"/>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row>
    <row r="159" spans="1:25" ht="15" customHeight="1">
      <c r="A159" s="186"/>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row>
    <row r="160" spans="1:25" ht="15" customHeight="1">
      <c r="A160" s="186"/>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row>
    <row r="161" spans="1:25" ht="15" customHeight="1">
      <c r="A161" s="186"/>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row>
    <row r="162" spans="1:25" ht="15" customHeight="1">
      <c r="A162" s="186"/>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row>
    <row r="163" spans="1:25" ht="15" customHeight="1">
      <c r="A163" s="186"/>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row>
    <row r="164" spans="1:25" ht="15" customHeight="1">
      <c r="A164" s="186"/>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row>
    <row r="165" spans="1:25" ht="15" customHeight="1">
      <c r="A165" s="186"/>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row>
    <row r="166" spans="1:25" ht="15" customHeight="1">
      <c r="A166" s="186"/>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row>
    <row r="167" spans="1:25" ht="15" customHeight="1">
      <c r="A167" s="186"/>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row>
    <row r="168" spans="1:25" ht="15" customHeight="1">
      <c r="A168" s="186"/>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row>
    <row r="169" spans="1:25" ht="15" customHeight="1">
      <c r="A169" s="186"/>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row>
    <row r="170" spans="1:25" ht="15" customHeight="1">
      <c r="A170" s="186"/>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row>
    <row r="171" spans="1:25" ht="15" customHeight="1">
      <c r="A171" s="186"/>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row>
    <row r="172" spans="1:25" ht="15" customHeight="1">
      <c r="A172" s="186"/>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row>
    <row r="173" spans="1:25" ht="15" customHeight="1">
      <c r="A173" s="186"/>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row>
    <row r="174" spans="1:25" ht="15" customHeight="1">
      <c r="A174" s="186"/>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row>
    <row r="175" spans="1:25" ht="15" customHeight="1">
      <c r="A175" s="186"/>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row>
    <row r="176" spans="1:25" ht="15" customHeight="1">
      <c r="A176" s="186"/>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row>
    <row r="177" spans="1:25" ht="15" customHeight="1">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row>
    <row r="178" spans="1:25" ht="15" customHeight="1">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row>
    <row r="179" spans="1:25" ht="15" customHeight="1">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row>
    <row r="180" spans="1:25" ht="15" customHeight="1">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row>
    <row r="181" spans="1:25" ht="15" customHeight="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row>
    <row r="182" spans="1:25" ht="15" customHeight="1">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row>
    <row r="183" spans="1:25" ht="15" customHeight="1">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row>
    <row r="184" spans="1:25" ht="15" customHeight="1">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row>
    <row r="185" spans="1:25" ht="15" customHeight="1">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row>
    <row r="186" spans="1:25" ht="15" customHeight="1">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row>
    <row r="187" spans="1:25" ht="15" customHeight="1">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row>
    <row r="188" spans="1:25" ht="15" customHeight="1">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row>
    <row r="189" spans="1:25" ht="15" customHeight="1">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row>
    <row r="190" spans="1:25" ht="15" customHeight="1">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row>
    <row r="191" spans="1:25" ht="15" customHeight="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row>
    <row r="192" spans="1:25" ht="15" customHeight="1">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row>
    <row r="193" spans="1:25" ht="15" customHeight="1">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row>
    <row r="194" spans="1:25" ht="15" customHeight="1">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row>
    <row r="195" spans="1:25" ht="15" customHeight="1">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row>
    <row r="196" spans="1:25" ht="15" customHeight="1">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row>
    <row r="197" spans="1:25" ht="15" customHeight="1">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row>
    <row r="198" spans="1:25" ht="15" customHeight="1">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row>
    <row r="199" spans="1:25" ht="15" customHeight="1">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row>
    <row r="200" spans="1:25" ht="15" customHeight="1">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row>
    <row r="201" spans="1:25" ht="15" customHeight="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row>
    <row r="202" spans="1:25" ht="15" customHeight="1">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row>
    <row r="203" spans="1:25" ht="15" customHeight="1">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row>
    <row r="204" spans="1:25" ht="15" customHeight="1">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row>
    <row r="205" spans="1:25" ht="15" customHeight="1">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row>
    <row r="206" spans="1:25" ht="15" customHeight="1">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row>
    <row r="207" spans="1:25" ht="15" customHeight="1">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row>
    <row r="208" spans="1:25" ht="15" customHeight="1">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row>
    <row r="209" spans="1:25" ht="15" customHeight="1">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row>
    <row r="210" spans="1:25" ht="15" customHeight="1">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row>
    <row r="211" spans="1:25" ht="15" customHeight="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row>
    <row r="212" spans="1:25" ht="15" customHeight="1">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row>
    <row r="213" spans="1:25" ht="15" customHeight="1">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row>
    <row r="214" spans="1:25" ht="15" customHeight="1">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row>
    <row r="215" spans="1:25" ht="15" customHeight="1">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row>
    <row r="216" spans="1:25" ht="15" customHeight="1">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row>
    <row r="217" spans="1:25" ht="15" customHeight="1">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row>
    <row r="218" spans="1:25" ht="15" customHeight="1">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row>
    <row r="219" spans="1:25" ht="15" customHeight="1">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row>
    <row r="220" spans="1:25" ht="15" customHeight="1">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row>
    <row r="221" spans="1:25" ht="15" customHeight="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row>
    <row r="222" spans="1:25" ht="15" customHeight="1">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row>
    <row r="223" spans="1:25" ht="15" customHeight="1">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row>
    <row r="224" spans="1:25" ht="15" customHeight="1">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row>
    <row r="225" spans="1:25" ht="15" customHeight="1">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row>
    <row r="226" spans="1:25" ht="15" customHeight="1">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row>
    <row r="227" spans="1:25" ht="15" customHeight="1">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row>
    <row r="228" spans="1:25" ht="15" customHeight="1">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row>
    <row r="229" spans="1:25" ht="15" customHeight="1">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row>
    <row r="230" spans="1:25" ht="15" customHeight="1">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row>
    <row r="231" spans="1:25" ht="15" customHeight="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row>
    <row r="232" spans="1:25" ht="15" customHeight="1">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row>
    <row r="233" spans="1:25" ht="15" customHeight="1">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row>
    <row r="234" spans="1:25" ht="15" customHeight="1">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row>
    <row r="235" spans="1:25" ht="15" customHeight="1">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row>
    <row r="236" spans="1:25" ht="15" customHeight="1">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row>
    <row r="237" spans="1:25" ht="15" customHeight="1">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row>
    <row r="238" spans="1:25" ht="15" customHeight="1">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row>
    <row r="239" spans="1:25" ht="15" customHeight="1">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row>
    <row r="240" spans="1:25" ht="15" customHeight="1">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row>
    <row r="241" spans="1:25" ht="15" customHeight="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row>
    <row r="242" spans="1:25" ht="15" customHeight="1">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row>
    <row r="243" spans="1:25" ht="15" customHeight="1">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row>
    <row r="244" spans="1:25" ht="15" customHeight="1">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row>
    <row r="245" spans="1:25" ht="15" customHeight="1">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row>
    <row r="246" spans="1:25" ht="15" customHeight="1">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row>
    <row r="247" spans="1:25" ht="15" customHeight="1">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row>
    <row r="248" spans="1:25" ht="15" customHeight="1">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row>
    <row r="249" spans="1:25" ht="15" customHeight="1">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row>
    <row r="250" spans="1:25" ht="15" customHeight="1">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row>
    <row r="251" spans="1:25" ht="15" customHeight="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row>
    <row r="252" spans="1:25" ht="15" customHeight="1">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row>
    <row r="253" spans="1:25" ht="15" customHeight="1">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row>
    <row r="254" spans="1:25" ht="15" customHeight="1">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row>
    <row r="255" spans="1:25" ht="15" customHeight="1">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row>
    <row r="256" spans="1:25" ht="15" customHeight="1">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row>
    <row r="257" spans="1:25" ht="15" customHeight="1">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row>
    <row r="258" spans="1:25" ht="15" customHeight="1">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row>
    <row r="259" spans="1:25" ht="15" customHeight="1">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row>
    <row r="260" spans="1:25" ht="15" customHeight="1">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row>
    <row r="261" spans="1:25" ht="15" customHeight="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row>
    <row r="262" spans="1:25" ht="15" customHeight="1">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row>
    <row r="263" spans="1:25" ht="15" customHeight="1">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row>
    <row r="264" spans="1:25" ht="15" customHeight="1">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row>
    <row r="265" spans="1:25" ht="15" customHeight="1">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row>
    <row r="266" spans="1:25" ht="15" customHeight="1">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row>
    <row r="267" spans="1:25" ht="15" customHeight="1">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row>
    <row r="268" spans="1:25" ht="15" customHeight="1">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row>
    <row r="269" spans="1:25" ht="15" customHeight="1">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row>
    <row r="270" spans="1:25" ht="15" customHeight="1">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row>
    <row r="271" spans="1:25" ht="15" customHeight="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row>
    <row r="272" spans="1:25" ht="15" customHeight="1">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row>
    <row r="273" spans="1:25" ht="15" customHeight="1">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row>
    <row r="274" spans="1:25" ht="15" customHeight="1">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row>
    <row r="275" spans="1:25" ht="15" customHeight="1">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row>
    <row r="276" spans="1:25" ht="15" customHeight="1">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row>
    <row r="277" spans="1:25" ht="15" customHeight="1">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row>
    <row r="278" spans="1:25" ht="15" customHeight="1">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row>
    <row r="279" spans="1:25" ht="15" customHeight="1">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row>
    <row r="280" spans="1:25" ht="15" customHeight="1">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row>
    <row r="281" spans="1:25" ht="15" customHeight="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row>
    <row r="282" spans="1:25" ht="15" customHeight="1">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row>
    <row r="283" spans="1:25" ht="15" customHeight="1">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row>
    <row r="284" spans="1:25" ht="15" customHeight="1">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row>
    <row r="285" spans="1:25" ht="15" customHeight="1">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row>
    <row r="286" spans="1:25" ht="15" customHeight="1">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row>
    <row r="287" spans="1:25" ht="15" customHeight="1">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row>
    <row r="288" spans="1:25" ht="15" customHeight="1">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row>
    <row r="289" spans="1:25" ht="15" customHeight="1">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row>
    <row r="290" spans="1:25" ht="15" customHeight="1">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row>
    <row r="291" spans="1:25" ht="15" customHeight="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row>
    <row r="292" spans="1:25" ht="15" customHeight="1">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row>
    <row r="293" spans="1:25" ht="15" customHeight="1">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row>
    <row r="294" spans="1:25" ht="15" customHeight="1">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row>
    <row r="295" spans="1:25" ht="15" customHeight="1">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row>
    <row r="296" spans="1:25" ht="15" customHeight="1">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row>
    <row r="297" spans="1:25" ht="15" customHeight="1">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row>
    <row r="298" spans="1:25" ht="15" customHeight="1">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row>
    <row r="299" spans="1:25" ht="15" customHeight="1">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row>
    <row r="300" spans="1:25" ht="15" customHeight="1">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row>
    <row r="301" spans="1:25" ht="15" customHeight="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row>
    <row r="302" spans="1:25" ht="15" customHeight="1">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row>
    <row r="303" spans="1:25" ht="15" customHeight="1">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row>
    <row r="304" spans="1:25" ht="15" customHeight="1">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row>
    <row r="305" spans="1:25" ht="15" customHeight="1">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row>
    <row r="306" spans="1:25" ht="15" customHeight="1">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row>
    <row r="307" spans="1:25" ht="15" customHeight="1">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row>
    <row r="308" spans="1:25" ht="15" customHeight="1">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row>
    <row r="309" spans="1:25" ht="15" customHeight="1">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row>
    <row r="310" spans="1:25" ht="15" customHeight="1">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row>
    <row r="311" spans="1:25" ht="15" customHeight="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row>
    <row r="312" spans="1:25" ht="15" customHeight="1">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row>
    <row r="313" spans="1:25" ht="15" customHeight="1">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row>
    <row r="314" spans="1:25" ht="15" customHeight="1">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row>
    <row r="315" spans="1:25" ht="15" customHeight="1">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row>
    <row r="316" spans="1:25" ht="15" customHeight="1">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row>
    <row r="317" spans="1:25" ht="15" customHeight="1">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row>
    <row r="318" spans="1:25" ht="15" customHeight="1">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row>
    <row r="319" spans="1:25" ht="15" customHeight="1">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row>
    <row r="320" spans="1:25" ht="15" customHeight="1">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row>
    <row r="321" spans="1:25" ht="15" customHeight="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row>
    <row r="322" spans="1:25" ht="15" customHeight="1">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row>
    <row r="323" spans="1:25" ht="15" customHeight="1">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row>
    <row r="324" spans="1:25" ht="15" customHeight="1">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row>
    <row r="325" spans="1:25" ht="15" customHeight="1">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row>
    <row r="326" spans="1:25" ht="15" customHeight="1">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row>
    <row r="327" spans="1:25" ht="15" customHeight="1">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row>
    <row r="328" spans="1:25" ht="15" customHeight="1">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row>
    <row r="329" spans="1:25" ht="15" customHeight="1">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row>
    <row r="330" spans="1:25" ht="15" customHeight="1">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row>
    <row r="331" spans="1:25" ht="15" customHeight="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row>
    <row r="332" spans="1:25" ht="15" customHeight="1">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row>
    <row r="333" spans="1:25" ht="15" customHeight="1">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row>
    <row r="334" spans="1:25" ht="15" customHeight="1">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row>
    <row r="335" spans="1:25" ht="15" customHeight="1">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row>
    <row r="336" spans="1:25" ht="15" customHeight="1">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row>
    <row r="337" spans="1:25" ht="15" customHeight="1">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row>
    <row r="338" spans="1:25" ht="15" customHeight="1">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row>
    <row r="339" spans="1:25" ht="15" customHeight="1">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row>
    <row r="340" spans="1:25" ht="15" customHeight="1">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row>
    <row r="341" spans="1:25" ht="15" customHeight="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row>
    <row r="342" spans="1:25" ht="15" customHeight="1">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row>
    <row r="343" spans="1:25" ht="15" customHeight="1">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row>
    <row r="344" spans="1:25" ht="15" customHeight="1">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row>
    <row r="345" spans="1:25" ht="15" customHeight="1">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row>
    <row r="346" spans="1:25" ht="15" customHeight="1">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row>
    <row r="347" spans="1:25" ht="15" customHeight="1">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row>
    <row r="348" spans="1:25" ht="15" customHeight="1">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row>
    <row r="349" spans="1:25" ht="15" customHeight="1">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row>
    <row r="350" spans="1:25" ht="15" customHeight="1">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row>
    <row r="351" spans="1:25" ht="15" customHeight="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row>
    <row r="352" spans="1:25" ht="15" customHeight="1">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row>
    <row r="353" spans="1:25" ht="15" customHeight="1">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row>
    <row r="354" spans="1:25" ht="15" customHeight="1">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row>
    <row r="355" spans="1:25" ht="15" customHeight="1">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row>
    <row r="356" spans="1:25" ht="15" customHeight="1">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row>
    <row r="357" spans="1:25" ht="15" customHeight="1">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row>
    <row r="358" spans="1:25" ht="15" customHeight="1">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row>
    <row r="359" spans="1:25" ht="15" customHeight="1">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row>
    <row r="360" spans="1:25" ht="15" customHeight="1">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row>
    <row r="361" spans="1:25" ht="15" customHeight="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row>
    <row r="362" spans="1:25" ht="15" customHeight="1">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row>
    <row r="363" spans="1:25" ht="15" customHeight="1">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row>
    <row r="364" spans="1:25" ht="15" customHeight="1">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row>
    <row r="365" spans="1:25" ht="15" customHeight="1">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row>
    <row r="366" spans="1:25" ht="15" customHeight="1">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row>
    <row r="367" spans="1:25" ht="15" customHeight="1">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row>
    <row r="368" spans="1:25" ht="15" customHeight="1">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row>
    <row r="369" spans="1:25" ht="15" customHeight="1">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row>
    <row r="370" spans="1:25" ht="15" customHeight="1">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row>
    <row r="371" spans="1:25" ht="15" customHeight="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row>
    <row r="372" spans="1:25" ht="15" customHeight="1">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row>
    <row r="373" spans="1:25" ht="15" customHeight="1">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row>
    <row r="374" spans="1:25" ht="15" customHeight="1">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row>
    <row r="375" spans="1:25" ht="15" customHeight="1">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row>
    <row r="376" spans="1:25" ht="15" customHeight="1">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row>
    <row r="377" spans="1:25" ht="15" customHeight="1">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row>
    <row r="378" spans="1:25" ht="15" customHeight="1">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row>
    <row r="379" spans="1:25" ht="15" customHeight="1">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row>
    <row r="380" spans="1:25" ht="15" customHeight="1">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row>
    <row r="381" spans="1:25" ht="15" customHeight="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row>
    <row r="382" spans="1:25" ht="15" customHeight="1">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row>
    <row r="383" spans="1:25" ht="15" customHeight="1">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row>
    <row r="384" spans="1:25" ht="15" customHeight="1">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row>
    <row r="385" spans="1:25" ht="15" customHeight="1">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row>
    <row r="386" spans="1:25" ht="15" customHeight="1">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row>
    <row r="387" spans="1:25" ht="15" customHeight="1">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row>
    <row r="388" spans="1:25" ht="15" customHeight="1">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row>
    <row r="389" spans="1:25" ht="15" customHeight="1">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row>
    <row r="390" spans="1:25" ht="15" customHeight="1">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row>
    <row r="391" spans="1:25" ht="15" customHeight="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row>
    <row r="392" spans="1:25" ht="15" customHeight="1">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row>
    <row r="393" spans="1:25" ht="15" customHeight="1">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row>
    <row r="394" spans="1:25" ht="15" customHeight="1">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row>
    <row r="395" spans="1:25" ht="15" customHeight="1">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row>
    <row r="396" spans="1:25" ht="15" customHeight="1">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row>
    <row r="397" spans="1:25" ht="15" customHeight="1">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row>
    <row r="398" spans="1:25" ht="15" customHeight="1">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row>
    <row r="399" spans="1:25" ht="15" customHeight="1">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row>
    <row r="400" spans="1:25" ht="15" customHeight="1">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row>
    <row r="401" spans="1:25" ht="15" customHeight="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row>
    <row r="402" spans="1:25" ht="15" customHeight="1">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row>
    <row r="403" spans="1:25" ht="15" customHeight="1">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row>
    <row r="404" spans="1:25" ht="15" customHeight="1">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row>
    <row r="405" spans="1:25" ht="15" customHeight="1">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row>
    <row r="406" spans="1:25" ht="15" customHeight="1">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row>
    <row r="407" spans="1:25" ht="15" customHeight="1">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row>
    <row r="408" spans="1:25" ht="15" customHeight="1">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row>
    <row r="409" spans="1:25" ht="15" customHeight="1">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row>
    <row r="410" spans="1:25" ht="15" customHeight="1">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row>
    <row r="411" spans="1:25" ht="15" customHeight="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row>
    <row r="412" spans="1:25" ht="15" customHeight="1">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row>
    <row r="413" spans="1:25" ht="15" customHeight="1">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row>
    <row r="414" spans="1:25" ht="15" customHeight="1">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row>
    <row r="415" spans="1:25" ht="15" customHeight="1">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row>
    <row r="416" spans="1:25" ht="15" customHeight="1">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row>
    <row r="417" spans="1:25" ht="15" customHeight="1">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row>
    <row r="418" spans="1:25" ht="15" customHeight="1">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row>
    <row r="419" spans="1:25" ht="15" customHeight="1">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row>
    <row r="420" spans="1:25" ht="15" customHeight="1">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row>
    <row r="421" spans="1:25" ht="15" customHeight="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row>
    <row r="422" spans="1:25" ht="15" customHeight="1">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row>
    <row r="423" spans="1:25" ht="15" customHeight="1">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row>
    <row r="424" spans="1:25" ht="15" customHeight="1">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row>
    <row r="425" spans="1:25" ht="15" customHeight="1">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row>
    <row r="426" spans="1:25" ht="15" customHeight="1">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row>
    <row r="427" spans="1:25" ht="15" customHeight="1">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row>
    <row r="428" spans="1:25" ht="15" customHeight="1">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row>
    <row r="429" spans="1:25" ht="15" customHeight="1">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row>
    <row r="430" spans="1:25" ht="15" customHeight="1">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row>
    <row r="431" spans="1:25" ht="15" customHeight="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row>
    <row r="432" spans="1:25" ht="15" customHeight="1">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row>
    <row r="433" spans="1:25" ht="15" customHeight="1">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row>
    <row r="434" spans="1:25" ht="15" customHeight="1">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row>
    <row r="435" spans="1:25" ht="15" customHeight="1">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row>
    <row r="436" spans="1:25" ht="15" customHeight="1">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row>
    <row r="437" spans="1:25" ht="15" customHeight="1">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row>
    <row r="438" spans="1:25" ht="15" customHeight="1">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row>
    <row r="439" spans="1:25" ht="15" customHeight="1">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row>
    <row r="440" spans="1:25" ht="15" customHeight="1">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row>
    <row r="441" spans="1:25" ht="15" customHeight="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row>
    <row r="442" spans="1:25" ht="15" customHeight="1">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row>
    <row r="443" spans="1:25" ht="15" customHeight="1">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row>
    <row r="444" spans="1:25" ht="15" customHeight="1">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row>
    <row r="445" spans="1:25" ht="15" customHeight="1">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row>
    <row r="446" spans="1:25" ht="15" customHeight="1">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row>
    <row r="447" spans="1:25" ht="15" customHeight="1">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row>
    <row r="448" spans="1:25" ht="15" customHeight="1">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row>
    <row r="449" spans="1:25" ht="15" customHeight="1">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row>
    <row r="450" spans="1:25" ht="15" customHeight="1">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row>
    <row r="451" spans="1:25" ht="15" customHeight="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row>
    <row r="452" spans="1:25" ht="15" customHeight="1">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row>
    <row r="453" spans="1:25" ht="15" customHeight="1">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row>
    <row r="454" spans="1:25" ht="15" customHeight="1">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row>
    <row r="455" spans="1:25" ht="15" customHeight="1">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row>
    <row r="456" spans="1:25" ht="15" customHeight="1">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row>
    <row r="457" spans="1:25" ht="15" customHeight="1">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row>
    <row r="458" spans="1:25" ht="15" customHeight="1">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row>
    <row r="459" spans="1:25" ht="15" customHeight="1">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row>
    <row r="460" spans="1:25" ht="15" customHeight="1">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row>
    <row r="461" spans="1:25" ht="15" customHeight="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row>
    <row r="462" spans="1:25" ht="15" customHeight="1">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row>
    <row r="463" spans="1:25" ht="15" customHeight="1">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row>
    <row r="464" spans="1:25" ht="15" customHeight="1">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row>
    <row r="465" spans="1:25" ht="15" customHeight="1">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row>
    <row r="466" spans="1:25" ht="15" customHeight="1">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row>
    <row r="467" spans="1:25" ht="15" customHeight="1">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row>
    <row r="468" spans="1:25" ht="15" customHeight="1">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row>
    <row r="469" spans="1:25" ht="15" customHeight="1">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row>
    <row r="470" spans="1:25" ht="15" customHeight="1">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row>
    <row r="471" spans="1:25" ht="15" customHeight="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row>
    <row r="472" spans="1:25" ht="15" customHeight="1">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row>
    <row r="473" spans="1:25" ht="15" customHeight="1">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row>
    <row r="474" spans="1:25" ht="15" customHeight="1">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row>
    <row r="475" spans="1:25" ht="15" customHeight="1">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row>
    <row r="476" spans="1:25" ht="15" customHeight="1">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row>
    <row r="477" spans="1:25" ht="15" customHeight="1">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row>
    <row r="478" spans="1:25" ht="15" customHeight="1">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row>
    <row r="479" spans="1:25" ht="15" customHeight="1">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row>
    <row r="480" spans="1:25" ht="15" customHeight="1">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row>
    <row r="481" spans="1:25" ht="15" customHeight="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row>
    <row r="482" spans="1:25" ht="15" customHeight="1">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row>
    <row r="483" spans="1:25" ht="15" customHeight="1">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row>
    <row r="484" spans="1:25" ht="15" customHeight="1">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row>
    <row r="485" spans="1:25" ht="15" customHeight="1">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row>
    <row r="486" spans="1:25" ht="15" customHeight="1">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row>
    <row r="487" spans="1:25" ht="15" customHeight="1">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row>
    <row r="488" spans="1:25" ht="15" customHeight="1">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row>
    <row r="489" spans="1:25" ht="15" customHeight="1">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row>
    <row r="490" spans="1:25" ht="15" customHeight="1">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row>
    <row r="491" spans="1:25" ht="15" customHeight="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row>
    <row r="492" spans="1:25" ht="15" customHeight="1">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row>
    <row r="493" spans="1:25" ht="15" customHeight="1">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row>
    <row r="494" spans="1:25" ht="15" customHeight="1">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row>
    <row r="495" spans="1:25" ht="15" customHeight="1">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row>
    <row r="496" spans="1:25" ht="15" customHeight="1">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row>
    <row r="497" spans="1:25" ht="15" customHeight="1">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row>
    <row r="498" spans="1:25" ht="15" customHeight="1">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row>
    <row r="499" spans="1:25" ht="15" customHeight="1">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row>
    <row r="500" spans="1:25" ht="15" customHeight="1">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row>
    <row r="501" spans="1:25" ht="15" customHeight="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row>
    <row r="502" spans="1:25" ht="15" customHeight="1">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row>
    <row r="503" spans="1:25" ht="15" customHeight="1">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row>
    <row r="504" spans="1:25" ht="15" customHeight="1">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row>
    <row r="505" spans="1:25" ht="15" customHeight="1">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row>
    <row r="506" spans="1:25" ht="15" customHeight="1">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row>
    <row r="507" spans="1:25" ht="15" customHeight="1">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row>
    <row r="508" spans="1:25" ht="15" customHeight="1">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row>
    <row r="509" spans="1:25" ht="15" customHeight="1">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row>
    <row r="510" spans="1:25" ht="15" customHeight="1">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row>
    <row r="511" spans="1:25" ht="15" customHeight="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row>
    <row r="512" spans="1:25" ht="15" customHeight="1">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row>
    <row r="513" spans="1:25" ht="15" customHeight="1">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row>
    <row r="514" spans="1:25" ht="15" customHeight="1">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row>
    <row r="515" spans="1:25" ht="15" customHeight="1">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row>
    <row r="516" spans="1:25" ht="15" customHeight="1">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row>
    <row r="517" spans="1:25" ht="15" customHeight="1">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row>
    <row r="518" spans="1:25" ht="15" customHeight="1">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row>
    <row r="519" spans="1:25" ht="15" customHeight="1">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row>
    <row r="520" spans="1:25" ht="15" customHeight="1">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row>
    <row r="521" spans="1:25" ht="15" customHeight="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row>
    <row r="522" spans="1:25" ht="15" customHeight="1">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row>
    <row r="523" spans="1:25" ht="15" customHeight="1">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row>
    <row r="524" spans="1:25" ht="15" customHeight="1">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row>
    <row r="525" spans="1:25" ht="15" customHeight="1">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row>
    <row r="526" spans="1:25" ht="15" customHeight="1">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row>
    <row r="527" spans="1:25" ht="15" customHeight="1">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row>
    <row r="528" spans="1:25" ht="15" customHeight="1">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row>
    <row r="529" spans="1:25" ht="15" customHeight="1">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row>
    <row r="530" spans="1:25" ht="15" customHeight="1">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row>
    <row r="531" spans="1:25" ht="15" customHeight="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row>
    <row r="532" spans="1:25" ht="15" customHeight="1">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row>
    <row r="533" spans="1:25" ht="15" customHeight="1">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row>
    <row r="534" spans="1:25" ht="15" customHeight="1">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row>
    <row r="535" spans="1:25" ht="15" customHeight="1">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row>
    <row r="536" spans="1:25" ht="15" customHeight="1">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row>
    <row r="537" spans="1:25" ht="15" customHeight="1">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row>
    <row r="538" spans="1:25" ht="15" customHeight="1">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row>
    <row r="539" spans="1:25" ht="15" customHeight="1">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row>
    <row r="540" spans="1:25" ht="15" customHeight="1">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row>
    <row r="541" spans="1:25" ht="15" customHeight="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row>
    <row r="542" spans="1:25" ht="15" customHeight="1">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row>
    <row r="543" spans="1:25" ht="15" customHeight="1">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row>
    <row r="544" spans="1:25" ht="15" customHeight="1">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row>
    <row r="545" spans="1:25" ht="15" customHeight="1">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row>
    <row r="546" spans="1:25" ht="15" customHeight="1">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row>
    <row r="547" spans="1:25" ht="15" customHeight="1">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row>
    <row r="548" spans="1:25" ht="15" customHeight="1">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row>
    <row r="549" spans="1:25" ht="15" customHeight="1">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row>
    <row r="550" spans="1:25" ht="15" customHeight="1">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row>
    <row r="551" spans="1:25" ht="15" customHeight="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row>
    <row r="552" spans="1:25" ht="15" customHeight="1">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row>
    <row r="553" spans="1:25" ht="15" customHeight="1">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row>
    <row r="554" spans="1:25" ht="15" customHeight="1">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row>
    <row r="555" spans="1:25" ht="15" customHeight="1">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row>
    <row r="556" spans="1:25" ht="15" customHeight="1">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row>
    <row r="557" spans="1:25" ht="15" customHeight="1">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row>
    <row r="558" spans="1:25" ht="15" customHeight="1">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row>
    <row r="559" spans="1:25" ht="15" customHeight="1">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row>
    <row r="560" spans="1:25" ht="15" customHeight="1">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row>
    <row r="561" spans="1:25" ht="15" customHeight="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row>
    <row r="562" spans="1:25" ht="15" customHeight="1">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row>
    <row r="563" spans="1:25" ht="15" customHeight="1">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row>
    <row r="564" spans="1:25" ht="15" customHeight="1">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row>
    <row r="565" spans="1:25" ht="15" customHeight="1">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row>
    <row r="566" spans="1:25" ht="15" customHeight="1">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row>
    <row r="567" spans="1:25" ht="15" customHeight="1">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row>
    <row r="568" spans="1:25" ht="15" customHeight="1">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row>
    <row r="569" spans="1:25" ht="15" customHeight="1">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row>
    <row r="570" spans="1:25" ht="15" customHeight="1">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row>
    <row r="571" spans="1:25" ht="15" customHeight="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row>
    <row r="572" spans="1:25" ht="15" customHeight="1">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row>
    <row r="573" spans="1:25" ht="15" customHeight="1">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row>
    <row r="574" spans="1:25" ht="15" customHeight="1">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row>
    <row r="575" spans="1:25" ht="15" customHeight="1">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row>
    <row r="576" spans="1:25" ht="15" customHeight="1">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row>
    <row r="577" spans="1:25" ht="15" customHeight="1">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row>
    <row r="578" spans="1:25" ht="15" customHeight="1">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row>
    <row r="579" spans="1:25" ht="15" customHeight="1">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row>
    <row r="580" spans="1:25" ht="15" customHeight="1">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row>
    <row r="581" spans="1:25" ht="15" customHeight="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row>
    <row r="582" spans="1:25" ht="15" customHeight="1">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row>
    <row r="583" spans="1:25" ht="15" customHeight="1">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row>
    <row r="584" spans="1:25" ht="15" customHeight="1">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row>
    <row r="585" spans="1:25" ht="15" customHeight="1">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row>
    <row r="586" spans="1:25" ht="15" customHeight="1">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row>
    <row r="587" spans="1:25" ht="15" customHeight="1">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row>
    <row r="588" spans="1:25" ht="15" customHeight="1">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row>
    <row r="589" spans="1:25" ht="15" customHeight="1">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row>
    <row r="590" spans="1:25" ht="15" customHeight="1">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row>
    <row r="591" spans="1:25" ht="15" customHeight="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row>
    <row r="592" spans="1:25" ht="15" customHeight="1">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row>
    <row r="593" spans="1:25" ht="15" customHeight="1">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row>
    <row r="594" spans="1:25" ht="15" customHeight="1">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row>
    <row r="595" spans="1:25" ht="15" customHeight="1">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row>
    <row r="596" spans="1:25" ht="15" customHeight="1">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row>
    <row r="597" spans="1:25" ht="15" customHeight="1">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row>
    <row r="598" spans="1:25" ht="15" customHeight="1">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row>
    <row r="599" spans="1:25" ht="15" customHeight="1">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row>
    <row r="600" spans="1:25" ht="15" customHeight="1">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row>
    <row r="601" spans="1:25" ht="15" customHeight="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row>
    <row r="602" spans="1:25" ht="15" customHeight="1">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row>
    <row r="603" spans="1:25" ht="15" customHeight="1">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row>
    <row r="604" spans="1:25" ht="15" customHeight="1">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row>
    <row r="605" spans="1:25" ht="15" customHeight="1">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row>
    <row r="606" spans="1:25" ht="15" customHeight="1">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row>
    <row r="607" spans="1:25" ht="15" customHeight="1">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row>
    <row r="608" spans="1:25" ht="15" customHeight="1">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row>
    <row r="609" spans="1:25" ht="15" customHeight="1">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row>
    <row r="610" spans="1:25" ht="15" customHeight="1">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row>
    <row r="611" spans="1:25" ht="15" customHeight="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row>
    <row r="612" spans="1:25" ht="15" customHeight="1">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row>
    <row r="613" spans="1:25" ht="15" customHeight="1">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row>
    <row r="614" spans="1:25" ht="15" customHeight="1">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row>
    <row r="615" spans="1:25" ht="15" customHeight="1">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row>
    <row r="616" spans="1:25" ht="15" customHeight="1">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row>
    <row r="617" spans="1:25" ht="15" customHeight="1">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row>
    <row r="618" spans="1:25" ht="15" customHeight="1">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row>
    <row r="619" spans="1:25" ht="15" customHeight="1">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row>
    <row r="620" spans="1:25" ht="15" customHeight="1">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row>
    <row r="621" spans="1:25" ht="15" customHeight="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row>
    <row r="622" spans="1:25" ht="15" customHeight="1">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row>
    <row r="623" spans="1:25" ht="15" customHeight="1">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row>
    <row r="624" spans="1:25" ht="15" customHeight="1">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row>
    <row r="625" spans="1:25" ht="15" customHeight="1">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row>
    <row r="626" spans="1:25" ht="15" customHeight="1">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row>
    <row r="627" spans="1:25" ht="15" customHeight="1">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row>
    <row r="628" spans="1:25" ht="15" customHeight="1">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row>
    <row r="629" spans="1:25" ht="15" customHeight="1">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row>
    <row r="630" spans="1:25" ht="15" customHeight="1">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row>
    <row r="631" spans="1:25" ht="15" customHeight="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row>
    <row r="632" spans="1:25" ht="15" customHeight="1">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row>
    <row r="633" spans="1:25" ht="15" customHeight="1">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row>
    <row r="634" spans="1:25" ht="15" customHeight="1">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row>
    <row r="635" spans="1:25" ht="15" customHeight="1">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row>
    <row r="636" spans="1:25" ht="15" customHeight="1">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row>
    <row r="637" spans="1:25" ht="15" customHeight="1">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row>
    <row r="638" spans="1:25" ht="15" customHeight="1">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row>
    <row r="639" spans="1:25" ht="15" customHeight="1">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row>
    <row r="640" spans="1:25" ht="15" customHeight="1">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row>
    <row r="641" spans="1:25" ht="15" customHeight="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row>
    <row r="642" spans="1:25" ht="15" customHeight="1">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row>
    <row r="643" spans="1:25" ht="15" customHeight="1">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row>
    <row r="644" spans="1:25" ht="15" customHeight="1">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row>
    <row r="645" spans="1:25" ht="15" customHeight="1">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row>
    <row r="646" spans="1:25" ht="15" customHeight="1">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row>
    <row r="647" spans="1:25" ht="15" customHeight="1">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row>
    <row r="648" spans="1:25" ht="15" customHeight="1">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row>
    <row r="649" spans="1:25" ht="15" customHeight="1">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row>
    <row r="650" spans="1:25" ht="15" customHeight="1">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row>
    <row r="651" spans="1:25" ht="15" customHeight="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row>
    <row r="652" spans="1:25" ht="15" customHeight="1">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row>
    <row r="653" spans="1:25" ht="15" customHeight="1">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row>
    <row r="654" spans="1:25" ht="15" customHeight="1">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row>
    <row r="655" spans="1:25" ht="15" customHeight="1">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row>
    <row r="656" spans="1:25" ht="15" customHeight="1">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row>
    <row r="657" spans="1:25" ht="15" customHeight="1">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row>
    <row r="658" spans="1:25" ht="15" customHeight="1">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row>
    <row r="659" spans="1:25" ht="15" customHeight="1">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row>
    <row r="660" spans="1:25" ht="15" customHeight="1">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row>
    <row r="661" spans="1:25" ht="15" customHeight="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row>
    <row r="662" spans="1:25" ht="15" customHeight="1">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row>
    <row r="663" spans="1:25" ht="15" customHeight="1">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row>
    <row r="664" spans="1:25" ht="15" customHeight="1">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row>
    <row r="665" spans="1:25" ht="15" customHeight="1">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row>
    <row r="666" spans="1:25" ht="15" customHeight="1">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row>
    <row r="667" spans="1:25" ht="15" customHeight="1">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row>
    <row r="668" spans="1:25" ht="15" customHeight="1">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row>
    <row r="669" spans="1:25" ht="15" customHeight="1">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row>
    <row r="670" spans="1:25" ht="15" customHeight="1">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row>
    <row r="671" spans="1:25" ht="15" customHeight="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row>
    <row r="672" spans="1:25" ht="15" customHeight="1">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row>
    <row r="673" spans="1:25" ht="15" customHeight="1">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row>
    <row r="674" spans="1:25" ht="15" customHeight="1">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row>
    <row r="675" spans="1:25" ht="15" customHeight="1">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row>
    <row r="676" spans="1:25" ht="15" customHeight="1">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row>
    <row r="677" spans="1:25" ht="15" customHeight="1">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row>
    <row r="678" spans="1:25" ht="15" customHeight="1">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row>
    <row r="679" spans="1:25" ht="15" customHeight="1">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row>
    <row r="680" spans="1:25" ht="15" customHeight="1">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row>
    <row r="681" spans="1:25" ht="15" customHeight="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row>
    <row r="682" spans="1:25" ht="15" customHeight="1">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row>
    <row r="683" spans="1:25" ht="15" customHeight="1">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row>
    <row r="684" spans="1:25" ht="15" customHeight="1">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row>
    <row r="685" spans="1:25" ht="15" customHeight="1">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row>
    <row r="686" spans="1:25" ht="15" customHeight="1">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row>
    <row r="687" spans="1:25" ht="15" customHeight="1">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row>
    <row r="688" spans="1:25" ht="15" customHeight="1">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row>
    <row r="689" spans="1:25" ht="15" customHeight="1">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row>
    <row r="690" spans="1:25" ht="15" customHeight="1">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row>
    <row r="691" spans="1:25" ht="15" customHeight="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row>
    <row r="692" spans="1:25" ht="15" customHeight="1">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row>
    <row r="693" spans="1:25" ht="15" customHeight="1">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row>
    <row r="694" spans="1:25" ht="15" customHeight="1">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row>
    <row r="695" spans="1:25" ht="15" customHeight="1">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row>
    <row r="696" spans="1:25" ht="15" customHeight="1">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row>
    <row r="697" spans="1:25" ht="15" customHeight="1">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row>
    <row r="698" spans="1:25" ht="15" customHeight="1">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row>
    <row r="699" spans="1:25" ht="15" customHeight="1">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row>
    <row r="700" spans="1:25" ht="15" customHeight="1">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row>
    <row r="701" spans="1:25" ht="15" customHeight="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row>
    <row r="702" spans="1:25" ht="15" customHeight="1">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row>
    <row r="703" spans="1:25" ht="15" customHeight="1">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row>
    <row r="704" spans="1:25" ht="15" customHeight="1">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row>
    <row r="705" spans="1:25" ht="15" customHeight="1">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row>
    <row r="706" spans="1:25" ht="15" customHeight="1">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row>
    <row r="707" spans="1:25" ht="15" customHeight="1">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row>
    <row r="708" spans="1:25" ht="15" customHeight="1">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row>
    <row r="709" spans="1:25" ht="15" customHeight="1">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row>
    <row r="710" spans="1:25" ht="15" customHeight="1">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row>
    <row r="711" spans="1:25" ht="15" customHeight="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row>
    <row r="712" spans="1:25" ht="15" customHeight="1">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row>
    <row r="713" spans="1:25" ht="15" customHeight="1">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row>
    <row r="714" spans="1:25" ht="15" customHeight="1">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row>
    <row r="715" spans="1:25" ht="15" customHeight="1">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row>
    <row r="716" spans="1:25" ht="15" customHeight="1">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row>
    <row r="717" spans="1:25" ht="15" customHeight="1">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row>
    <row r="718" spans="1:25" ht="15" customHeight="1">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row>
    <row r="719" spans="1:25" ht="15" customHeight="1">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row>
    <row r="720" spans="1:25" ht="15" customHeight="1">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row>
    <row r="721" spans="1:25" ht="15" customHeight="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row>
    <row r="722" spans="1:25" ht="15" customHeight="1">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row>
    <row r="723" spans="1:25" ht="15" customHeight="1">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row>
    <row r="724" spans="1:25" ht="15" customHeight="1">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row>
    <row r="725" spans="1:25" ht="15" customHeight="1">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row>
    <row r="726" spans="1:25" ht="15" customHeight="1">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row>
    <row r="727" spans="1:25" ht="15" customHeight="1">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row>
    <row r="728" spans="1:25" ht="15" customHeight="1">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row>
    <row r="729" spans="1:25" ht="15" customHeight="1">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row>
    <row r="730" spans="1:25" ht="15" customHeight="1">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row>
    <row r="731" spans="1:25" ht="15" customHeight="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row>
    <row r="732" spans="1:25" ht="15" customHeight="1">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row>
    <row r="733" spans="1:25" ht="15" customHeight="1">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row>
    <row r="734" spans="1:25" ht="15" customHeight="1">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row>
    <row r="735" spans="1:25" ht="15" customHeight="1">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row>
    <row r="736" spans="1:25" ht="15" customHeight="1">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row>
    <row r="737" spans="1:25" ht="15" customHeight="1">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row>
    <row r="738" spans="1:25" ht="15" customHeight="1">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row>
    <row r="739" spans="1:25" ht="15" customHeight="1">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row>
    <row r="740" spans="1:25" ht="15" customHeight="1">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row>
    <row r="741" spans="1:25" ht="15" customHeight="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row>
    <row r="742" spans="1:25" ht="15" customHeight="1">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row>
    <row r="743" spans="1:25" ht="15" customHeight="1">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row>
    <row r="744" spans="1:25" ht="15" customHeight="1">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row>
    <row r="745" spans="1:25" ht="15" customHeight="1">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row>
    <row r="746" spans="1:25" ht="15" customHeight="1">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row>
    <row r="747" spans="1:25" ht="15" customHeight="1">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row>
    <row r="748" spans="1:25" ht="15" customHeight="1">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row>
    <row r="749" spans="1:25" ht="15" customHeight="1">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row>
    <row r="750" spans="1:25" ht="15" customHeight="1">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row>
    <row r="751" spans="1:25" ht="15" customHeight="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row>
    <row r="752" spans="1:25" ht="15" customHeight="1">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row>
    <row r="753" spans="1:25" ht="15" customHeight="1">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row>
    <row r="754" spans="1:25" ht="15" customHeight="1">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row>
    <row r="755" spans="1:25" ht="15" customHeight="1">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row>
    <row r="756" spans="1:25" ht="15" customHeight="1">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row>
    <row r="757" spans="1:25" ht="15" customHeight="1">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row>
    <row r="758" spans="1:25" ht="15" customHeight="1">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row>
    <row r="759" spans="1:25" ht="15" customHeight="1">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row>
    <row r="760" spans="1:25" ht="15" customHeight="1">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row>
    <row r="761" spans="1:25" ht="15" customHeight="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row>
    <row r="762" spans="1:25" ht="15" customHeight="1">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row>
    <row r="763" spans="1:25" ht="15" customHeight="1">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row>
    <row r="764" spans="1:25" ht="15" customHeight="1">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row>
    <row r="765" spans="1:25" ht="15" customHeight="1">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row>
    <row r="766" spans="1:25" ht="15" customHeight="1">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row>
    <row r="767" spans="1:25" ht="15" customHeight="1">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row>
    <row r="768" spans="1:25" ht="15" customHeight="1">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row>
    <row r="769" spans="1:25" ht="15" customHeight="1">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row>
    <row r="770" spans="1:25" ht="15" customHeight="1">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row>
    <row r="771" spans="1:25" ht="15" customHeight="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row>
    <row r="772" spans="1:25" ht="15" customHeight="1">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row>
    <row r="773" spans="1:25" ht="15" customHeight="1">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row>
    <row r="774" spans="1:25" ht="15" customHeight="1">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row>
    <row r="775" spans="1:25" ht="15" customHeight="1">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row>
    <row r="776" spans="1:25" ht="15" customHeight="1">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row>
    <row r="777" spans="1:25" ht="15" customHeight="1">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row>
    <row r="778" spans="1:25" ht="15" customHeight="1">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row>
    <row r="779" spans="1:25" ht="15" customHeight="1">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row>
    <row r="780" spans="1:25" ht="15" customHeight="1">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row>
    <row r="781" spans="1:25" ht="15" customHeight="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row>
    <row r="782" spans="1:25" ht="15" customHeight="1">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row>
    <row r="783" spans="1:25" ht="15" customHeight="1">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row>
    <row r="784" spans="1:25" ht="15" customHeight="1">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row>
    <row r="785" spans="1:25" ht="15" customHeight="1">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row>
    <row r="786" spans="1:25" ht="15" customHeight="1">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row>
    <row r="787" spans="1:25" ht="15" customHeight="1">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row>
    <row r="788" spans="1:25" ht="15" customHeight="1">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row>
    <row r="789" spans="1:25" ht="15" customHeight="1">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row>
    <row r="790" spans="1:25" ht="15" customHeight="1">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row>
    <row r="791" spans="1:25" ht="15" customHeight="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row>
    <row r="792" spans="1:25" ht="15" customHeight="1">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row>
    <row r="793" spans="1:25" ht="15" customHeight="1">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row>
    <row r="794" spans="1:25" ht="15" customHeight="1">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row>
    <row r="795" spans="1:25" ht="15" customHeight="1">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row>
    <row r="796" spans="1:25" ht="15" customHeight="1">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row>
    <row r="797" spans="1:25" ht="15" customHeight="1">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row>
    <row r="798" spans="1:25" ht="15" customHeight="1">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row>
    <row r="799" spans="1:25" ht="15" customHeight="1">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row>
    <row r="800" spans="1:25" ht="15" customHeight="1">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row>
    <row r="801" spans="1:25" ht="15" customHeight="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row>
    <row r="802" spans="1:25" ht="15" customHeight="1">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row>
    <row r="803" spans="1:25" ht="15" customHeight="1">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row>
    <row r="804" spans="1:25" ht="15" customHeight="1">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row>
    <row r="805" spans="1:25" ht="15" customHeight="1">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row>
    <row r="806" spans="1:25" ht="15" customHeight="1">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row>
    <row r="807" spans="1:25" ht="15" customHeight="1">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row>
    <row r="808" spans="1:25" ht="15" customHeight="1">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row>
    <row r="809" spans="1:25" ht="15" customHeight="1">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row>
    <row r="810" spans="1:25" ht="15" customHeight="1">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row>
    <row r="811" spans="1:25" ht="15" customHeight="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row>
    <row r="812" spans="1:25" ht="15" customHeight="1">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row>
    <row r="813" spans="1:25" ht="15" customHeight="1">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row>
    <row r="814" spans="1:25" ht="15" customHeight="1">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row>
    <row r="815" spans="1:25" ht="15" customHeight="1">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row>
    <row r="816" spans="1:25" ht="15" customHeight="1">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row>
    <row r="817" spans="1:25" ht="15" customHeight="1">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row>
    <row r="818" spans="1:25" ht="15" customHeight="1">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row>
    <row r="819" spans="1:25" ht="15" customHeight="1">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row>
    <row r="820" spans="1:25" ht="15" customHeight="1">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row>
    <row r="821" spans="1:25" ht="15" customHeight="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row>
    <row r="822" spans="1:25" ht="15" customHeight="1">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row>
    <row r="823" spans="1:25" ht="15" customHeight="1">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row>
    <row r="824" spans="1:25" ht="15" customHeight="1">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row>
    <row r="825" spans="1:25" ht="15" customHeight="1">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row>
    <row r="826" spans="1:25" ht="15" customHeight="1">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row>
    <row r="827" spans="1:25" ht="15" customHeight="1">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row>
    <row r="828" spans="1:25" ht="15" customHeight="1">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row>
    <row r="829" spans="1:25" ht="15" customHeight="1">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row>
    <row r="830" spans="1:25" ht="15" customHeight="1">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row>
    <row r="831" spans="1:25" ht="15" customHeight="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row>
    <row r="832" spans="1:25" ht="15" customHeight="1">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row>
    <row r="833" spans="1:25" ht="15" customHeight="1">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row>
    <row r="834" spans="1:25" ht="15" customHeight="1">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row>
    <row r="835" spans="1:25" ht="15" customHeight="1">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row>
    <row r="836" spans="1:25" ht="15" customHeight="1">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row>
    <row r="837" spans="1:25" ht="15" customHeight="1">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row>
    <row r="838" spans="1:25" ht="15" customHeight="1">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row>
    <row r="839" spans="1:25" ht="15" customHeight="1">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row>
    <row r="840" spans="1:25" ht="15" customHeight="1">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row>
    <row r="841" spans="1:25" ht="15" customHeight="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row>
    <row r="842" spans="1:25" ht="15" customHeight="1">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row>
    <row r="843" spans="1:25" ht="15" customHeight="1">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row>
    <row r="844" spans="1:25" ht="15" customHeight="1">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row>
    <row r="845" spans="1:25" ht="15" customHeight="1">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row>
    <row r="846" spans="1:25" ht="15" customHeight="1">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row>
    <row r="847" spans="1:25" ht="15" customHeight="1">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row>
    <row r="848" spans="1:25" ht="15" customHeight="1">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row>
    <row r="849" spans="1:25" ht="15" customHeight="1">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row>
    <row r="850" spans="1:25" ht="15" customHeight="1">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row>
    <row r="851" spans="1:25" ht="15" customHeight="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row>
    <row r="852" spans="1:25" ht="15" customHeight="1">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row>
    <row r="853" spans="1:25" ht="15" customHeight="1">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row>
    <row r="854" spans="1:25" ht="15" customHeight="1">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row>
    <row r="855" spans="1:25" ht="15" customHeight="1">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row>
    <row r="856" spans="1:25" ht="15" customHeight="1">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row>
    <row r="857" spans="1:25" ht="15" customHeight="1">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row>
    <row r="858" spans="1:25" ht="15" customHeight="1">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row>
    <row r="859" spans="1:25" ht="15" customHeight="1">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row>
    <row r="860" spans="1:25" ht="15" customHeight="1">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row>
    <row r="861" spans="1:25" ht="15" customHeight="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row>
    <row r="862" spans="1:25" ht="15" customHeight="1">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row>
    <row r="863" spans="1:25" ht="15" customHeight="1">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row>
    <row r="864" spans="1:25" ht="15" customHeight="1">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row>
    <row r="865" spans="1:25" ht="15" customHeight="1">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row>
    <row r="866" spans="1:25" ht="15" customHeight="1">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row>
    <row r="867" spans="1:25" ht="15" customHeight="1">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row>
    <row r="868" spans="1:25" ht="15" customHeight="1">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row>
    <row r="869" spans="1:25" ht="15" customHeight="1">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row>
    <row r="870" spans="1:25" ht="15" customHeight="1">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row>
    <row r="871" spans="1:25" ht="15" customHeight="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row>
    <row r="872" spans="1:25" ht="15" customHeight="1">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row>
    <row r="873" spans="1:25" ht="15" customHeight="1">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row>
    <row r="874" spans="1:25" ht="15" customHeight="1">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row>
    <row r="875" spans="1:25" ht="15" customHeight="1">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row>
    <row r="876" spans="1:25" ht="15" customHeight="1">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row>
    <row r="877" spans="1:25" ht="15" customHeight="1">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row>
    <row r="878" spans="1:25" ht="15" customHeight="1">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row>
    <row r="879" spans="1:25" ht="15" customHeight="1">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row>
    <row r="880" spans="1:25" ht="15" customHeight="1">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row>
    <row r="881" spans="1:25" ht="15" customHeight="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row>
    <row r="882" spans="1:25" ht="15" customHeight="1">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row>
    <row r="883" spans="1:25" ht="15" customHeight="1">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row>
    <row r="884" spans="1:25" ht="15" customHeight="1">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row>
    <row r="885" spans="1:25" ht="15" customHeight="1">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row>
    <row r="886" spans="1:25" ht="15" customHeight="1">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row>
    <row r="887" spans="1:25" ht="15" customHeight="1">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row>
    <row r="888" spans="1:25" ht="15" customHeight="1">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row>
    <row r="889" spans="1:25" ht="15" customHeight="1">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row>
    <row r="890" spans="1:25" ht="15" customHeight="1">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row>
    <row r="891" spans="1:25" ht="15" customHeight="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row>
    <row r="892" spans="1:25" ht="15" customHeight="1">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row>
    <row r="893" spans="1:25" ht="15" customHeight="1">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row>
    <row r="894" spans="1:25" ht="15" customHeight="1">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row>
    <row r="895" spans="1:25" ht="15" customHeight="1">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row>
    <row r="896" spans="1:25" ht="15" customHeight="1">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row>
    <row r="897" spans="1:25" ht="15" customHeight="1">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row>
    <row r="898" spans="1:25" ht="15" customHeight="1">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row>
    <row r="899" spans="1:25" ht="15" customHeight="1">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row>
    <row r="900" spans="1:25" ht="15" customHeight="1">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row>
    <row r="901" spans="1:25" ht="15" customHeight="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row>
    <row r="902" spans="1:25" ht="15" customHeight="1">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row>
    <row r="903" spans="1:25" ht="15" customHeight="1">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row>
    <row r="904" spans="1:25" ht="15" customHeight="1">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row>
    <row r="905" spans="1:25" ht="15" customHeight="1">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row>
    <row r="906" spans="1:25" ht="15" customHeight="1">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row>
    <row r="907" spans="1:25" ht="15" customHeight="1">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row>
    <row r="908" spans="1:25" ht="15" customHeight="1">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row>
    <row r="909" spans="1:25" ht="15" customHeight="1">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row>
    <row r="910" spans="1:25" ht="15" customHeight="1">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row>
    <row r="911" spans="1:25" ht="15" customHeight="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row>
    <row r="912" spans="1:25" ht="15" customHeight="1">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row>
    <row r="913" spans="1:25" ht="15" customHeight="1">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row>
    <row r="914" spans="1:25" ht="15" customHeight="1">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row>
    <row r="915" spans="1:25" ht="15" customHeight="1">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row>
    <row r="916" spans="1:25" ht="15" customHeight="1">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row>
    <row r="917" spans="1:25" ht="15" customHeight="1">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row>
    <row r="918" spans="1:25" ht="15" customHeight="1">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row>
    <row r="919" spans="1:25" ht="15" customHeight="1">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row>
    <row r="920" spans="1:25" ht="15" customHeight="1">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row>
    <row r="921" spans="1:25" ht="15" customHeight="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row>
    <row r="922" spans="1:25" ht="15" customHeight="1">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row>
    <row r="923" spans="1:25" ht="15" customHeight="1">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row>
    <row r="924" spans="1:25" ht="15" customHeight="1">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row>
    <row r="925" spans="1:25" ht="15" customHeight="1">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row>
    <row r="926" spans="1:25" ht="15" customHeight="1">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row>
    <row r="927" spans="1:25" ht="15" customHeight="1">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row>
    <row r="928" spans="1:25" ht="15" customHeight="1">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row>
    <row r="929" spans="1:25" ht="15" customHeight="1">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row>
    <row r="930" spans="1:25" ht="15" customHeight="1">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row>
    <row r="931" spans="1:25" ht="15" customHeight="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row>
    <row r="932" spans="1:25" ht="15" customHeight="1">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row>
    <row r="933" spans="1:25" ht="15" customHeight="1">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row>
    <row r="934" spans="1:25" ht="15" customHeight="1">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row>
    <row r="935" spans="1:25" ht="15" customHeight="1">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row>
    <row r="936" spans="1:25" ht="15" customHeight="1">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row>
    <row r="937" spans="1:25" ht="15" customHeight="1">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row>
    <row r="938" spans="1:25" ht="15" customHeight="1">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row>
    <row r="939" spans="1:25" ht="15" customHeight="1">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row>
    <row r="940" spans="1:25" ht="15" customHeight="1">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row>
    <row r="941" spans="1:25" ht="15" customHeight="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row>
    <row r="942" spans="1:25" ht="15" customHeight="1">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row>
    <row r="943" spans="1:25" ht="15" customHeight="1">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row>
    <row r="944" spans="1:25" ht="15" customHeight="1">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row>
    <row r="945" spans="1:25" ht="15" customHeight="1">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row>
    <row r="946" spans="1:25" ht="15" customHeight="1">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row>
    <row r="947" spans="1:25" ht="15" customHeight="1">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row>
    <row r="948" spans="1:25" ht="15" customHeight="1">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row>
    <row r="949" spans="1:25" ht="15" customHeight="1">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row>
    <row r="950" spans="1:25" ht="15" customHeight="1">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row>
    <row r="951" spans="1:25" ht="15" customHeight="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row>
    <row r="952" spans="1:25" ht="15" customHeight="1">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row>
    <row r="953" spans="1:25" ht="15" customHeight="1">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row>
    <row r="954" spans="1:25" ht="15" customHeight="1">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row>
    <row r="955" spans="1:25" ht="15" customHeight="1">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row>
    <row r="956" spans="1:25" ht="15" customHeight="1">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row>
    <row r="957" spans="1:25" ht="15" customHeight="1">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row>
    <row r="958" spans="1:25" ht="15" customHeight="1">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row>
    <row r="959" spans="1:25" ht="15" customHeight="1">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row>
    <row r="960" spans="1:25" ht="15" customHeight="1">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row>
    <row r="961" spans="1:25" ht="15" customHeight="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row>
    <row r="962" spans="1:25" ht="15" customHeight="1">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row>
    <row r="963" spans="1:25" ht="15" customHeight="1">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row>
    <row r="964" spans="1:25" ht="15" customHeight="1">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row>
    <row r="965" spans="1:25" ht="15" customHeight="1">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row>
    <row r="966" spans="1:25" ht="15" customHeight="1">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row>
    <row r="967" spans="1:25" ht="15" customHeight="1">
      <c r="A967" s="186"/>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row>
    <row r="968" spans="1:25" ht="15" customHeight="1">
      <c r="A968" s="186"/>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row>
    <row r="969" spans="1:25" ht="15" customHeight="1">
      <c r="A969" s="186"/>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row>
    <row r="970" spans="1:25" ht="15" customHeight="1">
      <c r="A970" s="186"/>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row>
    <row r="971" spans="1:25" ht="15" customHeight="1">
      <c r="A971" s="186"/>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row>
    <row r="972" spans="1:25" ht="15" customHeight="1">
      <c r="A972" s="186"/>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row>
    <row r="973" spans="1:25" ht="15" customHeight="1">
      <c r="A973" s="186"/>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row>
    <row r="974" spans="1:25" ht="15" customHeight="1">
      <c r="A974" s="186"/>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row>
    <row r="975" spans="1:25" ht="15" customHeight="1">
      <c r="A975" s="186"/>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row>
    <row r="976" spans="1:25" ht="15" customHeight="1">
      <c r="A976" s="186"/>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row>
    <row r="977" spans="1:25" ht="15" customHeight="1">
      <c r="A977" s="186"/>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row>
    <row r="978" spans="1:25" ht="15" customHeight="1">
      <c r="A978" s="186"/>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row>
    <row r="979" spans="1:25" ht="15" customHeight="1">
      <c r="A979" s="186"/>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row>
    <row r="980" spans="1:25" ht="15" customHeight="1">
      <c r="A980" s="186"/>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row>
    <row r="981" spans="1:25" ht="15" customHeight="1">
      <c r="A981" s="186"/>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row>
    <row r="982" spans="1:25" ht="15" customHeight="1">
      <c r="A982" s="186"/>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row>
    <row r="983" spans="1:25" ht="15" customHeight="1">
      <c r="A983" s="186"/>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row>
    <row r="984" spans="1:25" ht="15" customHeight="1">
      <c r="A984" s="186"/>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row>
    <row r="985" spans="1:25" ht="15" customHeight="1">
      <c r="A985" s="186"/>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row>
    <row r="986" spans="1:25" ht="15" customHeight="1">
      <c r="A986" s="186"/>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row>
    <row r="987" spans="1:25" ht="15" customHeight="1">
      <c r="A987" s="186"/>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row>
    <row r="988" spans="1:25" ht="15" customHeight="1">
      <c r="A988" s="186"/>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row>
    <row r="989" spans="1:25" ht="15" customHeight="1">
      <c r="A989" s="186"/>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row>
    <row r="990" spans="1:25" ht="15" customHeight="1">
      <c r="A990" s="186"/>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row>
    <row r="991" spans="1:25" ht="15" customHeight="1">
      <c r="A991" s="186"/>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row>
    <row r="992" spans="1:25" ht="15" customHeight="1">
      <c r="A992" s="186"/>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row>
    <row r="993" spans="1:25" ht="15" customHeight="1">
      <c r="A993" s="186"/>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row>
    <row r="994" spans="1:25" ht="15" customHeight="1">
      <c r="A994" s="186"/>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row>
    <row r="995" spans="1:25" ht="15" customHeight="1">
      <c r="A995" s="186"/>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row>
    <row r="996" spans="1:25" ht="15" customHeight="1">
      <c r="A996" s="186"/>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row>
    <row r="997" spans="1:25" ht="15" customHeight="1">
      <c r="A997" s="186"/>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row>
    <row r="998" spans="1:25" ht="15" customHeight="1">
      <c r="A998" s="186"/>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row>
    <row r="999" spans="1:25" ht="15" customHeight="1">
      <c r="A999" s="186"/>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row>
    <row r="1000" spans="1:25" ht="15" customHeight="1">
      <c r="A1000" s="186"/>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row>
    <row r="1001" spans="1:25" ht="15" customHeight="1">
      <c r="A1001" s="186"/>
      <c r="B1001" s="186"/>
      <c r="C1001" s="186"/>
      <c r="D1001" s="186"/>
      <c r="E1001" s="186"/>
      <c r="F1001" s="186"/>
      <c r="G1001" s="186"/>
      <c r="H1001" s="186"/>
      <c r="I1001" s="186"/>
      <c r="J1001" s="186"/>
      <c r="K1001" s="186"/>
      <c r="L1001" s="186"/>
      <c r="M1001" s="186"/>
      <c r="N1001" s="186"/>
      <c r="O1001" s="186"/>
      <c r="P1001" s="186"/>
      <c r="Q1001" s="186"/>
      <c r="R1001" s="186"/>
      <c r="S1001" s="186"/>
      <c r="T1001" s="186"/>
      <c r="U1001" s="186"/>
      <c r="V1001" s="186"/>
      <c r="W1001" s="186"/>
      <c r="X1001" s="186"/>
      <c r="Y1001" s="186"/>
    </row>
  </sheetData>
  <mergeCells count="5">
    <mergeCell ref="H27:J27"/>
    <mergeCell ref="H15:J15"/>
    <mergeCell ref="H20:J20"/>
    <mergeCell ref="L15:N15"/>
    <mergeCell ref="L20:N20"/>
  </mergeCells>
  <dataValidations count="1">
    <dataValidation type="list" allowBlank="1" showInputMessage="1" showErrorMessage="1" sqref="I16 I21 M16 M21 I28" xr:uid="{335EA324-DBF6-D147-B355-AC9D483EB76E}">
      <formula1>"1,2,3"</formula1>
    </dataValidation>
  </dataValidation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89704-27DA-B64B-B700-B54BFB05B2DA}">
  <dimension ref="B1:P57"/>
  <sheetViews>
    <sheetView showGridLines="0" zoomScaleNormal="100" workbookViewId="0">
      <selection activeCell="G18" sqref="G18"/>
    </sheetView>
  </sheetViews>
  <sheetFormatPr defaultColWidth="10.33203125" defaultRowHeight="15"/>
  <cols>
    <col min="1" max="1" width="2.6640625" style="154" customWidth="1"/>
    <col min="2" max="16384" width="10.33203125" style="154"/>
  </cols>
  <sheetData>
    <row r="1" spans="2:16" ht="20.100000000000001" customHeight="1">
      <c r="B1" s="192" t="str">
        <f>Ke!B3</f>
        <v>Sprouts Farmers Markets Inc</v>
      </c>
      <c r="C1" s="192"/>
      <c r="D1" s="193"/>
      <c r="E1" s="193"/>
      <c r="F1" s="193"/>
      <c r="G1" s="193"/>
      <c r="H1" s="193"/>
      <c r="I1" s="193"/>
      <c r="J1" s="193"/>
      <c r="K1" s="193"/>
    </row>
    <row r="2" spans="2:16">
      <c r="B2" s="761" t="str">
        <f>B1</f>
        <v>Sprouts Farmers Markets Inc</v>
      </c>
      <c r="C2" s="761"/>
      <c r="D2" s="761"/>
      <c r="E2" s="761"/>
      <c r="F2" s="761"/>
      <c r="G2" s="761"/>
      <c r="H2" s="761"/>
      <c r="I2" s="761"/>
      <c r="J2" s="761"/>
      <c r="K2" s="761"/>
      <c r="L2" s="761"/>
      <c r="M2" s="761"/>
      <c r="N2" s="761"/>
    </row>
    <row r="3" spans="2:16" ht="15.95" thickBot="1">
      <c r="B3" s="192"/>
      <c r="C3" s="192"/>
      <c r="D3" s="193"/>
      <c r="E3" s="193"/>
      <c r="F3" s="193"/>
      <c r="G3" s="193"/>
      <c r="H3" s="193"/>
      <c r="I3" s="193"/>
      <c r="J3" s="193"/>
      <c r="K3" s="194" t="s">
        <v>22</v>
      </c>
    </row>
    <row r="4" spans="2:16">
      <c r="B4" s="753" t="s">
        <v>23</v>
      </c>
      <c r="C4" s="754"/>
      <c r="D4" s="195">
        <f>Ke!D30</f>
        <v>9.8860000000000003E-2</v>
      </c>
      <c r="E4" s="193"/>
      <c r="F4" s="193"/>
      <c r="G4" s="193"/>
      <c r="H4" s="193"/>
      <c r="I4" s="196">
        <f ca="1">TODAY()</f>
        <v>45776</v>
      </c>
      <c r="J4" s="197" t="s">
        <v>24</v>
      </c>
      <c r="K4" s="198">
        <f>BS!I65/1000</f>
        <v>98585.381999999998</v>
      </c>
      <c r="M4" s="199">
        <v>98585382</v>
      </c>
      <c r="N4" s="154" t="s">
        <v>25</v>
      </c>
      <c r="P4" s="199"/>
    </row>
    <row r="5" spans="2:16">
      <c r="B5" s="755" t="s">
        <v>26</v>
      </c>
      <c r="C5" s="756"/>
      <c r="D5" s="200">
        <f>K4</f>
        <v>98585.381999999998</v>
      </c>
      <c r="E5" s="193"/>
      <c r="F5" s="201"/>
      <c r="G5" s="193"/>
      <c r="H5" s="193"/>
      <c r="I5" s="202">
        <f ca="1">I4+365</f>
        <v>46141</v>
      </c>
      <c r="J5" s="193" t="s">
        <v>27</v>
      </c>
      <c r="K5" s="200">
        <f>BS!J65/1000</f>
        <v>98584.175840375028</v>
      </c>
      <c r="M5" s="183"/>
      <c r="P5" s="199"/>
    </row>
    <row r="6" spans="2:16" ht="15.95" thickBot="1">
      <c r="B6" s="755"/>
      <c r="C6" s="756"/>
      <c r="D6" s="203"/>
      <c r="E6" s="193"/>
      <c r="F6" s="193"/>
      <c r="G6" s="193"/>
      <c r="H6" s="193"/>
      <c r="I6" s="204">
        <v>46360</v>
      </c>
      <c r="J6" s="205" t="s">
        <v>28</v>
      </c>
      <c r="K6" s="206">
        <f>BS!K65/1000</f>
        <v>98583.078194064321</v>
      </c>
    </row>
    <row r="7" spans="2:16" ht="15.95" thickBot="1">
      <c r="B7" s="755" t="s">
        <v>29</v>
      </c>
      <c r="C7" s="756"/>
      <c r="D7" s="207">
        <f>Cover!E16</f>
        <v>169.76</v>
      </c>
      <c r="E7" s="193"/>
      <c r="F7" s="193"/>
      <c r="G7" s="193"/>
      <c r="H7" s="193"/>
      <c r="I7" s="193"/>
      <c r="J7" s="193"/>
    </row>
    <row r="8" spans="2:16" ht="15.95" thickBot="1">
      <c r="B8" s="755"/>
      <c r="C8" s="756"/>
      <c r="D8" s="208"/>
      <c r="E8" s="193"/>
      <c r="F8" s="193"/>
      <c r="G8" s="193"/>
      <c r="H8" s="193"/>
      <c r="I8" s="405" t="s">
        <v>30</v>
      </c>
      <c r="J8" s="406"/>
      <c r="K8" s="407"/>
    </row>
    <row r="9" spans="2:16">
      <c r="B9" s="755" t="s">
        <v>31</v>
      </c>
      <c r="C9" s="756"/>
      <c r="D9" s="403">
        <f ca="1">D25</f>
        <v>163.68279039614009</v>
      </c>
      <c r="E9" s="193"/>
      <c r="F9" s="193"/>
      <c r="G9" s="193"/>
      <c r="H9" s="193"/>
      <c r="I9" s="209" t="s">
        <v>30</v>
      </c>
      <c r="J9" s="197"/>
      <c r="K9" s="210">
        <f ca="1">D9/$D$7-1</f>
        <v>-3.5798831313972101E-2</v>
      </c>
    </row>
    <row r="10" spans="2:16" ht="15.95" thickBot="1">
      <c r="B10" s="211" t="s">
        <v>32</v>
      </c>
      <c r="C10" s="757"/>
      <c r="D10" s="404">
        <f ca="1">D47</f>
        <v>175.66053686956627</v>
      </c>
      <c r="E10" s="193"/>
      <c r="F10" s="193"/>
      <c r="G10" s="193"/>
      <c r="H10" s="193"/>
      <c r="I10" s="211" t="s">
        <v>33</v>
      </c>
      <c r="J10" s="205"/>
      <c r="K10" s="212">
        <f ca="1">D10/D7-1</f>
        <v>3.4758110683118959E-2</v>
      </c>
    </row>
    <row r="11" spans="2:16">
      <c r="B11" s="193"/>
      <c r="C11" s="193"/>
      <c r="D11" s="213"/>
      <c r="E11" s="193"/>
      <c r="F11" s="193"/>
      <c r="G11" s="193"/>
      <c r="H11" s="193"/>
      <c r="I11" s="193"/>
      <c r="J11" s="193"/>
      <c r="K11" s="193"/>
    </row>
    <row r="12" spans="2:16">
      <c r="B12" s="193"/>
      <c r="C12" s="193"/>
      <c r="D12" s="193"/>
      <c r="E12" s="193"/>
      <c r="F12" s="193"/>
      <c r="G12" s="193"/>
      <c r="H12" s="193"/>
      <c r="I12" s="193"/>
      <c r="J12" s="193"/>
      <c r="K12" s="193"/>
    </row>
    <row r="13" spans="2:16">
      <c r="B13" s="761" t="s">
        <v>34</v>
      </c>
      <c r="C13" s="761"/>
      <c r="D13" s="761"/>
      <c r="E13" s="761"/>
      <c r="F13" s="761"/>
      <c r="G13" s="761"/>
      <c r="H13" s="761"/>
      <c r="I13" s="761"/>
      <c r="J13" s="761"/>
      <c r="K13" s="761"/>
      <c r="L13" s="761"/>
      <c r="M13" s="761"/>
      <c r="N13" s="761"/>
    </row>
    <row r="14" spans="2:16">
      <c r="B14" s="214"/>
      <c r="C14" s="214"/>
      <c r="D14" s="214"/>
      <c r="E14" s="214"/>
      <c r="F14" s="214"/>
      <c r="G14" s="214"/>
      <c r="H14" s="214"/>
      <c r="I14" s="214"/>
      <c r="J14" s="214"/>
      <c r="K14" s="214"/>
    </row>
    <row r="15" spans="2:16">
      <c r="B15" s="215"/>
      <c r="C15" s="413"/>
      <c r="D15" s="413"/>
      <c r="E15" s="414">
        <v>46022</v>
      </c>
      <c r="F15" s="414">
        <v>46387</v>
      </c>
      <c r="G15" s="414">
        <v>46752</v>
      </c>
      <c r="H15" s="414">
        <v>47118</v>
      </c>
      <c r="I15" s="414">
        <v>47483</v>
      </c>
      <c r="J15" s="414">
        <v>47848</v>
      </c>
      <c r="K15" s="414">
        <v>48213</v>
      </c>
      <c r="L15" s="414">
        <v>48579</v>
      </c>
      <c r="M15" s="414">
        <v>48944</v>
      </c>
      <c r="N15" s="415">
        <v>49309</v>
      </c>
    </row>
    <row r="16" spans="2:16">
      <c r="B16" s="411" t="s">
        <v>35</v>
      </c>
      <c r="C16" s="192"/>
      <c r="D16" s="193"/>
      <c r="E16" s="216">
        <f ca="1">MAX((E15-$I$4)/365,0)</f>
        <v>0.67397260273972603</v>
      </c>
      <c r="F16" s="216">
        <f ca="1">MAX((F15-$I$4)/365,0)</f>
        <v>1.6739726027397259</v>
      </c>
      <c r="G16" s="216">
        <f ca="1">MAX((G15-$I$4)/365,0)</f>
        <v>2.6739726027397261</v>
      </c>
      <c r="H16" s="216">
        <f ca="1">MAX((H15-$I$4)/365,0)</f>
        <v>3.6767123287671235</v>
      </c>
      <c r="I16" s="216">
        <f ca="1">MAX((I15-$I$4)/365,0)</f>
        <v>4.6767123287671231</v>
      </c>
      <c r="J16" s="216">
        <f t="shared" ref="J16:N16" ca="1" si="0">MAX((J15-$I$4)/365,0)</f>
        <v>5.6767123287671231</v>
      </c>
      <c r="K16" s="216">
        <f t="shared" ca="1" si="0"/>
        <v>6.6767123287671231</v>
      </c>
      <c r="L16" s="216">
        <f t="shared" ca="1" si="0"/>
        <v>7.6794520547945204</v>
      </c>
      <c r="M16" s="216">
        <f t="shared" ca="1" si="0"/>
        <v>8.6794520547945204</v>
      </c>
      <c r="N16" s="217">
        <f t="shared" ca="1" si="0"/>
        <v>9.6794520547945204</v>
      </c>
    </row>
    <row r="17" spans="2:15">
      <c r="B17" s="412" t="s">
        <v>36</v>
      </c>
      <c r="C17" s="750"/>
      <c r="D17" s="218"/>
      <c r="E17" s="219">
        <f ca="1">'Derived CF'!C48</f>
        <v>379066.96329428966</v>
      </c>
      <c r="F17" s="219">
        <f ca="1">'Derived CF'!D48</f>
        <v>494198.22605071351</v>
      </c>
      <c r="G17" s="219">
        <f ca="1">'Derived CF'!E48</f>
        <v>607026.44537334656</v>
      </c>
      <c r="H17" s="219">
        <f ca="1">'Derived CF'!F48</f>
        <v>790182.57966964145</v>
      </c>
      <c r="I17" s="219">
        <f ca="1">'Derived CF'!G48</f>
        <v>975724.47579688858</v>
      </c>
      <c r="J17" s="219">
        <f ca="1">'Derived CF'!H48</f>
        <v>1190283.4913541214</v>
      </c>
      <c r="K17" s="219">
        <f ca="1">'Derived CF'!I48</f>
        <v>1373742.6476011274</v>
      </c>
      <c r="L17" s="219">
        <f ca="1">'Derived CF'!J48</f>
        <v>1550129.9338972974</v>
      </c>
      <c r="M17" s="219">
        <f ca="1">'Derived CF'!K48</f>
        <v>1680512.8063769594</v>
      </c>
      <c r="N17" s="220">
        <f ca="1">'Derived CF'!L48</f>
        <v>1823793.0454553615</v>
      </c>
    </row>
    <row r="18" spans="2:15">
      <c r="B18" s="412" t="s">
        <v>37</v>
      </c>
      <c r="C18" s="750"/>
      <c r="D18" s="218"/>
      <c r="E18" s="219">
        <f ca="1">(E17*E16)/((1+$D$4)^E16)</f>
        <v>239753.05327239149</v>
      </c>
      <c r="F18" s="219">
        <f ca="1">F17/((1+$D$4)^F16)</f>
        <v>422050.85581132973</v>
      </c>
      <c r="G18" s="219">
        <f t="shared" ref="G18:M18" ca="1" si="1">G17/((1+$D$4)^G16)</f>
        <v>471768.40266225406</v>
      </c>
      <c r="H18" s="219">
        <f t="shared" ca="1" si="1"/>
        <v>558719.91771139449</v>
      </c>
      <c r="I18" s="219">
        <f t="shared" ca="1" si="1"/>
        <v>627843.69492973655</v>
      </c>
      <c r="J18" s="219">
        <f t="shared" ca="1" si="1"/>
        <v>696999.36651406984</v>
      </c>
      <c r="K18" s="219">
        <f t="shared" ca="1" si="1"/>
        <v>732057.15461586963</v>
      </c>
      <c r="L18" s="219">
        <f t="shared" ca="1" si="1"/>
        <v>751541.86058084457</v>
      </c>
      <c r="M18" s="219">
        <f t="shared" ca="1" si="1"/>
        <v>741454.54965640674</v>
      </c>
      <c r="N18" s="220">
        <f ca="1">N17/((1+$D$4)^N16)</f>
        <v>732277.85140021425</v>
      </c>
    </row>
    <row r="19" spans="2:15" ht="15.95" thickBot="1">
      <c r="B19" s="193"/>
      <c r="C19" s="193"/>
      <c r="D19" s="193"/>
      <c r="E19" s="193"/>
      <c r="F19" s="193"/>
      <c r="G19" s="193"/>
      <c r="H19" s="193"/>
      <c r="I19" s="193"/>
      <c r="J19" s="193"/>
      <c r="K19" s="193"/>
    </row>
    <row r="20" spans="2:15" ht="15.95" thickBot="1">
      <c r="B20" s="221" t="s">
        <v>38</v>
      </c>
      <c r="C20" s="751"/>
      <c r="D20" s="222">
        <v>2.5000000000000001E-2</v>
      </c>
      <c r="E20" s="223"/>
      <c r="F20" s="224"/>
      <c r="G20" s="224"/>
      <c r="H20" s="224"/>
      <c r="I20" s="224"/>
      <c r="J20" s="224"/>
      <c r="K20" s="224"/>
      <c r="L20" s="224"/>
      <c r="M20" s="224"/>
      <c r="N20" s="224"/>
      <c r="O20" s="224"/>
    </row>
    <row r="21" spans="2:15">
      <c r="B21" s="192"/>
      <c r="C21" s="192"/>
      <c r="D21" s="223"/>
      <c r="E21" s="223"/>
      <c r="F21" s="223"/>
      <c r="G21" s="223"/>
      <c r="H21" s="223"/>
      <c r="I21" s="223"/>
      <c r="J21" s="193"/>
      <c r="K21" s="193"/>
    </row>
    <row r="22" spans="2:15">
      <c r="B22" s="215" t="s">
        <v>39</v>
      </c>
      <c r="C22" s="413"/>
      <c r="D22" s="225">
        <f ca="1">N17*(1+D20)/(D4-D20)</f>
        <v>25309881.824962702</v>
      </c>
      <c r="E22" s="226"/>
      <c r="F22" s="227"/>
      <c r="G22" s="201"/>
      <c r="H22" s="227"/>
      <c r="I22" s="227"/>
      <c r="J22" s="193"/>
      <c r="K22" s="193"/>
    </row>
    <row r="23" spans="2:15">
      <c r="B23" s="228" t="s">
        <v>40</v>
      </c>
      <c r="C23" s="218"/>
      <c r="D23" s="229">
        <f ca="1">D22/(1+D4)^(N16)</f>
        <v>10162263.710874891</v>
      </c>
      <c r="E23" s="201"/>
      <c r="F23" s="227"/>
      <c r="G23" s="201"/>
      <c r="H23" s="227"/>
      <c r="I23" s="227"/>
      <c r="J23" s="193"/>
      <c r="K23" s="193"/>
    </row>
    <row r="24" spans="2:15">
      <c r="B24" s="230" t="s">
        <v>41</v>
      </c>
      <c r="C24" s="193"/>
      <c r="D24" s="231">
        <f ca="1">SUM(E18:N18)+D23</f>
        <v>16136730.418029401</v>
      </c>
      <c r="E24" s="201"/>
      <c r="F24" s="227"/>
      <c r="G24" s="201"/>
      <c r="H24" s="227"/>
      <c r="I24" s="227"/>
      <c r="J24" s="193"/>
      <c r="K24" s="193"/>
    </row>
    <row r="25" spans="2:15" ht="15.95" thickBot="1">
      <c r="B25" s="232" t="s">
        <v>42</v>
      </c>
      <c r="C25" s="752"/>
      <c r="D25" s="233">
        <f ca="1">D24/D5</f>
        <v>163.68279039614009</v>
      </c>
      <c r="E25" s="213"/>
      <c r="F25" s="213"/>
      <c r="G25" s="216"/>
      <c r="H25" s="213"/>
      <c r="I25" s="213"/>
      <c r="J25" s="193"/>
      <c r="K25" s="193"/>
    </row>
    <row r="26" spans="2:15" ht="15.95" thickBot="1">
      <c r="B26" s="193"/>
      <c r="C26" s="193"/>
      <c r="D26" s="193"/>
      <c r="E26" s="234" t="s">
        <v>38</v>
      </c>
      <c r="F26" s="234"/>
      <c r="G26" s="234"/>
      <c r="H26" s="234"/>
      <c r="I26" s="234"/>
      <c r="J26" s="234"/>
      <c r="K26" s="234"/>
    </row>
    <row r="27" spans="2:15" ht="15.95" thickBot="1">
      <c r="B27" s="193"/>
      <c r="C27" s="193"/>
      <c r="D27" s="235">
        <f ca="1">D25</f>
        <v>163.68279039614009</v>
      </c>
      <c r="E27" s="236">
        <f>F27-$N$27</f>
        <v>1.7500000000000005E-2</v>
      </c>
      <c r="F27" s="236">
        <f>G27-$N$27</f>
        <v>2.0000000000000004E-2</v>
      </c>
      <c r="G27" s="236">
        <f>H27-$N$27</f>
        <v>2.2500000000000003E-2</v>
      </c>
      <c r="H27" s="237">
        <v>2.5000000000000001E-2</v>
      </c>
      <c r="I27" s="236">
        <f>H27+$N$27</f>
        <v>2.75E-2</v>
      </c>
      <c r="J27" s="236">
        <f>I27+$N$27</f>
        <v>0.03</v>
      </c>
      <c r="K27" s="236">
        <f>J27+$N$27</f>
        <v>3.2500000000000001E-2</v>
      </c>
      <c r="L27" s="238"/>
      <c r="M27" s="409" t="s">
        <v>43</v>
      </c>
      <c r="N27" s="323">
        <v>2.5000000000000001E-3</v>
      </c>
    </row>
    <row r="28" spans="2:15" ht="17.100000000000001" thickTop="1" thickBot="1">
      <c r="B28" s="193"/>
      <c r="C28" s="193"/>
      <c r="D28" s="239">
        <f>D29-$N$28</f>
        <v>8.8479999999999989E-2</v>
      </c>
      <c r="E28" s="240">
        <f t="dataTable" ref="E28:K34" dt2D="1" dtr="1" r1="D20" r2="D4" ca="1"/>
        <v>180.83731183330218</v>
      </c>
      <c r="F28" s="241">
        <v>185.3958115475661</v>
      </c>
      <c r="G28" s="241">
        <v>190.29975682974938</v>
      </c>
      <c r="H28" s="242">
        <v>195.58996119212978</v>
      </c>
      <c r="I28" s="241">
        <v>201.31393108110748</v>
      </c>
      <c r="J28" s="241">
        <v>207.5272964804287</v>
      </c>
      <c r="K28" s="243">
        <v>214.29562484860676</v>
      </c>
      <c r="L28" s="244"/>
      <c r="M28" s="410" t="s">
        <v>44</v>
      </c>
      <c r="N28" s="324">
        <v>4.0000000000000001E-3</v>
      </c>
    </row>
    <row r="29" spans="2:15" ht="15.95" thickBot="1">
      <c r="B29" s="193"/>
      <c r="C29" s="193"/>
      <c r="D29" s="239">
        <f>D30-$N$28</f>
        <v>9.2479999999999993E-2</v>
      </c>
      <c r="E29" s="245">
        <v>169.37068977389788</v>
      </c>
      <c r="F29" s="246">
        <v>173.3200916730583</v>
      </c>
      <c r="G29" s="246">
        <v>177.55167433094689</v>
      </c>
      <c r="H29" s="247">
        <v>182.0968004578551</v>
      </c>
      <c r="I29" s="246">
        <v>186.99165928150907</v>
      </c>
      <c r="J29" s="246">
        <v>192.27823215955286</v>
      </c>
      <c r="K29" s="248">
        <v>198.00549967564621</v>
      </c>
      <c r="L29" s="244"/>
    </row>
    <row r="30" spans="2:15">
      <c r="B30" s="193"/>
      <c r="C30" s="193"/>
      <c r="D30" s="239">
        <f>D31-$N$28</f>
        <v>9.6479999999999996E-2</v>
      </c>
      <c r="E30" s="245">
        <v>159.10608748309417</v>
      </c>
      <c r="F30" s="246">
        <v>162.54842736349278</v>
      </c>
      <c r="G30" s="249">
        <v>166.22342065565118</v>
      </c>
      <c r="H30" s="250">
        <v>170.15547839186098</v>
      </c>
      <c r="I30" s="251">
        <v>174.37255046093614</v>
      </c>
      <c r="J30" s="246">
        <v>178.90679100692725</v>
      </c>
      <c r="K30" s="248">
        <v>183.79537982941031</v>
      </c>
      <c r="L30" s="244"/>
    </row>
    <row r="31" spans="2:15">
      <c r="B31" s="252" t="s">
        <v>45</v>
      </c>
      <c r="C31" s="252"/>
      <c r="D31" s="223">
        <v>0.10048</v>
      </c>
      <c r="E31" s="253">
        <v>149.86854902441908</v>
      </c>
      <c r="F31" s="247">
        <v>152.88524350695496</v>
      </c>
      <c r="G31" s="254">
        <v>156.09536543771696</v>
      </c>
      <c r="H31" s="408">
        <v>159.51813455520147</v>
      </c>
      <c r="I31" s="255">
        <v>163.17540416031846</v>
      </c>
      <c r="J31" s="247">
        <v>167.09212819258624</v>
      </c>
      <c r="K31" s="256">
        <v>171.29693136815112</v>
      </c>
      <c r="L31" s="244"/>
    </row>
    <row r="32" spans="2:15" ht="15.95" thickBot="1">
      <c r="B32" s="193"/>
      <c r="C32" s="193"/>
      <c r="D32" s="239">
        <f>D31+$N$28</f>
        <v>0.10448</v>
      </c>
      <c r="E32" s="245">
        <v>141.51533860676142</v>
      </c>
      <c r="F32" s="246">
        <v>144.17204272854852</v>
      </c>
      <c r="G32" s="257">
        <v>146.99078052451145</v>
      </c>
      <c r="H32" s="258">
        <v>149.98684203687876</v>
      </c>
      <c r="I32" s="259">
        <v>153.17750354355408</v>
      </c>
      <c r="J32" s="246">
        <v>156.58236090862599</v>
      </c>
      <c r="K32" s="248">
        <v>160.22373240019641</v>
      </c>
      <c r="L32" s="244"/>
    </row>
    <row r="33" spans="2:14">
      <c r="B33" s="193"/>
      <c r="C33" s="193"/>
      <c r="D33" s="239">
        <f>D32+$N$28</f>
        <v>0.10848000000000001</v>
      </c>
      <c r="E33" s="245">
        <v>133.92885630213297</v>
      </c>
      <c r="F33" s="246">
        <v>136.27902297364855</v>
      </c>
      <c r="G33" s="246">
        <v>138.7658590259222</v>
      </c>
      <c r="H33" s="247">
        <v>141.40164309282648</v>
      </c>
      <c r="I33" s="246">
        <v>144.20017006334302</v>
      </c>
      <c r="J33" s="246">
        <v>147.17699258498834</v>
      </c>
      <c r="K33" s="248">
        <v>150.34971024493615</v>
      </c>
      <c r="L33" s="244"/>
    </row>
    <row r="34" spans="2:14" ht="15.95" thickBot="1">
      <c r="B34" s="193"/>
      <c r="C34" s="193"/>
      <c r="D34" s="239">
        <f>D33+$N$28</f>
        <v>0.11248000000000001</v>
      </c>
      <c r="E34" s="260">
        <v>127.01134391060366</v>
      </c>
      <c r="F34" s="261">
        <v>129.09887051551732</v>
      </c>
      <c r="G34" s="261">
        <v>131.30239659836573</v>
      </c>
      <c r="H34" s="262">
        <v>133.63186724470572</v>
      </c>
      <c r="I34" s="261">
        <v>136.09839782552086</v>
      </c>
      <c r="J34" s="261">
        <v>138.71445135619143</v>
      </c>
      <c r="K34" s="263">
        <v>141.49404911858687</v>
      </c>
      <c r="L34" s="244"/>
    </row>
    <row r="35" spans="2:14" ht="15.95" thickTop="1">
      <c r="B35" s="193"/>
      <c r="C35" s="193"/>
      <c r="D35" s="264"/>
      <c r="E35" s="216"/>
      <c r="F35" s="216"/>
      <c r="G35" s="216"/>
      <c r="H35" s="216"/>
      <c r="I35" s="216"/>
      <c r="J35" s="216"/>
      <c r="K35" s="216"/>
    </row>
    <row r="36" spans="2:14">
      <c r="B36" s="264"/>
      <c r="C36" s="264"/>
      <c r="D36" s="216"/>
      <c r="E36" s="216"/>
      <c r="F36" s="216"/>
      <c r="G36" s="216"/>
      <c r="H36" s="216"/>
      <c r="I36" s="216"/>
      <c r="J36" s="216"/>
      <c r="K36" s="193"/>
    </row>
    <row r="37" spans="2:14">
      <c r="B37" s="761" t="s">
        <v>46</v>
      </c>
      <c r="C37" s="761"/>
      <c r="D37" s="761"/>
      <c r="E37" s="761"/>
      <c r="F37" s="761"/>
      <c r="G37" s="761"/>
      <c r="H37" s="761"/>
      <c r="I37" s="761"/>
      <c r="J37" s="761"/>
      <c r="K37" s="761"/>
      <c r="L37" s="761"/>
      <c r="M37" s="761"/>
      <c r="N37" s="761"/>
    </row>
    <row r="38" spans="2:14">
      <c r="B38" s="214"/>
      <c r="C38" s="214"/>
      <c r="D38" s="214"/>
      <c r="E38" s="214"/>
      <c r="F38" s="214"/>
      <c r="G38" s="214"/>
      <c r="H38" s="214"/>
      <c r="I38" s="214"/>
      <c r="J38" s="214"/>
      <c r="K38" s="214"/>
    </row>
    <row r="39" spans="2:14">
      <c r="B39" s="215"/>
      <c r="C39" s="413"/>
      <c r="D39" s="413"/>
      <c r="E39" s="414">
        <f>E15</f>
        <v>46022</v>
      </c>
      <c r="F39" s="414">
        <f t="shared" ref="F39:I39" si="2">F15</f>
        <v>46387</v>
      </c>
      <c r="G39" s="414">
        <f t="shared" si="2"/>
        <v>46752</v>
      </c>
      <c r="H39" s="414">
        <f t="shared" si="2"/>
        <v>47118</v>
      </c>
      <c r="I39" s="414">
        <f t="shared" si="2"/>
        <v>47483</v>
      </c>
      <c r="J39" s="414">
        <f>J15</f>
        <v>47848</v>
      </c>
      <c r="K39" s="414">
        <f>K15</f>
        <v>48213</v>
      </c>
      <c r="L39" s="414">
        <f>L15</f>
        <v>48579</v>
      </c>
      <c r="M39" s="414">
        <f>M15</f>
        <v>48944</v>
      </c>
      <c r="N39" s="415">
        <f>N15</f>
        <v>49309</v>
      </c>
    </row>
    <row r="40" spans="2:14">
      <c r="B40" s="411" t="s">
        <v>47</v>
      </c>
      <c r="C40" s="192"/>
      <c r="D40" s="193"/>
      <c r="E40" s="216">
        <f t="shared" ref="E40:N40" ca="1" si="3">MAX((E39-$I$5)/365,0)</f>
        <v>0</v>
      </c>
      <c r="F40" s="216">
        <f t="shared" ca="1" si="3"/>
        <v>0.67397260273972603</v>
      </c>
      <c r="G40" s="216">
        <f t="shared" ca="1" si="3"/>
        <v>1.6739726027397259</v>
      </c>
      <c r="H40" s="216">
        <f t="shared" ca="1" si="3"/>
        <v>2.6767123287671235</v>
      </c>
      <c r="I40" s="216">
        <f t="shared" ca="1" si="3"/>
        <v>3.6767123287671235</v>
      </c>
      <c r="J40" s="216">
        <f t="shared" ca="1" si="3"/>
        <v>4.6767123287671231</v>
      </c>
      <c r="K40" s="216">
        <f t="shared" ca="1" si="3"/>
        <v>5.6767123287671231</v>
      </c>
      <c r="L40" s="216">
        <f t="shared" ca="1" si="3"/>
        <v>6.6794520547945204</v>
      </c>
      <c r="M40" s="216">
        <f t="shared" ca="1" si="3"/>
        <v>7.6794520547945204</v>
      </c>
      <c r="N40" s="217">
        <f t="shared" ca="1" si="3"/>
        <v>8.6794520547945204</v>
      </c>
    </row>
    <row r="41" spans="2:14">
      <c r="B41" s="412" t="s">
        <v>36</v>
      </c>
      <c r="C41" s="750"/>
      <c r="D41" s="218"/>
      <c r="E41" s="219">
        <f ca="1">E17</f>
        <v>379066.96329428966</v>
      </c>
      <c r="F41" s="219">
        <f ca="1">F17</f>
        <v>494198.22605071351</v>
      </c>
      <c r="G41" s="219">
        <f t="shared" ref="G41:I41" ca="1" si="4">G17</f>
        <v>607026.44537334656</v>
      </c>
      <c r="H41" s="219">
        <f t="shared" ca="1" si="4"/>
        <v>790182.57966964145</v>
      </c>
      <c r="I41" s="219">
        <f t="shared" ca="1" si="4"/>
        <v>975724.47579688858</v>
      </c>
      <c r="J41" s="219">
        <f ca="1">J17</f>
        <v>1190283.4913541214</v>
      </c>
      <c r="K41" s="219">
        <f ca="1">K17</f>
        <v>1373742.6476011274</v>
      </c>
      <c r="L41" s="219">
        <f ca="1">L17</f>
        <v>1550129.9338972974</v>
      </c>
      <c r="M41" s="219">
        <f ca="1">M17</f>
        <v>1680512.8063769594</v>
      </c>
      <c r="N41" s="220">
        <f ca="1">N17</f>
        <v>1823793.0454553615</v>
      </c>
    </row>
    <row r="42" spans="2:14">
      <c r="B42" s="412" t="s">
        <v>37</v>
      </c>
      <c r="C42" s="750"/>
      <c r="D42" s="218"/>
      <c r="E42" s="219">
        <f ca="1">(E41*E40)/((1+$D$4)^E40)</f>
        <v>0</v>
      </c>
      <c r="F42" s="219">
        <f ca="1">F41*F40/((1+$D$4)^F40)</f>
        <v>312571.51134395093</v>
      </c>
      <c r="G42" s="219">
        <f ca="1">G41/((1+$D$4)^G40)</f>
        <v>518407.42694944446</v>
      </c>
      <c r="H42" s="219">
        <f t="shared" ref="H42:M42" ca="1" si="5">H41/((1+$D$4)^H40)</f>
        <v>613954.96877634292</v>
      </c>
      <c r="I42" s="219">
        <f t="shared" ca="1" si="5"/>
        <v>689912.32261049026</v>
      </c>
      <c r="J42" s="219">
        <f t="shared" ca="1" si="5"/>
        <v>765904.72388765076</v>
      </c>
      <c r="K42" s="219">
        <f t="shared" ca="1" si="5"/>
        <v>804428.32492119446</v>
      </c>
      <c r="L42" s="219">
        <f t="shared" ca="1" si="5"/>
        <v>825839.28891786677</v>
      </c>
      <c r="M42" s="219">
        <f t="shared" ca="1" si="5"/>
        <v>814754.74643543921</v>
      </c>
      <c r="N42" s="220">
        <f ca="1">N41/((1+$D$4)^N40)</f>
        <v>804670.83978963946</v>
      </c>
    </row>
    <row r="43" spans="2:14">
      <c r="B43" s="192"/>
      <c r="C43" s="192"/>
      <c r="D43" s="265"/>
      <c r="E43" s="201"/>
      <c r="F43" s="201"/>
      <c r="G43" s="201"/>
      <c r="H43" s="201"/>
      <c r="I43" s="201"/>
      <c r="J43" s="201"/>
      <c r="K43" s="201"/>
    </row>
    <row r="44" spans="2:14">
      <c r="B44" s="215" t="s">
        <v>39</v>
      </c>
      <c r="C44" s="413"/>
      <c r="D44" s="225">
        <f ca="1">N41*(1+D20)/(D4-D20)</f>
        <v>25309881.824962702</v>
      </c>
      <c r="E44" s="227"/>
      <c r="F44" s="201"/>
      <c r="G44" s="201"/>
      <c r="H44" s="227"/>
      <c r="I44" s="193"/>
      <c r="J44" s="193"/>
      <c r="K44" s="193"/>
    </row>
    <row r="45" spans="2:14">
      <c r="B45" s="228" t="s">
        <v>40</v>
      </c>
      <c r="C45" s="218"/>
      <c r="D45" s="229">
        <f ca="1">D44/(1+D4)^N40</f>
        <v>11166905.101331983</v>
      </c>
      <c r="E45" s="227"/>
      <c r="F45" s="201"/>
      <c r="G45" s="201"/>
      <c r="H45" s="227"/>
      <c r="I45" s="193"/>
      <c r="J45" s="193"/>
      <c r="K45" s="193"/>
    </row>
    <row r="46" spans="2:14">
      <c r="B46" s="230" t="s">
        <v>41</v>
      </c>
      <c r="C46" s="193"/>
      <c r="D46" s="231">
        <f ca="1">SUM(E42:N42)+D45</f>
        <v>17317349.254964001</v>
      </c>
      <c r="E46" s="227"/>
      <c r="F46" s="201"/>
      <c r="G46" s="201"/>
      <c r="H46" s="227"/>
      <c r="I46" s="193"/>
      <c r="J46" s="193"/>
      <c r="K46" s="193"/>
    </row>
    <row r="47" spans="2:14" ht="15.95" thickBot="1">
      <c r="B47" s="232" t="s">
        <v>42</v>
      </c>
      <c r="C47" s="752"/>
      <c r="D47" s="266">
        <f ca="1">D46/K5</f>
        <v>175.66053686956627</v>
      </c>
      <c r="E47" s="267"/>
      <c r="F47" s="267"/>
      <c r="G47" s="267"/>
      <c r="H47" s="267"/>
      <c r="I47" s="193"/>
      <c r="J47" s="193"/>
      <c r="K47" s="193"/>
    </row>
    <row r="48" spans="2:14">
      <c r="B48" s="193"/>
      <c r="C48" s="193"/>
      <c r="D48" s="193"/>
      <c r="E48" s="234" t="s">
        <v>38</v>
      </c>
      <c r="F48" s="234"/>
      <c r="G48" s="234"/>
      <c r="H48" s="234"/>
      <c r="I48" s="234"/>
      <c r="J48" s="234"/>
      <c r="K48" s="234"/>
    </row>
    <row r="49" spans="2:11" ht="15.95" thickBot="1">
      <c r="B49" s="193"/>
      <c r="C49" s="193"/>
      <c r="D49" s="268">
        <f ca="1">D47</f>
        <v>175.66053686956627</v>
      </c>
      <c r="E49" s="269">
        <f>F49-$N$27</f>
        <v>1.7500000000000005E-2</v>
      </c>
      <c r="F49" s="269">
        <f>G49-$N$27</f>
        <v>2.0000000000000004E-2</v>
      </c>
      <c r="G49" s="269">
        <f>H49-$N$27</f>
        <v>2.2500000000000003E-2</v>
      </c>
      <c r="H49" s="270">
        <f>H27</f>
        <v>2.5000000000000001E-2</v>
      </c>
      <c r="I49" s="269">
        <f>H49+$N$27</f>
        <v>2.75E-2</v>
      </c>
      <c r="J49" s="269">
        <f>I49+$N$27</f>
        <v>0.03</v>
      </c>
      <c r="K49" s="269">
        <f>J49+$N$27</f>
        <v>3.2500000000000001E-2</v>
      </c>
    </row>
    <row r="50" spans="2:11" ht="15.95" thickTop="1">
      <c r="B50" s="271"/>
      <c r="C50" s="271"/>
      <c r="D50" s="239">
        <f t="shared" ref="D50:D56" si="6">D28</f>
        <v>8.8479999999999989E-2</v>
      </c>
      <c r="E50" s="240">
        <f t="dataTable" ref="E50:K56" dt2D="1" dtr="1" r1="D20" r2="D4" ca="1"/>
        <v>192.63250725417973</v>
      </c>
      <c r="F50" s="241">
        <v>197.59440430925301</v>
      </c>
      <c r="G50" s="241">
        <v>202.93231660038822</v>
      </c>
      <c r="H50" s="242">
        <v>208.6906693681409</v>
      </c>
      <c r="I50" s="241">
        <v>214.92117306798221</v>
      </c>
      <c r="J50" s="241">
        <v>221.68438057252951</v>
      </c>
      <c r="K50" s="243">
        <v>229.05166163053761</v>
      </c>
    </row>
    <row r="51" spans="2:11" ht="15.95" thickBot="1">
      <c r="B51" s="271"/>
      <c r="C51" s="271"/>
      <c r="D51" s="239">
        <f t="shared" si="6"/>
        <v>9.2479999999999993E-2</v>
      </c>
      <c r="E51" s="245">
        <v>180.82927067269654</v>
      </c>
      <c r="F51" s="246">
        <v>185.14396635665256</v>
      </c>
      <c r="G51" s="246">
        <v>189.76694266964228</v>
      </c>
      <c r="H51" s="247">
        <v>194.73246316705627</v>
      </c>
      <c r="I51" s="246">
        <v>200.08006434294165</v>
      </c>
      <c r="J51" s="246">
        <v>205.85561055530951</v>
      </c>
      <c r="K51" s="248">
        <v>212.11261277070903</v>
      </c>
    </row>
    <row r="52" spans="2:11">
      <c r="B52" s="271"/>
      <c r="C52" s="271"/>
      <c r="D52" s="239">
        <f t="shared" si="6"/>
        <v>9.6479999999999996E-2</v>
      </c>
      <c r="E52" s="245">
        <v>170.25229247795428</v>
      </c>
      <c r="F52" s="246">
        <v>174.02679559005117</v>
      </c>
      <c r="G52" s="249">
        <v>178.05640164294934</v>
      </c>
      <c r="H52" s="250">
        <v>182.36787717352652</v>
      </c>
      <c r="I52" s="251">
        <v>186.99186905163751</v>
      </c>
      <c r="J52" s="246">
        <v>191.96363408544278</v>
      </c>
      <c r="K52" s="248">
        <v>197.32393968143981</v>
      </c>
    </row>
    <row r="53" spans="2:11">
      <c r="B53" s="272" t="s">
        <v>45</v>
      </c>
      <c r="C53" s="272"/>
      <c r="D53" s="239">
        <f t="shared" si="6"/>
        <v>0.10048</v>
      </c>
      <c r="E53" s="253">
        <v>160.72345922461571</v>
      </c>
      <c r="F53" s="247">
        <v>164.04331172626473</v>
      </c>
      <c r="G53" s="254">
        <v>167.5760298666448</v>
      </c>
      <c r="H53" s="408">
        <v>171.34276484197321</v>
      </c>
      <c r="I53" s="255">
        <v>175.36756606663903</v>
      </c>
      <c r="J53" s="247">
        <v>179.67789518749274</v>
      </c>
      <c r="K53" s="256">
        <v>184.30525351700004</v>
      </c>
    </row>
    <row r="54" spans="2:11" ht="15.95" thickBot="1">
      <c r="B54" s="271"/>
      <c r="C54" s="271"/>
      <c r="D54" s="239">
        <f t="shared" si="6"/>
        <v>0.10448</v>
      </c>
      <c r="E54" s="245">
        <v>152.09744510913711</v>
      </c>
      <c r="F54" s="246">
        <v>155.03175739523721</v>
      </c>
      <c r="G54" s="257">
        <v>158.14503481222897</v>
      </c>
      <c r="H54" s="258">
        <v>161.45416511151765</v>
      </c>
      <c r="I54" s="259">
        <v>164.97822982879077</v>
      </c>
      <c r="J54" s="246">
        <v>168.73887246747051</v>
      </c>
      <c r="K54" s="248">
        <v>172.76074340836479</v>
      </c>
    </row>
    <row r="55" spans="2:11">
      <c r="B55" s="271"/>
      <c r="C55" s="271"/>
      <c r="D55" s="239">
        <f t="shared" si="6"/>
        <v>0.10848000000000001</v>
      </c>
      <c r="E55" s="245">
        <v>144.25450349230181</v>
      </c>
      <c r="F55" s="246">
        <v>146.8596478408129</v>
      </c>
      <c r="G55" s="246">
        <v>149.61628930193802</v>
      </c>
      <c r="H55" s="247">
        <v>152.53803866083055</v>
      </c>
      <c r="I55" s="246">
        <v>155.64018746149222</v>
      </c>
      <c r="J55" s="246">
        <v>158.93997571173733</v>
      </c>
      <c r="K55" s="248">
        <v>162.45691243857135</v>
      </c>
    </row>
    <row r="56" spans="2:11" ht="15.95" thickBot="1">
      <c r="B56" s="271"/>
      <c r="C56" s="271"/>
      <c r="D56" s="239">
        <f t="shared" si="6"/>
        <v>0.11248000000000001</v>
      </c>
      <c r="E56" s="260">
        <v>137.09507992597281</v>
      </c>
      <c r="F56" s="261">
        <v>139.41743958884976</v>
      </c>
      <c r="G56" s="261">
        <v>141.86884791047737</v>
      </c>
      <c r="H56" s="262">
        <v>144.46036873334117</v>
      </c>
      <c r="I56" s="261">
        <v>147.20436783479187</v>
      </c>
      <c r="J56" s="261">
        <v>150.11471023773694</v>
      </c>
      <c r="K56" s="263">
        <v>153.20699452633744</v>
      </c>
    </row>
    <row r="57" spans="2:11" ht="15.95" thickTop="1">
      <c r="B57" s="193"/>
      <c r="C57" s="193"/>
      <c r="D57" s="193"/>
      <c r="E57" s="193"/>
      <c r="F57" s="193"/>
      <c r="G57" s="193"/>
      <c r="H57" s="193"/>
      <c r="I57" s="193"/>
      <c r="J57" s="193"/>
      <c r="K57" s="193"/>
    </row>
  </sheetData>
  <mergeCells count="3">
    <mergeCell ref="B2:N2"/>
    <mergeCell ref="B13:N13"/>
    <mergeCell ref="B37:N37"/>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82E1-1B81-FB45-82B7-C998C8B46588}">
  <dimension ref="B1:I21"/>
  <sheetViews>
    <sheetView showGridLines="0" workbookViewId="0">
      <selection activeCell="D30" sqref="D30"/>
    </sheetView>
  </sheetViews>
  <sheetFormatPr defaultColWidth="10.6640625" defaultRowHeight="15.95"/>
  <cols>
    <col min="1" max="2" width="10.6640625" style="130"/>
    <col min="3" max="7" width="11.21875" style="130" bestFit="1" customWidth="1"/>
    <col min="8" max="16384" width="10.6640625" style="130"/>
  </cols>
  <sheetData>
    <row r="1" spans="2:9" ht="17.100000000000001" thickBot="1"/>
    <row r="2" spans="2:9" ht="17.100000000000001" thickBot="1">
      <c r="B2" s="147"/>
      <c r="C2" s="136"/>
      <c r="D2" s="136"/>
      <c r="E2" s="136"/>
      <c r="F2" s="136"/>
      <c r="G2" s="136"/>
      <c r="H2" s="131"/>
    </row>
    <row r="3" spans="2:9">
      <c r="B3" s="137"/>
      <c r="H3" s="138"/>
      <c r="I3" s="141"/>
    </row>
    <row r="4" spans="2:9">
      <c r="B4" s="139"/>
      <c r="C4" s="144"/>
      <c r="D4" s="144"/>
      <c r="E4" s="144"/>
      <c r="F4" s="144"/>
      <c r="G4" s="144"/>
      <c r="H4" s="145"/>
      <c r="I4" s="141"/>
    </row>
    <row r="5" spans="2:9">
      <c r="B5" s="140"/>
      <c r="C5" s="141"/>
      <c r="D5" s="141"/>
      <c r="E5" s="141"/>
      <c r="F5" s="141"/>
      <c r="G5" s="141"/>
      <c r="H5" s="146"/>
      <c r="I5" s="141"/>
    </row>
    <row r="6" spans="2:9">
      <c r="B6" s="140"/>
      <c r="C6" s="141"/>
      <c r="D6" s="141"/>
      <c r="E6" s="141"/>
      <c r="F6" s="141"/>
      <c r="G6" s="141"/>
      <c r="H6" s="146"/>
    </row>
    <row r="7" spans="2:9" ht="17.100000000000001" thickBot="1">
      <c r="B7" s="143"/>
      <c r="C7" s="148"/>
      <c r="D7" s="134"/>
      <c r="E7" s="134"/>
      <c r="F7" s="134"/>
      <c r="G7" s="134"/>
      <c r="H7" s="135"/>
    </row>
    <row r="8" spans="2:9" ht="17.100000000000001" thickBot="1"/>
    <row r="9" spans="2:9" ht="17.100000000000001" thickBot="1">
      <c r="B9" s="147"/>
      <c r="C9" s="136"/>
      <c r="D9" s="136"/>
      <c r="E9" s="136"/>
      <c r="F9" s="136"/>
      <c r="G9" s="131"/>
    </row>
    <row r="10" spans="2:9">
      <c r="B10" s="137"/>
      <c r="G10" s="138"/>
    </row>
    <row r="11" spans="2:9">
      <c r="B11" s="139"/>
      <c r="C11" s="144"/>
      <c r="D11" s="144"/>
      <c r="E11" s="144"/>
      <c r="F11" s="144"/>
      <c r="G11" s="145"/>
      <c r="H11" s="151"/>
      <c r="I11" s="151"/>
    </row>
    <row r="12" spans="2:9">
      <c r="B12" s="140"/>
      <c r="C12" s="141"/>
      <c r="D12" s="141"/>
      <c r="E12" s="141"/>
      <c r="F12" s="141"/>
      <c r="G12" s="146"/>
    </row>
    <row r="13" spans="2:9">
      <c r="B13" s="140"/>
      <c r="C13" s="141"/>
      <c r="D13" s="141"/>
      <c r="E13" s="141"/>
      <c r="F13" s="141"/>
      <c r="G13" s="146"/>
    </row>
    <row r="14" spans="2:9" ht="17.100000000000001" thickBot="1">
      <c r="B14" s="143"/>
      <c r="C14" s="149"/>
      <c r="D14" s="134"/>
      <c r="E14" s="134"/>
      <c r="F14" s="134"/>
      <c r="G14" s="135"/>
    </row>
    <row r="15" spans="2:9" ht="17.100000000000001" thickBot="1"/>
    <row r="16" spans="2:9" ht="17.100000000000001" thickBot="1">
      <c r="B16" s="147"/>
      <c r="C16" s="136"/>
      <c r="D16" s="136"/>
      <c r="E16" s="131"/>
    </row>
    <row r="17" spans="2:5">
      <c r="B17" s="137"/>
      <c r="E17" s="138"/>
    </row>
    <row r="18" spans="2:5">
      <c r="B18" s="139"/>
      <c r="C18" s="132"/>
      <c r="D18" s="132"/>
      <c r="E18" s="142"/>
    </row>
    <row r="19" spans="2:5">
      <c r="B19" s="140"/>
      <c r="C19" s="133"/>
      <c r="D19" s="133"/>
      <c r="E19" s="150"/>
    </row>
    <row r="20" spans="2:5">
      <c r="B20" s="140"/>
      <c r="E20" s="138"/>
    </row>
    <row r="21" spans="2:5" ht="17.100000000000001" thickBot="1">
      <c r="B21" s="143"/>
      <c r="C21" s="149"/>
      <c r="D21" s="134"/>
      <c r="E21" s="135"/>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2D7-5CCD-E441-9C4B-076F0B05BBCD}">
  <dimension ref="A1:G32"/>
  <sheetViews>
    <sheetView showGridLines="0" topLeftCell="A5" zoomScaleNormal="100" workbookViewId="0">
      <selection activeCell="E30" sqref="E30"/>
    </sheetView>
  </sheetViews>
  <sheetFormatPr defaultColWidth="10.6640625" defaultRowHeight="15"/>
  <cols>
    <col min="1" max="1" width="2.6640625" style="154" customWidth="1"/>
    <col min="2" max="2" width="18.77734375" style="154" bestFit="1" customWidth="1"/>
    <col min="3" max="3" width="27.33203125" style="154" customWidth="1"/>
    <col min="4" max="5" width="10.6640625" style="154"/>
    <col min="6" max="6" width="25.77734375" style="154" customWidth="1"/>
    <col min="7" max="16384" width="10.6640625" style="154"/>
  </cols>
  <sheetData>
    <row r="1" spans="1:7" ht="20.100000000000001" customHeight="1">
      <c r="A1" s="273"/>
      <c r="G1" s="273"/>
    </row>
    <row r="2" spans="1:7">
      <c r="A2" s="273"/>
      <c r="B2" s="163" t="s">
        <v>48</v>
      </c>
      <c r="C2" s="163"/>
      <c r="D2" s="163" t="s">
        <v>49</v>
      </c>
      <c r="E2" s="163"/>
      <c r="F2" s="163"/>
      <c r="G2" s="273"/>
    </row>
    <row r="3" spans="1:7">
      <c r="A3" s="273"/>
      <c r="B3" s="274" t="s">
        <v>50</v>
      </c>
      <c r="C3" s="274"/>
      <c r="D3" s="274" t="s">
        <v>51</v>
      </c>
      <c r="E3" s="163"/>
      <c r="F3" s="163"/>
      <c r="G3" s="273"/>
    </row>
    <row r="4" spans="1:7">
      <c r="A4" s="273"/>
      <c r="B4" s="163" t="s">
        <v>23</v>
      </c>
      <c r="C4" s="163"/>
      <c r="D4" s="163"/>
      <c r="E4" s="163"/>
      <c r="F4" s="163"/>
      <c r="G4" s="273"/>
    </row>
    <row r="5" spans="1:7">
      <c r="A5" s="273"/>
      <c r="B5" s="163" t="s">
        <v>52</v>
      </c>
      <c r="C5" s="163"/>
      <c r="D5" s="163"/>
      <c r="E5" s="163"/>
      <c r="F5" s="163"/>
      <c r="G5" s="273"/>
    </row>
    <row r="6" spans="1:7" ht="15.95" thickBot="1">
      <c r="A6" s="273"/>
      <c r="B6" s="163"/>
      <c r="C6" s="275"/>
      <c r="D6" s="163"/>
      <c r="E6" s="163"/>
      <c r="F6" s="163"/>
      <c r="G6" s="273"/>
    </row>
    <row r="7" spans="1:7">
      <c r="A7" s="273"/>
      <c r="B7" s="416" t="s">
        <v>53</v>
      </c>
      <c r="C7" s="417"/>
      <c r="D7" s="418" t="s">
        <v>9</v>
      </c>
      <c r="E7" s="418" t="s">
        <v>9</v>
      </c>
      <c r="F7" s="419" t="s">
        <v>54</v>
      </c>
      <c r="G7" s="273"/>
    </row>
    <row r="8" spans="1:7">
      <c r="A8" s="273"/>
      <c r="B8" s="276" t="s">
        <v>9</v>
      </c>
      <c r="C8" s="277" t="s">
        <v>55</v>
      </c>
      <c r="D8" s="278">
        <v>20.47</v>
      </c>
      <c r="E8" s="279"/>
      <c r="F8" s="280" t="s">
        <v>56</v>
      </c>
      <c r="G8" s="273"/>
    </row>
    <row r="9" spans="1:7" ht="17.100000000000001">
      <c r="A9" s="273"/>
      <c r="B9" s="276" t="s">
        <v>9</v>
      </c>
      <c r="C9" s="277" t="s">
        <v>57</v>
      </c>
      <c r="D9" s="281">
        <v>8.5000000000000006E-2</v>
      </c>
      <c r="E9" s="279"/>
      <c r="F9" s="282"/>
      <c r="G9" s="273"/>
    </row>
    <row r="10" spans="1:7" ht="17.100000000000001">
      <c r="A10" s="273"/>
      <c r="B10" s="276" t="s">
        <v>9</v>
      </c>
      <c r="C10" s="277" t="s">
        <v>58</v>
      </c>
      <c r="D10" s="283">
        <v>4.231E-2</v>
      </c>
      <c r="E10" s="279"/>
      <c r="F10" s="280" t="s">
        <v>59</v>
      </c>
      <c r="G10" s="273"/>
    </row>
    <row r="11" spans="1:7" ht="17.100000000000001">
      <c r="A11" s="273"/>
      <c r="B11" s="276" t="s">
        <v>9</v>
      </c>
      <c r="C11" s="277" t="s">
        <v>60</v>
      </c>
      <c r="D11" s="284">
        <f>(1+D9)/D8 + D9</f>
        <v>0.13800439667806547</v>
      </c>
      <c r="E11" s="163"/>
      <c r="F11" s="285" t="s">
        <v>61</v>
      </c>
      <c r="G11" s="273"/>
    </row>
    <row r="12" spans="1:7" ht="17.100000000000001">
      <c r="A12" s="273"/>
      <c r="B12" s="276" t="s">
        <v>9</v>
      </c>
      <c r="C12" s="277" t="s">
        <v>62</v>
      </c>
      <c r="D12" s="284">
        <f>D11-D10</f>
        <v>9.5694396678065466E-2</v>
      </c>
      <c r="E12" s="163"/>
      <c r="F12" s="285" t="s">
        <v>61</v>
      </c>
      <c r="G12" s="273"/>
    </row>
    <row r="13" spans="1:7">
      <c r="A13" s="273"/>
      <c r="B13" s="276" t="s">
        <v>9</v>
      </c>
      <c r="C13" s="277"/>
      <c r="D13" s="163"/>
      <c r="E13" s="163"/>
      <c r="F13" s="285" t="s">
        <v>9</v>
      </c>
      <c r="G13" s="273"/>
    </row>
    <row r="14" spans="1:7">
      <c r="A14" s="273"/>
      <c r="B14" s="420" t="s">
        <v>63</v>
      </c>
      <c r="C14" s="421"/>
      <c r="D14" s="422"/>
      <c r="E14" s="422" t="s">
        <v>9</v>
      </c>
      <c r="F14" s="423" t="s">
        <v>9</v>
      </c>
      <c r="G14" s="273"/>
    </row>
    <row r="15" spans="1:7">
      <c r="A15" s="273"/>
      <c r="B15" s="276" t="str">
        <f>B3</f>
        <v>Sprouts Farmers Markets Inc</v>
      </c>
      <c r="C15" s="277"/>
      <c r="D15" s="163"/>
      <c r="E15" s="163"/>
      <c r="F15" s="285" t="s">
        <v>9</v>
      </c>
      <c r="G15" s="273"/>
    </row>
    <row r="16" spans="1:7">
      <c r="A16" s="273"/>
      <c r="B16" s="276" t="s">
        <v>9</v>
      </c>
      <c r="C16" s="277" t="s">
        <v>64</v>
      </c>
      <c r="D16" s="286">
        <f>Cover!E16</f>
        <v>169.76</v>
      </c>
      <c r="E16" s="279"/>
      <c r="F16" s="282" t="s">
        <v>65</v>
      </c>
      <c r="G16" s="273"/>
    </row>
    <row r="17" spans="1:7">
      <c r="A17" s="273"/>
      <c r="B17" s="276" t="s">
        <v>9</v>
      </c>
      <c r="C17" s="277" t="s">
        <v>66</v>
      </c>
      <c r="D17" s="286">
        <v>4.67</v>
      </c>
      <c r="E17" s="279"/>
      <c r="F17" s="282" t="s">
        <v>65</v>
      </c>
      <c r="G17" s="273"/>
    </row>
    <row r="18" spans="1:7">
      <c r="A18" s="273"/>
      <c r="B18" s="276" t="s">
        <v>9</v>
      </c>
      <c r="C18" s="277" t="s">
        <v>67</v>
      </c>
      <c r="D18" s="287">
        <f>D16/D17</f>
        <v>36.351177730192717</v>
      </c>
      <c r="E18" s="163"/>
      <c r="F18" s="285" t="s">
        <v>61</v>
      </c>
      <c r="G18" s="273"/>
    </row>
    <row r="19" spans="1:7">
      <c r="A19" s="273"/>
      <c r="B19" s="276" t="s">
        <v>9</v>
      </c>
      <c r="C19" s="277" t="s">
        <v>68</v>
      </c>
      <c r="D19" s="281">
        <f>'Comps No Formula'!R25</f>
        <v>0.1678</v>
      </c>
      <c r="E19" s="279"/>
      <c r="F19" s="282" t="s">
        <v>69</v>
      </c>
      <c r="G19" s="273"/>
    </row>
    <row r="20" spans="1:7">
      <c r="A20" s="273"/>
      <c r="B20" s="276" t="s">
        <v>9</v>
      </c>
      <c r="C20" s="277" t="s">
        <v>70</v>
      </c>
      <c r="D20" s="284">
        <f>(1+D19)/D18 +D19</f>
        <v>0.19992550659754948</v>
      </c>
      <c r="E20" s="163"/>
      <c r="F20" s="285" t="s">
        <v>61</v>
      </c>
      <c r="G20" s="273"/>
    </row>
    <row r="21" spans="1:7">
      <c r="A21" s="273"/>
      <c r="B21" s="276" t="s">
        <v>71</v>
      </c>
      <c r="C21" s="277" t="s">
        <v>72</v>
      </c>
      <c r="D21" s="284"/>
      <c r="E21" s="163"/>
      <c r="F21" s="285" t="s">
        <v>9</v>
      </c>
      <c r="G21" s="273"/>
    </row>
    <row r="22" spans="1:7">
      <c r="A22" s="273"/>
      <c r="B22" s="276" t="s">
        <v>9</v>
      </c>
      <c r="C22" s="277" t="s">
        <v>73</v>
      </c>
      <c r="D22" s="287">
        <f>(D20-D10)/D12</f>
        <v>1.647071428098331</v>
      </c>
      <c r="E22" s="163"/>
      <c r="F22" s="285" t="s">
        <v>61</v>
      </c>
      <c r="G22" s="273"/>
    </row>
    <row r="23" spans="1:7">
      <c r="A23" s="273"/>
      <c r="B23" s="276" t="s">
        <v>9</v>
      </c>
      <c r="C23" s="277" t="s">
        <v>74</v>
      </c>
      <c r="D23" s="274">
        <v>0.87</v>
      </c>
      <c r="E23" s="279"/>
      <c r="F23" s="282" t="s">
        <v>65</v>
      </c>
      <c r="G23" s="273"/>
    </row>
    <row r="24" spans="1:7">
      <c r="A24" s="273"/>
      <c r="B24" s="276" t="s">
        <v>9</v>
      </c>
      <c r="C24" s="277" t="s">
        <v>75</v>
      </c>
      <c r="D24" s="288">
        <v>0.76</v>
      </c>
      <c r="E24" s="163"/>
      <c r="F24" s="285"/>
      <c r="G24" s="273"/>
    </row>
    <row r="25" spans="1:7">
      <c r="A25" s="273"/>
      <c r="B25" s="420" t="s">
        <v>76</v>
      </c>
      <c r="C25" s="421"/>
      <c r="D25" s="422"/>
      <c r="E25" s="422" t="s">
        <v>9</v>
      </c>
      <c r="F25" s="423" t="s">
        <v>9</v>
      </c>
      <c r="G25" s="273"/>
    </row>
    <row r="26" spans="1:7">
      <c r="A26" s="273"/>
      <c r="B26" s="276" t="s">
        <v>9</v>
      </c>
      <c r="C26" s="277" t="s">
        <v>77</v>
      </c>
      <c r="D26" s="281">
        <v>6.5000000000000002E-2</v>
      </c>
      <c r="E26" s="279"/>
      <c r="F26" s="285" t="s">
        <v>78</v>
      </c>
      <c r="G26" s="273"/>
    </row>
    <row r="27" spans="1:7">
      <c r="A27" s="273"/>
      <c r="B27" s="276" t="s">
        <v>9</v>
      </c>
      <c r="C27" s="277" t="s">
        <v>79</v>
      </c>
      <c r="D27" s="284">
        <f>$D$10+$D$26*D22</f>
        <v>0.14936964282639154</v>
      </c>
      <c r="E27" s="289">
        <v>0</v>
      </c>
      <c r="F27" s="285"/>
      <c r="G27" s="273"/>
    </row>
    <row r="28" spans="1:7">
      <c r="A28" s="273"/>
      <c r="B28" s="276"/>
      <c r="C28" s="277" t="s">
        <v>80</v>
      </c>
      <c r="D28" s="284">
        <f>$D$10+$D$26*D23</f>
        <v>9.8860000000000003E-2</v>
      </c>
      <c r="E28" s="289">
        <v>1</v>
      </c>
      <c r="F28" s="285"/>
      <c r="G28" s="273"/>
    </row>
    <row r="29" spans="1:7">
      <c r="A29" s="273"/>
      <c r="B29" s="276"/>
      <c r="C29" s="277" t="s">
        <v>81</v>
      </c>
      <c r="D29" s="284">
        <f>$D$10+$D$26*D24</f>
        <v>9.171E-2</v>
      </c>
      <c r="E29" s="289">
        <f>1-E28</f>
        <v>0</v>
      </c>
      <c r="F29" s="285"/>
      <c r="G29" s="273"/>
    </row>
    <row r="30" spans="1:7">
      <c r="A30" s="273"/>
      <c r="B30" s="276" t="s">
        <v>9</v>
      </c>
      <c r="C30" s="290" t="s">
        <v>82</v>
      </c>
      <c r="D30" s="291">
        <f>D28*E28+D27*E27+D29*E29</f>
        <v>9.8860000000000003E-2</v>
      </c>
      <c r="E30" s="163"/>
      <c r="F30" s="285" t="s">
        <v>9</v>
      </c>
      <c r="G30" s="273"/>
    </row>
    <row r="31" spans="1:7">
      <c r="A31" s="273"/>
      <c r="B31" s="276" t="s">
        <v>9</v>
      </c>
      <c r="C31" s="277"/>
      <c r="D31" s="284"/>
      <c r="E31" s="163"/>
      <c r="F31" s="285" t="s">
        <v>9</v>
      </c>
      <c r="G31" s="273"/>
    </row>
    <row r="32" spans="1:7" ht="15.95" thickBot="1">
      <c r="B32" s="292" t="s">
        <v>9</v>
      </c>
      <c r="C32" s="293" t="s">
        <v>83</v>
      </c>
      <c r="D32" s="294">
        <f>D26+D10</f>
        <v>0.10731</v>
      </c>
      <c r="E32" s="295" t="s">
        <v>9</v>
      </c>
      <c r="F32" s="296" t="s">
        <v>9</v>
      </c>
    </row>
  </sheetData>
  <hyperlinks>
    <hyperlink ref="F8" r:id="rId1" xr:uid="{0A295DB2-AA4F-F043-B6C1-02B0DD7236FB}"/>
    <hyperlink ref="F10" r:id="rId2" xr:uid="{178E3204-9FBD-3B4B-969A-3D41371C866B}"/>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A494-1AE3-2C4A-9CB4-B774F7D15809}">
  <dimension ref="B1:U100"/>
  <sheetViews>
    <sheetView showGridLines="0" topLeftCell="A3" zoomScaleNormal="100" workbookViewId="0">
      <selection activeCell="K56" sqref="K56"/>
    </sheetView>
  </sheetViews>
  <sheetFormatPr defaultColWidth="10.33203125" defaultRowHeight="15"/>
  <cols>
    <col min="1" max="1" width="2.6640625" style="154" customWidth="1"/>
    <col min="2" max="2" width="25.21875" style="154" customWidth="1"/>
    <col min="3" max="16384" width="10.33203125" style="154"/>
  </cols>
  <sheetData>
    <row r="1" spans="2:19" ht="20.100000000000001" customHeight="1"/>
    <row r="2" spans="2:19" ht="15.95" thickBot="1">
      <c r="B2" s="156" t="s">
        <v>84</v>
      </c>
      <c r="C2" s="461" t="s">
        <v>85</v>
      </c>
      <c r="D2" s="461" t="s">
        <v>86</v>
      </c>
      <c r="E2" s="461" t="s">
        <v>87</v>
      </c>
      <c r="F2" s="461" t="s">
        <v>88</v>
      </c>
      <c r="G2" s="461" t="s">
        <v>89</v>
      </c>
      <c r="H2" s="461" t="s">
        <v>90</v>
      </c>
      <c r="I2" s="461" t="s">
        <v>91</v>
      </c>
    </row>
    <row r="3" spans="2:19" ht="17.100000000000001" thickBot="1">
      <c r="B3" s="424" t="s">
        <v>1</v>
      </c>
      <c r="C3" s="425" t="s">
        <v>92</v>
      </c>
      <c r="D3" s="425" t="s">
        <v>93</v>
      </c>
      <c r="E3" s="425" t="s">
        <v>94</v>
      </c>
      <c r="F3" s="425" t="s">
        <v>95</v>
      </c>
      <c r="G3" s="426" t="s">
        <v>96</v>
      </c>
      <c r="H3" s="426" t="s">
        <v>97</v>
      </c>
      <c r="I3" s="426" t="s">
        <v>98</v>
      </c>
      <c r="J3" s="426" t="s">
        <v>99</v>
      </c>
      <c r="K3" s="426" t="s">
        <v>100</v>
      </c>
      <c r="L3" s="426" t="s">
        <v>101</v>
      </c>
      <c r="M3" s="426" t="s">
        <v>102</v>
      </c>
      <c r="N3" s="426" t="s">
        <v>103</v>
      </c>
      <c r="O3" s="426" t="s">
        <v>104</v>
      </c>
      <c r="P3" s="426" t="s">
        <v>105</v>
      </c>
      <c r="Q3" s="426" t="s">
        <v>106</v>
      </c>
      <c r="R3" s="426" t="s">
        <v>107</v>
      </c>
      <c r="S3" s="426" t="s">
        <v>108</v>
      </c>
    </row>
    <row r="4" spans="2:19">
      <c r="B4" s="436" t="s">
        <v>109</v>
      </c>
      <c r="C4" s="659">
        <f>IS!C3</f>
        <v>5207336</v>
      </c>
      <c r="D4" s="659">
        <f>IS!D3</f>
        <v>5634835</v>
      </c>
      <c r="E4" s="659">
        <f>IS!E3</f>
        <v>6468759</v>
      </c>
      <c r="F4" s="659">
        <f>IS!F3</f>
        <v>6099869</v>
      </c>
      <c r="G4" s="659">
        <f>IS!G3</f>
        <v>6404223</v>
      </c>
      <c r="H4" s="659">
        <f>IS!H3</f>
        <v>6837384</v>
      </c>
      <c r="I4" s="659">
        <f>IS!I3</f>
        <v>7719290</v>
      </c>
      <c r="J4" s="437">
        <f>J7*AVERAGE(J13,J17)</f>
        <v>8778436.7383116875</v>
      </c>
      <c r="K4" s="438">
        <f t="shared" ref="K4:S4" si="0">K7*AVERAGE(K13,K17)</f>
        <v>10059338.537082644</v>
      </c>
      <c r="L4" s="438">
        <f t="shared" si="0"/>
        <v>11537307.10643932</v>
      </c>
      <c r="M4" s="438">
        <f t="shared" si="0"/>
        <v>13118982.665952111</v>
      </c>
      <c r="N4" s="438">
        <f t="shared" si="0"/>
        <v>14664979.130119195</v>
      </c>
      <c r="O4" s="438">
        <f t="shared" si="0"/>
        <v>16036856.662902994</v>
      </c>
      <c r="P4" s="438">
        <f t="shared" si="0"/>
        <v>17233117.8261392</v>
      </c>
      <c r="Q4" s="438">
        <f t="shared" si="0"/>
        <v>18273327.613271892</v>
      </c>
      <c r="R4" s="438">
        <f t="shared" si="0"/>
        <v>19186012.963462334</v>
      </c>
      <c r="S4" s="439">
        <f t="shared" si="0"/>
        <v>20146654.35328209</v>
      </c>
    </row>
    <row r="5" spans="2:19">
      <c r="B5" s="441" t="s">
        <v>110</v>
      </c>
      <c r="C5" s="442"/>
      <c r="D5" s="443">
        <f>D4/C4-1</f>
        <v>8.2095528308524734E-2</v>
      </c>
      <c r="E5" s="443">
        <f>E4/D4-1</f>
        <v>0.14799439557680039</v>
      </c>
      <c r="F5" s="443">
        <f>F4/E4-1</f>
        <v>-5.702639408888166E-2</v>
      </c>
      <c r="G5" s="443">
        <f>G4/F4-1</f>
        <v>4.9895169879877743E-2</v>
      </c>
      <c r="H5" s="443">
        <f>H4/G4-1</f>
        <v>6.7636776545726196E-2</v>
      </c>
      <c r="I5" s="443">
        <f>I4/H4-1</f>
        <v>0.12898295605453791</v>
      </c>
      <c r="J5" s="445">
        <f>J4/I4-1</f>
        <v>0.13720779220779211</v>
      </c>
      <c r="K5" s="443">
        <f>K4/J4-1</f>
        <v>0.14591456736035058</v>
      </c>
      <c r="L5" s="443">
        <f>L4/K4-1</f>
        <v>0.14692502532928065</v>
      </c>
      <c r="M5" s="443">
        <f>M4/L4-1</f>
        <v>0.13709226467847158</v>
      </c>
      <c r="N5" s="443">
        <f>N4/M4-1</f>
        <v>0.11784423407917388</v>
      </c>
      <c r="O5" s="443">
        <f>O4/N4-1</f>
        <v>9.3547868061142569E-2</v>
      </c>
      <c r="P5" s="443">
        <f>P4/O4-1</f>
        <v>7.4594491201223967E-2</v>
      </c>
      <c r="Q5" s="443">
        <f>Q4/P4-1</f>
        <v>6.0361090641120052E-2</v>
      </c>
      <c r="R5" s="443">
        <f>R4/Q4-1</f>
        <v>4.9946313528990816E-2</v>
      </c>
      <c r="S5" s="444">
        <f>S4/R4-1</f>
        <v>5.0069881201956434E-2</v>
      </c>
    </row>
    <row r="6" spans="2:19">
      <c r="B6" s="187"/>
      <c r="J6" s="187"/>
      <c r="S6" s="170"/>
    </row>
    <row r="7" spans="2:19">
      <c r="B7" s="446" t="s">
        <v>111</v>
      </c>
      <c r="C7" s="447">
        <f>C4/AVERAGE(C13,C17)</f>
        <v>17415.839464882942</v>
      </c>
      <c r="D7" s="447">
        <f>D4/AVERAGE(D13,D17)</f>
        <v>17258.300153139357</v>
      </c>
      <c r="E7" s="447">
        <f>E4/AVERAGE(E13,E17)</f>
        <v>18429.51282051282</v>
      </c>
      <c r="F7" s="447">
        <f>F4/AVERAGE(F13,F17)</f>
        <v>16575.730978260868</v>
      </c>
      <c r="G7" s="447">
        <f>G4/AVERAGE(G13,G17)</f>
        <v>16853.218421052632</v>
      </c>
      <c r="H7" s="447">
        <f>H4/AVERAGE(H13,H17)</f>
        <v>17244.348045397226</v>
      </c>
      <c r="I7" s="447">
        <f>I4/AVERAGE(I13,I17)</f>
        <v>18227.367178276269</v>
      </c>
      <c r="J7" s="449">
        <f>I7*(1+J8)</f>
        <v>19229.872373081464</v>
      </c>
      <c r="K7" s="447">
        <f t="shared" ref="K7:S7" si="1">J7*(1+K8)</f>
        <v>20383.664715466351</v>
      </c>
      <c r="L7" s="447">
        <f t="shared" si="1"/>
        <v>21504.766274817001</v>
      </c>
      <c r="M7" s="447">
        <f t="shared" si="1"/>
        <v>22580.004588557851</v>
      </c>
      <c r="N7" s="447">
        <f t="shared" si="1"/>
        <v>23596.104795042953</v>
      </c>
      <c r="O7" s="447">
        <f t="shared" si="1"/>
        <v>24539.948986844673</v>
      </c>
      <c r="P7" s="447">
        <f t="shared" si="1"/>
        <v>25398.847201384233</v>
      </c>
      <c r="Q7" s="447">
        <f t="shared" si="1"/>
        <v>26160.81261742576</v>
      </c>
      <c r="R7" s="447">
        <f t="shared" si="1"/>
        <v>26814.832932861402</v>
      </c>
      <c r="S7" s="448">
        <f t="shared" si="1"/>
        <v>27485.203756182935</v>
      </c>
    </row>
    <row r="8" spans="2:19">
      <c r="B8" s="187" t="s">
        <v>112</v>
      </c>
      <c r="C8" s="347"/>
      <c r="D8" s="325">
        <f>D7/C7-1</f>
        <v>-9.0457489609527819E-3</v>
      </c>
      <c r="E8" s="325">
        <f t="shared" ref="E8:I8" si="2">E7/D7-1</f>
        <v>6.7863732637678975E-2</v>
      </c>
      <c r="F8" s="325">
        <f t="shared" si="2"/>
        <v>-0.10058767479673225</v>
      </c>
      <c r="G8" s="325">
        <f t="shared" si="2"/>
        <v>1.6740585567881716E-2</v>
      </c>
      <c r="H8" s="325">
        <f t="shared" si="2"/>
        <v>2.3208007786572393E-2</v>
      </c>
      <c r="I8" s="325">
        <f t="shared" si="2"/>
        <v>5.7005294157318032E-2</v>
      </c>
      <c r="J8" s="680">
        <f>CHOOSE(Cover!$M$16,'Revenue Model'!J24,'Revenue Model'!J25,'Revenue Model'!J26)</f>
        <v>5.5E-2</v>
      </c>
      <c r="K8" s="681">
        <f>CHOOSE(Cover!$M$16,'Revenue Model'!K24,'Revenue Model'!K25,'Revenue Model'!K26)</f>
        <v>0.06</v>
      </c>
      <c r="L8" s="681">
        <f>CHOOSE(Cover!$M$16,'Revenue Model'!L24,'Revenue Model'!L25,'Revenue Model'!L26)</f>
        <v>5.5E-2</v>
      </c>
      <c r="M8" s="681">
        <f>CHOOSE(Cover!$M$16,'Revenue Model'!M24,'Revenue Model'!M25,'Revenue Model'!M26)</f>
        <v>0.05</v>
      </c>
      <c r="N8" s="681">
        <f>CHOOSE(Cover!$M$16,'Revenue Model'!N24,'Revenue Model'!N25,'Revenue Model'!N26)</f>
        <v>4.5000000000000005E-2</v>
      </c>
      <c r="O8" s="681">
        <f>CHOOSE(Cover!$M$16,'Revenue Model'!O24,'Revenue Model'!O25,'Revenue Model'!O26)</f>
        <v>4.0000000000000008E-2</v>
      </c>
      <c r="P8" s="681">
        <f>CHOOSE(Cover!$M$16,'Revenue Model'!P24,'Revenue Model'!P25,'Revenue Model'!P26)</f>
        <v>3.500000000000001E-2</v>
      </c>
      <c r="Q8" s="681">
        <f>CHOOSE(Cover!$M$16,'Revenue Model'!Q24,'Revenue Model'!Q25,'Revenue Model'!Q26)</f>
        <v>3.0000000000000009E-2</v>
      </c>
      <c r="R8" s="681">
        <f>CHOOSE(Cover!$M$16,'Revenue Model'!R24,'Revenue Model'!R25,'Revenue Model'!R26)</f>
        <v>2.5000000000000008E-2</v>
      </c>
      <c r="S8" s="682">
        <f>CHOOSE(Cover!$M$16,'Revenue Model'!S24,'Revenue Model'!S25,'Revenue Model'!S26)</f>
        <v>2.5000000000000008E-2</v>
      </c>
    </row>
    <row r="9" spans="2:19">
      <c r="B9" s="187" t="s">
        <v>113</v>
      </c>
      <c r="C9" s="189">
        <v>2.1000000000000001E-2</v>
      </c>
      <c r="D9" s="189">
        <v>1.1000000000000001E-2</v>
      </c>
      <c r="E9" s="189">
        <v>6.9000000000000006E-2</v>
      </c>
      <c r="F9" s="189">
        <v>-6.7000000000000004E-2</v>
      </c>
      <c r="G9" s="189">
        <v>2.2000000000000002E-2</v>
      </c>
      <c r="H9" s="189">
        <v>3.4000000000000002E-2</v>
      </c>
      <c r="I9" s="189">
        <v>7.5999999999999998E-2</v>
      </c>
      <c r="J9" s="431"/>
      <c r="K9" s="158"/>
      <c r="L9" s="158"/>
      <c r="M9" s="158"/>
      <c r="N9" s="158"/>
      <c r="O9" s="158"/>
      <c r="P9" s="158"/>
      <c r="Q9" s="158"/>
      <c r="R9" s="158"/>
      <c r="S9" s="430"/>
    </row>
    <row r="10" spans="2:19">
      <c r="B10" s="187" t="s">
        <v>114</v>
      </c>
      <c r="C10" s="189">
        <v>6.0000000000000001E-3</v>
      </c>
      <c r="D10" s="189">
        <v>7.0000000000000001E-3</v>
      </c>
      <c r="E10" s="189">
        <v>3.6999999999999998E-2</v>
      </c>
      <c r="F10" s="189">
        <v>7.3999999999999996E-2</v>
      </c>
      <c r="G10" s="189">
        <v>0.113</v>
      </c>
      <c r="H10" s="189">
        <v>1.2E-2</v>
      </c>
      <c r="I10" s="189">
        <v>1.9E-2</v>
      </c>
      <c r="J10" s="431"/>
      <c r="K10" s="158"/>
      <c r="L10" s="158"/>
      <c r="M10" s="158"/>
      <c r="N10" s="158"/>
      <c r="O10" s="158"/>
      <c r="P10" s="158"/>
      <c r="Q10" s="158"/>
      <c r="R10" s="158"/>
      <c r="S10" s="430"/>
    </row>
    <row r="11" spans="2:19">
      <c r="B11" s="450" t="s">
        <v>115</v>
      </c>
      <c r="C11" s="440">
        <v>1.6E-2</v>
      </c>
      <c r="D11" s="440">
        <v>2.5000000000000001E-2</v>
      </c>
      <c r="E11" s="440">
        <v>1.4E-2</v>
      </c>
      <c r="F11" s="440">
        <v>7.4999999999999997E-2</v>
      </c>
      <c r="G11" s="440">
        <v>6.4000000000000001E-2</v>
      </c>
      <c r="H11" s="440">
        <v>3.1E-2</v>
      </c>
      <c r="I11" s="676">
        <v>0.03</v>
      </c>
      <c r="J11" s="459"/>
      <c r="K11" s="451"/>
      <c r="L11" s="451"/>
      <c r="M11" s="451"/>
      <c r="N11" s="451"/>
      <c r="O11" s="451"/>
      <c r="P11" s="451"/>
      <c r="Q11" s="451"/>
      <c r="R11" s="451"/>
      <c r="S11" s="460"/>
    </row>
    <row r="12" spans="2:19">
      <c r="B12" s="187"/>
      <c r="C12" s="168"/>
      <c r="D12" s="168"/>
      <c r="E12" s="168"/>
      <c r="F12" s="168"/>
      <c r="G12" s="168"/>
      <c r="H12" s="168"/>
      <c r="I12" s="179"/>
      <c r="J12" s="187"/>
      <c r="S12" s="170"/>
    </row>
    <row r="13" spans="2:19">
      <c r="B13" s="446" t="s">
        <v>116</v>
      </c>
      <c r="C13" s="442">
        <v>285</v>
      </c>
      <c r="D13" s="442">
        <v>313</v>
      </c>
      <c r="E13" s="442">
        <v>340</v>
      </c>
      <c r="F13" s="442">
        <v>362</v>
      </c>
      <c r="G13" s="442">
        <v>374</v>
      </c>
      <c r="H13" s="442">
        <v>386</v>
      </c>
      <c r="I13" s="442">
        <v>407</v>
      </c>
      <c r="J13" s="446">
        <f>I17</f>
        <v>440</v>
      </c>
      <c r="K13" s="442">
        <f t="shared" ref="K13:N13" si="3">J17</f>
        <v>473</v>
      </c>
      <c r="L13" s="442">
        <f t="shared" si="3"/>
        <v>514</v>
      </c>
      <c r="M13" s="442">
        <f t="shared" si="3"/>
        <v>559</v>
      </c>
      <c r="N13" s="442">
        <f t="shared" si="3"/>
        <v>603</v>
      </c>
      <c r="O13" s="442">
        <f t="shared" ref="O13:S13" si="4">N17</f>
        <v>640</v>
      </c>
      <c r="P13" s="442">
        <f t="shared" si="4"/>
        <v>667</v>
      </c>
      <c r="Q13" s="442">
        <f t="shared" si="4"/>
        <v>690</v>
      </c>
      <c r="R13" s="442">
        <f t="shared" si="4"/>
        <v>707</v>
      </c>
      <c r="S13" s="452">
        <f t="shared" si="4"/>
        <v>724</v>
      </c>
    </row>
    <row r="14" spans="2:19">
      <c r="B14" s="187" t="s">
        <v>117</v>
      </c>
      <c r="C14" s="154">
        <v>30</v>
      </c>
      <c r="D14" s="154">
        <v>28</v>
      </c>
      <c r="E14" s="154">
        <v>22</v>
      </c>
      <c r="F14" s="154">
        <v>12</v>
      </c>
      <c r="G14" s="154">
        <v>16</v>
      </c>
      <c r="H14" s="154">
        <v>30</v>
      </c>
      <c r="I14" s="154">
        <v>33</v>
      </c>
      <c r="J14" s="187">
        <f>_xlfn.FLOOR.MATH(J13*J20)</f>
        <v>37</v>
      </c>
      <c r="K14" s="154">
        <f t="shared" ref="K14:N14" si="5">_xlfn.FLOOR.MATH(K13*K20)</f>
        <v>44</v>
      </c>
      <c r="L14" s="154">
        <f t="shared" si="5"/>
        <v>48</v>
      </c>
      <c r="M14" s="154">
        <f t="shared" si="5"/>
        <v>47</v>
      </c>
      <c r="N14" s="154">
        <f t="shared" si="5"/>
        <v>39</v>
      </c>
      <c r="O14" s="154">
        <f t="shared" ref="O14" si="6">_xlfn.FLOOR.MATH(O13*O20)</f>
        <v>28</v>
      </c>
      <c r="P14" s="154">
        <f t="shared" ref="P14" si="7">_xlfn.FLOOR.MATH(P13*P20)</f>
        <v>23</v>
      </c>
      <c r="Q14" s="154">
        <f t="shared" ref="Q14" si="8">_xlfn.FLOOR.MATH(Q13*Q20)</f>
        <v>17</v>
      </c>
      <c r="R14" s="154">
        <f t="shared" ref="R14" si="9">_xlfn.FLOOR.MATH(R13*R20)</f>
        <v>17</v>
      </c>
      <c r="S14" s="170">
        <f>_xlfn.FLOOR.MATH(S13*S20)</f>
        <v>18</v>
      </c>
    </row>
    <row r="15" spans="2:19">
      <c r="B15" s="187" t="s">
        <v>118</v>
      </c>
      <c r="C15" s="154">
        <v>0</v>
      </c>
      <c r="D15" s="154">
        <v>0</v>
      </c>
      <c r="E15" s="154">
        <v>0</v>
      </c>
      <c r="F15" s="154">
        <v>0</v>
      </c>
      <c r="G15" s="154">
        <v>0</v>
      </c>
      <c r="H15" s="154">
        <v>2</v>
      </c>
      <c r="I15" s="154">
        <v>0</v>
      </c>
      <c r="J15" s="434">
        <v>0</v>
      </c>
      <c r="K15" s="274">
        <f>J15</f>
        <v>0</v>
      </c>
      <c r="L15" s="274">
        <f t="shared" ref="L15:N15" si="10">K15</f>
        <v>0</v>
      </c>
      <c r="M15" s="274">
        <f t="shared" si="10"/>
        <v>0</v>
      </c>
      <c r="N15" s="274">
        <f t="shared" si="10"/>
        <v>0</v>
      </c>
      <c r="O15" s="274">
        <f t="shared" ref="O15:S15" si="11">N15</f>
        <v>0</v>
      </c>
      <c r="P15" s="274">
        <f t="shared" si="11"/>
        <v>0</v>
      </c>
      <c r="Q15" s="274">
        <f t="shared" si="11"/>
        <v>0</v>
      </c>
      <c r="R15" s="274">
        <f t="shared" si="11"/>
        <v>0</v>
      </c>
      <c r="S15" s="435">
        <f t="shared" si="11"/>
        <v>0</v>
      </c>
    </row>
    <row r="16" spans="2:19">
      <c r="B16" s="187" t="s">
        <v>119</v>
      </c>
      <c r="C16" s="154">
        <v>-2</v>
      </c>
      <c r="D16" s="154">
        <v>-1</v>
      </c>
      <c r="E16" s="154">
        <v>0</v>
      </c>
      <c r="F16" s="154">
        <v>0</v>
      </c>
      <c r="G16" s="154">
        <v>-4</v>
      </c>
      <c r="H16" s="154">
        <v>-11</v>
      </c>
      <c r="I16" s="154">
        <v>0</v>
      </c>
      <c r="J16" s="187">
        <f>_xlfn.FLOOR.MATH(J13*J21)</f>
        <v>-4</v>
      </c>
      <c r="K16" s="154">
        <f t="shared" ref="K16:S16" si="12">_xlfn.FLOOR.MATH(K13*K21)</f>
        <v>-3</v>
      </c>
      <c r="L16" s="154">
        <f t="shared" si="12"/>
        <v>-3</v>
      </c>
      <c r="M16" s="154">
        <f t="shared" si="12"/>
        <v>-3</v>
      </c>
      <c r="N16" s="154">
        <f t="shared" si="12"/>
        <v>-2</v>
      </c>
      <c r="O16" s="154">
        <f t="shared" si="12"/>
        <v>-1</v>
      </c>
      <c r="P16" s="154">
        <f t="shared" si="12"/>
        <v>0</v>
      </c>
      <c r="Q16" s="154">
        <f t="shared" si="12"/>
        <v>0</v>
      </c>
      <c r="R16" s="154">
        <f t="shared" si="12"/>
        <v>0</v>
      </c>
      <c r="S16" s="170">
        <f t="shared" si="12"/>
        <v>0</v>
      </c>
    </row>
    <row r="17" spans="2:21">
      <c r="B17" s="450" t="s">
        <v>120</v>
      </c>
      <c r="C17" s="453">
        <v>313</v>
      </c>
      <c r="D17" s="453">
        <v>340</v>
      </c>
      <c r="E17" s="453">
        <v>362</v>
      </c>
      <c r="F17" s="453">
        <v>374</v>
      </c>
      <c r="G17" s="453">
        <v>386</v>
      </c>
      <c r="H17" s="453">
        <v>407</v>
      </c>
      <c r="I17" s="453">
        <v>440</v>
      </c>
      <c r="J17" s="450">
        <f>J13+J14+J16+J15</f>
        <v>473</v>
      </c>
      <c r="K17" s="453">
        <f>K13+K14+K16+K15</f>
        <v>514</v>
      </c>
      <c r="L17" s="453">
        <f>L13+L14+L16+L15</f>
        <v>559</v>
      </c>
      <c r="M17" s="453">
        <f>M13+M14+M16+M15</f>
        <v>603</v>
      </c>
      <c r="N17" s="453">
        <f>N13+N14+N16+N15</f>
        <v>640</v>
      </c>
      <c r="O17" s="453">
        <f t="shared" ref="O17:S17" si="13">O13+O14+O16+O15</f>
        <v>667</v>
      </c>
      <c r="P17" s="453">
        <f t="shared" si="13"/>
        <v>690</v>
      </c>
      <c r="Q17" s="453">
        <f t="shared" si="13"/>
        <v>707</v>
      </c>
      <c r="R17" s="453">
        <f t="shared" si="13"/>
        <v>724</v>
      </c>
      <c r="S17" s="454">
        <f t="shared" si="13"/>
        <v>742</v>
      </c>
    </row>
    <row r="18" spans="2:21">
      <c r="B18" s="455" t="s">
        <v>121</v>
      </c>
      <c r="C18" s="660">
        <v>9029768</v>
      </c>
      <c r="D18" s="660">
        <v>9846081</v>
      </c>
      <c r="E18" s="660">
        <v>10344669</v>
      </c>
      <c r="F18" s="660">
        <v>10625686</v>
      </c>
      <c r="G18" s="660">
        <v>10894396</v>
      </c>
      <c r="H18" s="660">
        <v>11322798</v>
      </c>
      <c r="I18" s="660">
        <v>12123032</v>
      </c>
      <c r="J18" s="677"/>
      <c r="K18" s="678"/>
      <c r="L18" s="678"/>
      <c r="M18" s="678"/>
      <c r="N18" s="678"/>
      <c r="O18" s="678"/>
      <c r="P18" s="678"/>
      <c r="Q18" s="678"/>
      <c r="R18" s="678"/>
      <c r="S18" s="679"/>
    </row>
    <row r="19" spans="2:21">
      <c r="B19" s="187"/>
      <c r="J19" s="187"/>
      <c r="S19" s="170"/>
    </row>
    <row r="20" spans="2:21">
      <c r="B20" s="446" t="s">
        <v>122</v>
      </c>
      <c r="C20" s="443">
        <f>(C14+C15)/C13</f>
        <v>0.10526315789473684</v>
      </c>
      <c r="D20" s="443">
        <f t="shared" ref="D20:I20" si="14">(D14+D15)/D13</f>
        <v>8.9456869009584661E-2</v>
      </c>
      <c r="E20" s="443">
        <f t="shared" si="14"/>
        <v>6.4705882352941183E-2</v>
      </c>
      <c r="F20" s="443">
        <f t="shared" si="14"/>
        <v>3.3149171270718231E-2</v>
      </c>
      <c r="G20" s="443">
        <f t="shared" si="14"/>
        <v>4.2780748663101602E-2</v>
      </c>
      <c r="H20" s="443">
        <f t="shared" si="14"/>
        <v>8.2901554404145081E-2</v>
      </c>
      <c r="I20" s="443">
        <f t="shared" si="14"/>
        <v>8.1081081081081086E-2</v>
      </c>
      <c r="J20" s="456">
        <f>CHOOSE(Cover!$M$21,'Revenue Model'!J28,'Revenue Model'!J29,'Revenue Model'!J30)</f>
        <v>8.5000000000000006E-2</v>
      </c>
      <c r="K20" s="457">
        <f>CHOOSE(Cover!$M$21,'Revenue Model'!K28,'Revenue Model'!K29,'Revenue Model'!K30)</f>
        <v>9.5000000000000001E-2</v>
      </c>
      <c r="L20" s="457">
        <f>CHOOSE(Cover!$M$21,'Revenue Model'!L28,'Revenue Model'!L29,'Revenue Model'!L30)</f>
        <v>9.5000000000000001E-2</v>
      </c>
      <c r="M20" s="457">
        <f>CHOOSE(Cover!$M$21,'Revenue Model'!M28,'Revenue Model'!M29,'Revenue Model'!M30)</f>
        <v>8.5000000000000006E-2</v>
      </c>
      <c r="N20" s="457">
        <f>CHOOSE(Cover!$M$21,'Revenue Model'!N28,'Revenue Model'!N29,'Revenue Model'!N30)</f>
        <v>6.5000000000000002E-2</v>
      </c>
      <c r="O20" s="457">
        <f>CHOOSE(Cover!$M$21,'Revenue Model'!O28,'Revenue Model'!O29,'Revenue Model'!O30)</f>
        <v>4.4999999999999998E-2</v>
      </c>
      <c r="P20" s="457">
        <f>CHOOSE(Cover!$M$21,'Revenue Model'!P28,'Revenue Model'!P29,'Revenue Model'!P30)</f>
        <v>3.4999999999999996E-2</v>
      </c>
      <c r="Q20" s="457">
        <f>CHOOSE(Cover!$M$21,'Revenue Model'!Q28,'Revenue Model'!Q29,'Revenue Model'!Q30)</f>
        <v>2.4999999999999994E-2</v>
      </c>
      <c r="R20" s="457">
        <f>CHOOSE(Cover!$M$21,'Revenue Model'!R28,'Revenue Model'!R29,'Revenue Model'!R30)</f>
        <v>2.4999999999999994E-2</v>
      </c>
      <c r="S20" s="458">
        <f>CHOOSE(Cover!$M$21,'Revenue Model'!S28,'Revenue Model'!S29,'Revenue Model'!S30)</f>
        <v>2.4999999999999994E-2</v>
      </c>
    </row>
    <row r="21" spans="2:21">
      <c r="B21" s="187" t="s">
        <v>119</v>
      </c>
      <c r="C21" s="171">
        <f>C16/C13</f>
        <v>-7.0175438596491229E-3</v>
      </c>
      <c r="D21" s="171">
        <f t="shared" ref="D21:I21" si="15">D16/D13</f>
        <v>-3.1948881789137379E-3</v>
      </c>
      <c r="E21" s="171">
        <f t="shared" si="15"/>
        <v>0</v>
      </c>
      <c r="F21" s="171">
        <f t="shared" si="15"/>
        <v>0</v>
      </c>
      <c r="G21" s="171">
        <f t="shared" si="15"/>
        <v>-1.06951871657754E-2</v>
      </c>
      <c r="H21" s="171">
        <f t="shared" si="15"/>
        <v>-2.8497409326424871E-2</v>
      </c>
      <c r="I21" s="171">
        <f t="shared" si="15"/>
        <v>0</v>
      </c>
      <c r="J21" s="672">
        <v>-7.0000000000000001E-3</v>
      </c>
      <c r="K21" s="631">
        <v>-6.0000000000000001E-3</v>
      </c>
      <c r="L21" s="631">
        <v>-5.0000000000000001E-3</v>
      </c>
      <c r="M21" s="631">
        <v>-4.0000000000000001E-3</v>
      </c>
      <c r="N21" s="631">
        <v>-3.0000000000000001E-3</v>
      </c>
      <c r="O21" s="631">
        <v>-1E-3</v>
      </c>
      <c r="P21" s="631">
        <v>0</v>
      </c>
      <c r="Q21" s="631">
        <v>0</v>
      </c>
      <c r="R21" s="631">
        <v>0</v>
      </c>
      <c r="S21" s="673">
        <v>0</v>
      </c>
    </row>
    <row r="22" spans="2:21" ht="15.95" thickBot="1">
      <c r="B22" s="668" t="s">
        <v>123</v>
      </c>
      <c r="C22" s="175">
        <f>SUM(C14:C16)/C13</f>
        <v>9.8245614035087719E-2</v>
      </c>
      <c r="D22" s="175">
        <f t="shared" ref="D22:I22" si="16">SUM(D14:D16)/D13</f>
        <v>8.6261980830670923E-2</v>
      </c>
      <c r="E22" s="175">
        <f t="shared" si="16"/>
        <v>6.4705882352941183E-2</v>
      </c>
      <c r="F22" s="175">
        <f t="shared" si="16"/>
        <v>3.3149171270718231E-2</v>
      </c>
      <c r="G22" s="175">
        <f t="shared" si="16"/>
        <v>3.2085561497326207E-2</v>
      </c>
      <c r="H22" s="175">
        <f t="shared" si="16"/>
        <v>5.4404145077720206E-2</v>
      </c>
      <c r="I22" s="175">
        <f t="shared" si="16"/>
        <v>8.1081081081081086E-2</v>
      </c>
      <c r="J22" s="675">
        <f>J17/I17-1</f>
        <v>7.4999999999999956E-2</v>
      </c>
      <c r="K22" s="177">
        <f t="shared" ref="K22:S22" si="17">K17/J17-1</f>
        <v>8.6680761099365844E-2</v>
      </c>
      <c r="L22" s="177">
        <f t="shared" si="17"/>
        <v>8.7548638132295631E-2</v>
      </c>
      <c r="M22" s="177">
        <f t="shared" si="17"/>
        <v>7.8711985688729946E-2</v>
      </c>
      <c r="N22" s="177">
        <f t="shared" si="17"/>
        <v>6.1359867330016638E-2</v>
      </c>
      <c r="O22" s="177">
        <f t="shared" si="17"/>
        <v>4.2187500000000044E-2</v>
      </c>
      <c r="P22" s="177">
        <f t="shared" si="17"/>
        <v>3.4482758620689724E-2</v>
      </c>
      <c r="Q22" s="177">
        <f t="shared" si="17"/>
        <v>2.4637681159420222E-2</v>
      </c>
      <c r="R22" s="177">
        <f t="shared" si="17"/>
        <v>2.4045261669024098E-2</v>
      </c>
      <c r="S22" s="487">
        <f>S17/R17-1</f>
        <v>2.4861878453038777E-2</v>
      </c>
    </row>
    <row r="23" spans="2:21">
      <c r="B23" s="154" t="s">
        <v>124</v>
      </c>
      <c r="C23" s="171"/>
      <c r="D23" s="171"/>
      <c r="E23" s="171"/>
      <c r="F23" s="171"/>
      <c r="G23" s="171"/>
      <c r="H23" s="171"/>
      <c r="I23" s="171"/>
      <c r="J23" s="631"/>
      <c r="K23" s="631"/>
      <c r="L23" s="631"/>
      <c r="M23" s="631"/>
      <c r="N23" s="631"/>
      <c r="O23" s="631"/>
      <c r="P23" s="631"/>
      <c r="Q23" s="631"/>
      <c r="R23" s="631"/>
      <c r="S23" s="631"/>
    </row>
    <row r="24" spans="2:21">
      <c r="B24" s="299" t="s">
        <v>125</v>
      </c>
      <c r="C24" s="300"/>
      <c r="D24" s="300"/>
      <c r="E24" s="300"/>
      <c r="F24" s="300"/>
      <c r="G24" s="300"/>
      <c r="H24" s="300"/>
      <c r="I24" s="381"/>
      <c r="J24" s="301">
        <f>J25+$U24</f>
        <v>4.4999999999999998E-2</v>
      </c>
      <c r="K24" s="301">
        <f t="shared" ref="K24:S24" si="18">K25+$U24</f>
        <v>4.9999999999999996E-2</v>
      </c>
      <c r="L24" s="301">
        <f t="shared" si="18"/>
        <v>4.4999999999999998E-2</v>
      </c>
      <c r="M24" s="301">
        <f t="shared" si="18"/>
        <v>0.04</v>
      </c>
      <c r="N24" s="301">
        <f t="shared" si="18"/>
        <v>3.5000000000000003E-2</v>
      </c>
      <c r="O24" s="301">
        <f t="shared" si="18"/>
        <v>3.0000000000000006E-2</v>
      </c>
      <c r="P24" s="301">
        <f t="shared" si="18"/>
        <v>2.5000000000000008E-2</v>
      </c>
      <c r="Q24" s="301">
        <f t="shared" si="18"/>
        <v>2.0000000000000011E-2</v>
      </c>
      <c r="R24" s="301">
        <f t="shared" si="18"/>
        <v>1.5000000000000008E-2</v>
      </c>
      <c r="S24" s="302">
        <f t="shared" si="18"/>
        <v>1.5000000000000008E-2</v>
      </c>
      <c r="T24" s="186"/>
      <c r="U24" s="303">
        <v>-0.01</v>
      </c>
    </row>
    <row r="25" spans="2:21">
      <c r="B25" s="304" t="s">
        <v>126</v>
      </c>
      <c r="C25" s="305"/>
      <c r="D25" s="305"/>
      <c r="E25" s="305"/>
      <c r="F25" s="305"/>
      <c r="G25" s="305"/>
      <c r="H25" s="305"/>
      <c r="I25" s="382"/>
      <c r="J25" s="152">
        <v>5.5E-2</v>
      </c>
      <c r="K25" s="152">
        <f>J25+0.5%</f>
        <v>0.06</v>
      </c>
      <c r="L25" s="152">
        <f>K25-0.5%</f>
        <v>5.5E-2</v>
      </c>
      <c r="M25" s="152">
        <f>L25-0.5%</f>
        <v>0.05</v>
      </c>
      <c r="N25" s="152">
        <f t="shared" ref="N25:S25" si="19">M25-0.5%</f>
        <v>4.5000000000000005E-2</v>
      </c>
      <c r="O25" s="152">
        <f t="shared" si="19"/>
        <v>4.0000000000000008E-2</v>
      </c>
      <c r="P25" s="152">
        <f t="shared" si="19"/>
        <v>3.500000000000001E-2</v>
      </c>
      <c r="Q25" s="152">
        <f t="shared" si="19"/>
        <v>3.0000000000000009E-2</v>
      </c>
      <c r="R25" s="152">
        <f t="shared" si="19"/>
        <v>2.5000000000000008E-2</v>
      </c>
      <c r="S25" s="153">
        <f>R25</f>
        <v>2.5000000000000008E-2</v>
      </c>
      <c r="T25" s="186"/>
      <c r="U25" s="306"/>
    </row>
    <row r="26" spans="2:21">
      <c r="B26" s="307" t="s">
        <v>127</v>
      </c>
      <c r="C26" s="308"/>
      <c r="D26" s="308"/>
      <c r="E26" s="308"/>
      <c r="F26" s="308"/>
      <c r="G26" s="308"/>
      <c r="H26" s="308"/>
      <c r="I26" s="383"/>
      <c r="J26" s="317">
        <f>J25+$U26</f>
        <v>6.5000000000000002E-2</v>
      </c>
      <c r="K26" s="317">
        <f t="shared" ref="K26:S26" si="20">K25+$U26</f>
        <v>6.9999999999999993E-2</v>
      </c>
      <c r="L26" s="317">
        <f t="shared" si="20"/>
        <v>6.5000000000000002E-2</v>
      </c>
      <c r="M26" s="317">
        <f t="shared" si="20"/>
        <v>6.0000000000000005E-2</v>
      </c>
      <c r="N26" s="317">
        <f t="shared" si="20"/>
        <v>5.5000000000000007E-2</v>
      </c>
      <c r="O26" s="317">
        <f t="shared" si="20"/>
        <v>5.000000000000001E-2</v>
      </c>
      <c r="P26" s="317">
        <f t="shared" si="20"/>
        <v>4.5000000000000012E-2</v>
      </c>
      <c r="Q26" s="317">
        <f t="shared" si="20"/>
        <v>4.0000000000000008E-2</v>
      </c>
      <c r="R26" s="317">
        <f t="shared" si="20"/>
        <v>3.500000000000001E-2</v>
      </c>
      <c r="S26" s="318">
        <f t="shared" si="20"/>
        <v>3.500000000000001E-2</v>
      </c>
      <c r="T26" s="186"/>
      <c r="U26" s="309">
        <v>0.01</v>
      </c>
    </row>
    <row r="27" spans="2:21" ht="15.95">
      <c r="B27" s="311" t="s">
        <v>128</v>
      </c>
      <c r="C27" s="171"/>
      <c r="D27" s="171"/>
      <c r="E27" s="171"/>
      <c r="F27" s="171"/>
      <c r="G27" s="171"/>
      <c r="H27" s="171"/>
      <c r="I27" s="171"/>
      <c r="J27" s="171"/>
      <c r="K27" s="172"/>
      <c r="L27" s="172"/>
      <c r="M27" s="172"/>
      <c r="N27" s="172"/>
      <c r="O27" s="172"/>
      <c r="P27" s="172"/>
      <c r="Q27" s="172"/>
      <c r="R27" s="172"/>
      <c r="S27" s="172"/>
      <c r="T27" s="171"/>
    </row>
    <row r="28" spans="2:21">
      <c r="B28" s="299" t="s">
        <v>125</v>
      </c>
      <c r="C28" s="300"/>
      <c r="D28" s="300"/>
      <c r="E28" s="300"/>
      <c r="F28" s="300"/>
      <c r="G28" s="300"/>
      <c r="H28" s="300"/>
      <c r="I28" s="381"/>
      <c r="J28" s="301">
        <f>J29+$U28</f>
        <v>7.5000000000000011E-2</v>
      </c>
      <c r="K28" s="301">
        <f t="shared" ref="K28:S28" si="21">K29+$U28</f>
        <v>8.5000000000000006E-2</v>
      </c>
      <c r="L28" s="301">
        <f t="shared" si="21"/>
        <v>8.5000000000000006E-2</v>
      </c>
      <c r="M28" s="301">
        <f t="shared" si="21"/>
        <v>7.5000000000000011E-2</v>
      </c>
      <c r="N28" s="301">
        <f t="shared" si="21"/>
        <v>5.5E-2</v>
      </c>
      <c r="O28" s="301">
        <f t="shared" si="21"/>
        <v>3.4999999999999996E-2</v>
      </c>
      <c r="P28" s="301">
        <f t="shared" si="21"/>
        <v>2.4999999999999994E-2</v>
      </c>
      <c r="Q28" s="301">
        <f t="shared" si="21"/>
        <v>1.4999999999999994E-2</v>
      </c>
      <c r="R28" s="301">
        <f t="shared" si="21"/>
        <v>1.4999999999999994E-2</v>
      </c>
      <c r="S28" s="302">
        <f t="shared" si="21"/>
        <v>1.4999999999999994E-2</v>
      </c>
      <c r="T28" s="186"/>
      <c r="U28" s="303">
        <v>-0.01</v>
      </c>
    </row>
    <row r="29" spans="2:21">
      <c r="B29" s="304" t="s">
        <v>126</v>
      </c>
      <c r="C29" s="305"/>
      <c r="D29" s="305"/>
      <c r="E29" s="305"/>
      <c r="F29" s="305"/>
      <c r="G29" s="305"/>
      <c r="H29" s="305"/>
      <c r="I29" s="382"/>
      <c r="J29" s="152">
        <v>8.5000000000000006E-2</v>
      </c>
      <c r="K29" s="152">
        <f>J29+1%</f>
        <v>9.5000000000000001E-2</v>
      </c>
      <c r="L29" s="152">
        <f>K29</f>
        <v>9.5000000000000001E-2</v>
      </c>
      <c r="M29" s="152">
        <f>L29-1%</f>
        <v>8.5000000000000006E-2</v>
      </c>
      <c r="N29" s="152">
        <f>M29-2%</f>
        <v>6.5000000000000002E-2</v>
      </c>
      <c r="O29" s="152">
        <f>N29-2%</f>
        <v>4.4999999999999998E-2</v>
      </c>
      <c r="P29" s="152">
        <f>O29-1%</f>
        <v>3.4999999999999996E-2</v>
      </c>
      <c r="Q29" s="152">
        <f>P29-1%</f>
        <v>2.4999999999999994E-2</v>
      </c>
      <c r="R29" s="152">
        <f>Q29</f>
        <v>2.4999999999999994E-2</v>
      </c>
      <c r="S29" s="153">
        <f>R29</f>
        <v>2.4999999999999994E-2</v>
      </c>
      <c r="T29" s="186"/>
      <c r="U29" s="306"/>
    </row>
    <row r="30" spans="2:21">
      <c r="B30" s="307" t="s">
        <v>127</v>
      </c>
      <c r="C30" s="308"/>
      <c r="D30" s="308"/>
      <c r="E30" s="308"/>
      <c r="F30" s="308"/>
      <c r="G30" s="308"/>
      <c r="H30" s="308"/>
      <c r="I30" s="383"/>
      <c r="J30" s="317">
        <f>J29+$U30</f>
        <v>9.5000000000000001E-2</v>
      </c>
      <c r="K30" s="317">
        <f t="shared" ref="K30:S30" si="22">K29+$U30</f>
        <v>0.105</v>
      </c>
      <c r="L30" s="317">
        <f t="shared" si="22"/>
        <v>0.105</v>
      </c>
      <c r="M30" s="317">
        <f t="shared" si="22"/>
        <v>9.5000000000000001E-2</v>
      </c>
      <c r="N30" s="317">
        <f t="shared" si="22"/>
        <v>7.4999999999999997E-2</v>
      </c>
      <c r="O30" s="317">
        <f t="shared" si="22"/>
        <v>5.5E-2</v>
      </c>
      <c r="P30" s="317">
        <f t="shared" si="22"/>
        <v>4.4999999999999998E-2</v>
      </c>
      <c r="Q30" s="317">
        <f t="shared" si="22"/>
        <v>3.4999999999999996E-2</v>
      </c>
      <c r="R30" s="317">
        <f t="shared" si="22"/>
        <v>3.4999999999999996E-2</v>
      </c>
      <c r="S30" s="318">
        <f t="shared" si="22"/>
        <v>3.4999999999999996E-2</v>
      </c>
      <c r="T30" s="186"/>
      <c r="U30" s="309">
        <v>0.01</v>
      </c>
    </row>
    <row r="31" spans="2:21">
      <c r="C31" s="244"/>
      <c r="D31" s="325"/>
      <c r="E31" s="325"/>
      <c r="F31" s="325"/>
      <c r="G31" s="325"/>
      <c r="J31" s="274"/>
      <c r="K31" s="274"/>
      <c r="L31" s="274"/>
      <c r="M31" s="274"/>
      <c r="N31" s="274"/>
    </row>
    <row r="32" spans="2:21">
      <c r="B32" s="154" t="s">
        <v>129</v>
      </c>
      <c r="C32" s="244">
        <f>CORREL(D9:I9,D8:I8)</f>
        <v>0.99101056609638438</v>
      </c>
      <c r="D32" s="325"/>
      <c r="E32" s="674"/>
      <c r="F32" s="674"/>
      <c r="G32" s="674"/>
      <c r="J32" s="274"/>
      <c r="K32" s="274"/>
      <c r="L32" s="274"/>
      <c r="M32" s="274"/>
      <c r="N32" s="274"/>
    </row>
    <row r="33" spans="2:19" ht="15.95" thickBot="1"/>
    <row r="34" spans="2:19" ht="15.95" thickBot="1">
      <c r="B34" s="462"/>
      <c r="C34" s="463" t="s">
        <v>85</v>
      </c>
      <c r="D34" s="463" t="s">
        <v>86</v>
      </c>
      <c r="E34" s="463" t="s">
        <v>87</v>
      </c>
      <c r="F34" s="464" t="s">
        <v>88</v>
      </c>
      <c r="G34" s="463" t="s">
        <v>89</v>
      </c>
      <c r="H34" s="463" t="s">
        <v>90</v>
      </c>
      <c r="I34" s="465" t="s">
        <v>91</v>
      </c>
      <c r="J34" s="273"/>
    </row>
    <row r="35" spans="2:19">
      <c r="B35" s="428" t="s">
        <v>130</v>
      </c>
      <c r="C35" s="466">
        <v>0.57499999999999996</v>
      </c>
      <c r="D35" s="189">
        <v>0.57700000000000007</v>
      </c>
      <c r="E35" s="466">
        <v>0.57200000000000006</v>
      </c>
      <c r="F35" s="189">
        <v>0.57700000000000007</v>
      </c>
      <c r="G35" s="466">
        <v>0.57999999999999996</v>
      </c>
      <c r="H35" s="466">
        <v>0.57299999999999995</v>
      </c>
      <c r="I35" s="467">
        <v>0.57299999999999995</v>
      </c>
      <c r="K35" s="158"/>
      <c r="L35" s="158"/>
      <c r="M35" s="158"/>
      <c r="N35" s="158"/>
    </row>
    <row r="36" spans="2:19" ht="15.95" thickBot="1">
      <c r="B36" s="468" t="s">
        <v>131</v>
      </c>
      <c r="C36" s="469">
        <v>0.42499999999999999</v>
      </c>
      <c r="D36" s="191">
        <v>0.42299999999999999</v>
      </c>
      <c r="E36" s="469">
        <v>0.42799999999999999</v>
      </c>
      <c r="F36" s="191">
        <v>0.42299999999999999</v>
      </c>
      <c r="G36" s="469">
        <v>0.42</v>
      </c>
      <c r="H36" s="469">
        <v>0.42700000000000005</v>
      </c>
      <c r="I36" s="470">
        <v>0.42700000000000005</v>
      </c>
      <c r="J36" s="298"/>
      <c r="K36" s="158"/>
      <c r="L36" s="158"/>
      <c r="M36" s="158"/>
      <c r="N36" s="158"/>
    </row>
    <row r="37" spans="2:19">
      <c r="J37" s="298"/>
      <c r="K37" s="158"/>
      <c r="L37" s="158"/>
      <c r="M37" s="158"/>
      <c r="N37" s="158"/>
    </row>
    <row r="38" spans="2:19" ht="15.95" thickBot="1">
      <c r="B38" s="154" t="s">
        <v>132</v>
      </c>
    </row>
    <row r="39" spans="2:19" ht="17.100000000000001" thickBot="1">
      <c r="B39" s="424" t="s">
        <v>133</v>
      </c>
      <c r="C39" s="425" t="s">
        <v>92</v>
      </c>
      <c r="D39" s="425" t="s">
        <v>93</v>
      </c>
      <c r="E39" s="425" t="s">
        <v>94</v>
      </c>
      <c r="F39" s="425" t="s">
        <v>95</v>
      </c>
      <c r="G39" s="426" t="s">
        <v>96</v>
      </c>
      <c r="H39" s="426" t="s">
        <v>97</v>
      </c>
      <c r="I39" s="426" t="s">
        <v>98</v>
      </c>
      <c r="J39" s="426" t="s">
        <v>99</v>
      </c>
      <c r="K39" s="426" t="s">
        <v>100</v>
      </c>
      <c r="L39" s="426" t="s">
        <v>101</v>
      </c>
      <c r="M39" s="426" t="s">
        <v>102</v>
      </c>
      <c r="N39" s="426" t="s">
        <v>103</v>
      </c>
      <c r="O39" s="426" t="s">
        <v>104</v>
      </c>
      <c r="P39" s="426" t="s">
        <v>105</v>
      </c>
      <c r="Q39" s="426" t="s">
        <v>106</v>
      </c>
      <c r="R39" s="426" t="s">
        <v>107</v>
      </c>
      <c r="S39" s="426" t="s">
        <v>108</v>
      </c>
    </row>
    <row r="40" spans="2:19">
      <c r="B40" s="661" t="s">
        <v>134</v>
      </c>
      <c r="C40" s="484"/>
      <c r="D40" s="662">
        <f>SUM(D41:D43)</f>
        <v>5634835</v>
      </c>
      <c r="E40" s="662">
        <f t="shared" ref="E40:S40" si="23">SUM(E41:E43)</f>
        <v>6468759</v>
      </c>
      <c r="F40" s="662">
        <f t="shared" si="23"/>
        <v>6099869</v>
      </c>
      <c r="G40" s="662">
        <f t="shared" si="23"/>
        <v>6404223</v>
      </c>
      <c r="H40" s="662">
        <f t="shared" si="23"/>
        <v>6837385</v>
      </c>
      <c r="I40" s="662">
        <f t="shared" si="23"/>
        <v>7719290</v>
      </c>
      <c r="J40" s="662">
        <f t="shared" si="23"/>
        <v>8754659</v>
      </c>
      <c r="K40" s="662">
        <f t="shared" si="23"/>
        <v>9957708</v>
      </c>
      <c r="L40" s="662">
        <f t="shared" si="23"/>
        <v>11270234</v>
      </c>
      <c r="M40" s="662">
        <f t="shared" si="23"/>
        <v>12675799</v>
      </c>
      <c r="N40" s="662">
        <f t="shared" si="23"/>
        <v>14173351</v>
      </c>
      <c r="O40" s="662">
        <f t="shared" si="23"/>
        <v>15751026</v>
      </c>
      <c r="P40" s="662">
        <f t="shared" si="23"/>
        <v>17311030</v>
      </c>
      <c r="Q40" s="662">
        <f t="shared" si="23"/>
        <v>18722598</v>
      </c>
      <c r="R40" s="662">
        <f t="shared" si="23"/>
        <v>19939026</v>
      </c>
      <c r="S40" s="663">
        <f t="shared" si="23"/>
        <v>21020535</v>
      </c>
    </row>
    <row r="41" spans="2:19">
      <c r="B41" s="644" t="s">
        <v>135</v>
      </c>
      <c r="C41" s="645"/>
      <c r="D41" s="645">
        <v>5264617</v>
      </c>
      <c r="E41" s="645">
        <v>6023639</v>
      </c>
      <c r="F41" s="645">
        <v>6035352</v>
      </c>
      <c r="G41" s="645">
        <v>6234066</v>
      </c>
      <c r="H41" s="645">
        <v>6621967</v>
      </c>
      <c r="I41" s="645">
        <v>7357025</v>
      </c>
      <c r="J41" s="646">
        <v>8336833</v>
      </c>
      <c r="K41" s="645">
        <v>9498806</v>
      </c>
      <c r="L41" s="645">
        <v>10754325</v>
      </c>
      <c r="M41" s="645">
        <v>12115502</v>
      </c>
      <c r="N41" s="645">
        <v>13563106</v>
      </c>
      <c r="O41" s="645">
        <v>15094618</v>
      </c>
      <c r="P41" s="645">
        <v>16696087</v>
      </c>
      <c r="Q41" s="645">
        <v>18176582</v>
      </c>
      <c r="R41" s="645">
        <v>19471503</v>
      </c>
      <c r="S41" s="647">
        <v>20537196</v>
      </c>
    </row>
    <row r="42" spans="2:19">
      <c r="B42" s="648" t="s">
        <v>136</v>
      </c>
      <c r="C42" s="664"/>
      <c r="D42" s="664">
        <v>-8410</v>
      </c>
      <c r="E42" s="664" t="s">
        <v>137</v>
      </c>
      <c r="F42" s="664" t="s">
        <v>137</v>
      </c>
      <c r="G42" s="664">
        <v>-33337</v>
      </c>
      <c r="H42" s="664">
        <v>-94354</v>
      </c>
      <c r="I42" s="664" t="s">
        <v>137</v>
      </c>
      <c r="J42" s="649">
        <v>-37895</v>
      </c>
      <c r="K42" s="664">
        <v>-40335</v>
      </c>
      <c r="L42" s="664">
        <v>-42761</v>
      </c>
      <c r="M42" s="664">
        <v>-45123</v>
      </c>
      <c r="N42" s="664">
        <v>-59279</v>
      </c>
      <c r="O42" s="664">
        <v>-62067</v>
      </c>
      <c r="P42" s="664">
        <v>-64714</v>
      </c>
      <c r="Q42" s="664">
        <v>-67023</v>
      </c>
      <c r="R42" s="664">
        <v>-68950</v>
      </c>
      <c r="S42" s="650">
        <v>-84515</v>
      </c>
    </row>
    <row r="43" spans="2:19">
      <c r="B43" s="648" t="s">
        <v>138</v>
      </c>
      <c r="C43" s="664"/>
      <c r="D43" s="664">
        <v>378628</v>
      </c>
      <c r="E43" s="664">
        <v>445120</v>
      </c>
      <c r="F43" s="664">
        <v>64517</v>
      </c>
      <c r="G43" s="664">
        <v>203494</v>
      </c>
      <c r="H43" s="664">
        <v>309772</v>
      </c>
      <c r="I43" s="664">
        <v>362265</v>
      </c>
      <c r="J43" s="649">
        <v>455721</v>
      </c>
      <c r="K43" s="664">
        <v>499237</v>
      </c>
      <c r="L43" s="664">
        <v>558670</v>
      </c>
      <c r="M43" s="664">
        <v>605420</v>
      </c>
      <c r="N43" s="664">
        <v>669524</v>
      </c>
      <c r="O43" s="664">
        <v>718475</v>
      </c>
      <c r="P43" s="664">
        <v>679657</v>
      </c>
      <c r="Q43" s="664">
        <v>613039</v>
      </c>
      <c r="R43" s="664">
        <v>536473</v>
      </c>
      <c r="S43" s="650">
        <v>567854</v>
      </c>
    </row>
    <row r="44" spans="2:19">
      <c r="B44" s="644" t="s">
        <v>111</v>
      </c>
      <c r="C44" s="645">
        <v>16637</v>
      </c>
      <c r="D44" s="645">
        <v>16573</v>
      </c>
      <c r="E44" s="645">
        <v>17870</v>
      </c>
      <c r="F44" s="645">
        <v>16310</v>
      </c>
      <c r="G44" s="645">
        <v>16591</v>
      </c>
      <c r="H44" s="645">
        <v>16799</v>
      </c>
      <c r="I44" s="645">
        <v>17544</v>
      </c>
      <c r="J44" s="646">
        <v>18587</v>
      </c>
      <c r="K44" s="645">
        <v>19797</v>
      </c>
      <c r="L44" s="645">
        <v>20987</v>
      </c>
      <c r="M44" s="645">
        <v>22160</v>
      </c>
      <c r="N44" s="645">
        <v>23311</v>
      </c>
      <c r="O44" s="645">
        <v>24420</v>
      </c>
      <c r="P44" s="645">
        <v>25532</v>
      </c>
      <c r="Q44" s="645">
        <v>26519</v>
      </c>
      <c r="R44" s="645">
        <v>27351</v>
      </c>
      <c r="S44" s="647">
        <v>27953</v>
      </c>
    </row>
    <row r="45" spans="2:19">
      <c r="B45" s="648" t="s">
        <v>139</v>
      </c>
      <c r="C45" s="665"/>
      <c r="D45" s="664">
        <v>16820</v>
      </c>
      <c r="E45" s="664">
        <v>17717</v>
      </c>
      <c r="F45" s="664">
        <v>16672</v>
      </c>
      <c r="G45" s="664">
        <v>16669</v>
      </c>
      <c r="H45" s="664">
        <v>17155</v>
      </c>
      <c r="I45" s="664">
        <v>18076</v>
      </c>
      <c r="J45" s="649">
        <v>18947</v>
      </c>
      <c r="K45" s="664">
        <v>20167</v>
      </c>
      <c r="L45" s="664">
        <v>21380</v>
      </c>
      <c r="M45" s="664">
        <v>22561</v>
      </c>
      <c r="N45" s="664">
        <v>23712</v>
      </c>
      <c r="O45" s="664">
        <v>24827</v>
      </c>
      <c r="P45" s="664">
        <v>25885</v>
      </c>
      <c r="Q45" s="664">
        <v>26809</v>
      </c>
      <c r="R45" s="664">
        <v>27580</v>
      </c>
      <c r="S45" s="650">
        <v>28172</v>
      </c>
    </row>
    <row r="46" spans="2:19">
      <c r="B46" s="651" t="s">
        <v>140</v>
      </c>
      <c r="C46" s="652"/>
      <c r="D46" s="652">
        <v>27045</v>
      </c>
      <c r="E46" s="652">
        <v>40465</v>
      </c>
      <c r="F46" s="652">
        <v>10753</v>
      </c>
      <c r="G46" s="652">
        <v>25437</v>
      </c>
      <c r="H46" s="652">
        <v>19361</v>
      </c>
      <c r="I46" s="652">
        <v>21955</v>
      </c>
      <c r="J46" s="653">
        <v>26041</v>
      </c>
      <c r="K46" s="652">
        <v>27735</v>
      </c>
      <c r="L46" s="652">
        <v>29404</v>
      </c>
      <c r="M46" s="652">
        <v>31047</v>
      </c>
      <c r="N46" s="652">
        <v>32660</v>
      </c>
      <c r="O46" s="652">
        <v>34213</v>
      </c>
      <c r="P46" s="652">
        <v>35771</v>
      </c>
      <c r="Q46" s="652">
        <v>37154</v>
      </c>
      <c r="R46" s="652">
        <v>38319</v>
      </c>
      <c r="S46" s="654">
        <v>39162</v>
      </c>
    </row>
    <row r="47" spans="2:19">
      <c r="B47" s="655" t="s">
        <v>141</v>
      </c>
      <c r="C47" s="664"/>
      <c r="D47" s="666">
        <v>1.61</v>
      </c>
      <c r="E47" s="666">
        <v>2.2799999999999998</v>
      </c>
      <c r="F47" s="666">
        <v>0.64</v>
      </c>
      <c r="G47" s="666">
        <v>1.53</v>
      </c>
      <c r="H47" s="666">
        <v>1.1299999999999999</v>
      </c>
      <c r="I47" s="666">
        <v>1.21</v>
      </c>
      <c r="J47" s="656">
        <v>1.4</v>
      </c>
      <c r="K47" s="667">
        <v>1.4</v>
      </c>
      <c r="L47" s="667">
        <v>1.4</v>
      </c>
      <c r="M47" s="667">
        <v>1.4</v>
      </c>
      <c r="N47" s="667">
        <v>1.4</v>
      </c>
      <c r="O47" s="667">
        <v>1.4</v>
      </c>
      <c r="P47" s="667">
        <v>1.4</v>
      </c>
      <c r="Q47" s="667">
        <v>1.4</v>
      </c>
      <c r="R47" s="667">
        <v>1.4</v>
      </c>
      <c r="S47" s="657">
        <v>1.4</v>
      </c>
    </row>
    <row r="48" spans="2:19" ht="15.95" thickBot="1">
      <c r="B48" s="668" t="s">
        <v>142</v>
      </c>
      <c r="C48" s="191">
        <v>2.1000000000000001E-2</v>
      </c>
      <c r="D48" s="191">
        <v>1.1000000000000001E-2</v>
      </c>
      <c r="E48" s="191">
        <v>6.9000000000000006E-2</v>
      </c>
      <c r="F48" s="191">
        <v>-6.7000000000000004E-2</v>
      </c>
      <c r="G48" s="191">
        <v>2.2000000000000002E-2</v>
      </c>
      <c r="H48" s="191">
        <v>3.4000000000000002E-2</v>
      </c>
      <c r="I48" s="191">
        <v>7.5999999999999998E-2</v>
      </c>
      <c r="J48" s="669">
        <v>0.08</v>
      </c>
      <c r="K48" s="670">
        <v>8.5000000000000006E-2</v>
      </c>
      <c r="L48" s="670">
        <v>0.08</v>
      </c>
      <c r="M48" s="670">
        <v>7.4999999999999997E-2</v>
      </c>
      <c r="N48" s="670">
        <v>7.0000000000000007E-2</v>
      </c>
      <c r="O48" s="670">
        <v>6.5000000000000002E-2</v>
      </c>
      <c r="P48" s="670">
        <v>0.06</v>
      </c>
      <c r="Q48" s="670">
        <v>0.05</v>
      </c>
      <c r="R48" s="670">
        <v>0.04</v>
      </c>
      <c r="S48" s="671">
        <v>0.03</v>
      </c>
    </row>
    <row r="53" spans="3:14" ht="15.95">
      <c r="C53" s="297"/>
      <c r="D53" s="471"/>
      <c r="E53" s="297"/>
      <c r="F53" s="471"/>
      <c r="G53" s="297"/>
      <c r="H53" s="297"/>
      <c r="I53" s="297"/>
      <c r="J53" s="297"/>
      <c r="K53" s="297"/>
      <c r="L53" s="297"/>
      <c r="M53" s="297"/>
      <c r="N53" s="297"/>
    </row>
    <row r="54" spans="3:14" ht="15.95">
      <c r="N54" s="297"/>
    </row>
    <row r="55" spans="3:14" ht="15.95">
      <c r="N55" s="297"/>
    </row>
    <row r="56" spans="3:14" ht="15.95">
      <c r="N56" s="297"/>
    </row>
    <row r="57" spans="3:14" ht="15.95">
      <c r="N57" s="297"/>
    </row>
    <row r="58" spans="3:14" ht="15.95">
      <c r="N58" s="297"/>
    </row>
    <row r="59" spans="3:14" ht="15.95">
      <c r="N59" s="297"/>
    </row>
    <row r="60" spans="3:14" ht="15.95">
      <c r="N60" s="297"/>
    </row>
    <row r="61" spans="3:14" ht="15.95">
      <c r="C61" s="298"/>
      <c r="D61" s="297"/>
      <c r="E61" s="297"/>
      <c r="F61" s="297"/>
      <c r="G61" s="297"/>
      <c r="H61" s="297"/>
      <c r="I61" s="297"/>
      <c r="J61" s="297"/>
      <c r="K61" s="297"/>
      <c r="L61" s="297"/>
      <c r="M61" s="297"/>
      <c r="N61" s="297"/>
    </row>
    <row r="64" spans="3:14" ht="15.95">
      <c r="C64" s="472"/>
      <c r="D64" s="472"/>
      <c r="E64" s="473"/>
      <c r="F64" s="472"/>
      <c r="G64" s="297"/>
      <c r="H64" s="297"/>
      <c r="I64" s="297"/>
      <c r="J64" s="297"/>
      <c r="K64" s="297"/>
    </row>
    <row r="65" spans="3:11" ht="15.95">
      <c r="C65" s="472"/>
      <c r="D65" s="472"/>
      <c r="E65" s="471"/>
      <c r="F65" s="472"/>
      <c r="G65" s="472"/>
      <c r="H65" s="471"/>
      <c r="I65" s="472"/>
      <c r="J65" s="297"/>
      <c r="K65" s="297"/>
    </row>
    <row r="66" spans="3:11">
      <c r="C66" s="298"/>
      <c r="D66" s="1"/>
      <c r="E66" s="298"/>
      <c r="F66" s="474"/>
      <c r="G66" s="1"/>
      <c r="H66" s="1"/>
      <c r="I66" s="298"/>
      <c r="K66" s="1"/>
    </row>
    <row r="67" spans="3:11">
      <c r="C67" s="298"/>
      <c r="D67" s="1"/>
      <c r="E67" s="1"/>
      <c r="F67" s="474"/>
      <c r="G67" s="1"/>
      <c r="H67" s="1"/>
      <c r="I67" s="1"/>
      <c r="K67" s="1"/>
    </row>
    <row r="68" spans="3:11">
      <c r="C68" s="298"/>
      <c r="D68" s="1"/>
      <c r="E68" s="1"/>
      <c r="F68" s="474"/>
      <c r="G68" s="1"/>
      <c r="H68" s="1"/>
      <c r="I68" s="1"/>
      <c r="K68" s="1"/>
    </row>
    <row r="69" spans="3:11">
      <c r="C69" s="298"/>
      <c r="D69" s="1"/>
      <c r="E69" s="1"/>
      <c r="F69" s="474"/>
      <c r="G69" s="1"/>
      <c r="H69" s="1"/>
      <c r="I69" s="1"/>
      <c r="K69" s="1"/>
    </row>
    <row r="70" spans="3:11">
      <c r="C70" s="298"/>
      <c r="D70" s="1"/>
      <c r="E70" s="1"/>
      <c r="F70" s="474"/>
      <c r="G70" s="1"/>
      <c r="H70" s="1"/>
      <c r="I70" s="1"/>
      <c r="K70" s="1"/>
    </row>
    <row r="71" spans="3:11">
      <c r="C71" s="298"/>
      <c r="D71" s="1"/>
      <c r="E71" s="1"/>
      <c r="F71" s="298"/>
      <c r="G71" s="298"/>
      <c r="H71" s="1"/>
      <c r="I71" s="1"/>
      <c r="K71" s="298"/>
    </row>
    <row r="72" spans="3:11">
      <c r="C72" s="298"/>
      <c r="D72" s="1"/>
      <c r="E72" s="298"/>
      <c r="F72" s="474"/>
      <c r="G72" s="1"/>
      <c r="H72" s="1"/>
      <c r="I72" s="298"/>
      <c r="K72" s="1"/>
    </row>
    <row r="73" spans="3:11" ht="15.95">
      <c r="C73" s="475"/>
      <c r="D73" s="297"/>
      <c r="E73" s="297"/>
      <c r="F73" s="297"/>
      <c r="G73" s="297"/>
      <c r="H73" s="297"/>
      <c r="I73" s="297"/>
      <c r="J73" s="297"/>
      <c r="K73" s="297"/>
    </row>
    <row r="74" spans="3:11" ht="15.95">
      <c r="C74" s="475"/>
      <c r="D74" s="297"/>
      <c r="E74" s="297"/>
      <c r="F74" s="297"/>
      <c r="G74" s="297"/>
      <c r="H74" s="297"/>
      <c r="I74" s="297"/>
      <c r="J74" s="297"/>
      <c r="K74" s="297"/>
    </row>
    <row r="75" spans="3:11" ht="15.95">
      <c r="C75" s="298"/>
      <c r="D75" s="297"/>
      <c r="E75" s="297"/>
      <c r="F75" s="297"/>
      <c r="G75" s="297"/>
      <c r="H75" s="297"/>
      <c r="I75" s="297"/>
      <c r="J75" s="297"/>
      <c r="K75" s="297"/>
    </row>
    <row r="76" spans="3:11" ht="15.95">
      <c r="C76" s="476"/>
      <c r="D76" s="297"/>
      <c r="E76" s="297"/>
      <c r="F76" s="297"/>
      <c r="G76" s="297"/>
      <c r="H76" s="297"/>
      <c r="I76" s="297"/>
      <c r="J76" s="297"/>
      <c r="K76" s="297"/>
    </row>
    <row r="77" spans="3:11" ht="15.95">
      <c r="C77" s="297"/>
      <c r="D77" s="297"/>
      <c r="E77" s="297"/>
      <c r="F77" s="297"/>
      <c r="G77" s="297"/>
      <c r="H77" s="297"/>
      <c r="I77" s="297"/>
      <c r="J77" s="297"/>
      <c r="K77" s="297"/>
    </row>
    <row r="78" spans="3:11" ht="15.95">
      <c r="C78" s="472"/>
      <c r="D78" s="472"/>
      <c r="E78" s="473"/>
      <c r="F78" s="472"/>
      <c r="G78" s="297"/>
      <c r="H78" s="297"/>
      <c r="I78" s="297"/>
      <c r="J78" s="297"/>
      <c r="K78" s="297"/>
    </row>
    <row r="79" spans="3:11" ht="15.95">
      <c r="C79" s="472"/>
      <c r="D79" s="472"/>
      <c r="E79" s="471"/>
      <c r="F79" s="472"/>
      <c r="G79" s="472"/>
      <c r="H79" s="471"/>
      <c r="I79" s="472"/>
      <c r="J79" s="297"/>
      <c r="K79" s="297"/>
    </row>
    <row r="80" spans="3:11">
      <c r="C80" s="298"/>
      <c r="D80" s="1"/>
      <c r="E80" s="298"/>
      <c r="F80" s="474"/>
      <c r="G80" s="1"/>
      <c r="H80" s="1"/>
      <c r="I80" s="298"/>
      <c r="K80" s="1"/>
    </row>
    <row r="81" spans="3:11">
      <c r="C81" s="298"/>
      <c r="D81" s="1"/>
      <c r="E81" s="1"/>
      <c r="F81" s="474"/>
      <c r="G81" s="1"/>
      <c r="H81" s="1"/>
      <c r="I81" s="1"/>
      <c r="K81" s="1"/>
    </row>
    <row r="82" spans="3:11">
      <c r="C82" s="298"/>
      <c r="D82" s="1"/>
      <c r="E82" s="1"/>
      <c r="F82" s="474"/>
      <c r="G82" s="1"/>
      <c r="H82" s="1"/>
      <c r="I82" s="1"/>
      <c r="K82" s="1"/>
    </row>
    <row r="83" spans="3:11">
      <c r="C83" s="298"/>
      <c r="D83" s="1"/>
      <c r="E83" s="1"/>
      <c r="F83" s="474"/>
      <c r="G83" s="1"/>
      <c r="H83" s="1"/>
      <c r="I83" s="1"/>
      <c r="K83" s="1"/>
    </row>
    <row r="84" spans="3:11">
      <c r="C84" s="298"/>
      <c r="D84" s="1"/>
      <c r="E84" s="1"/>
      <c r="F84" s="474"/>
      <c r="G84" s="1"/>
      <c r="H84" s="1"/>
      <c r="I84" s="1"/>
      <c r="K84" s="1"/>
    </row>
    <row r="85" spans="3:11">
      <c r="C85" s="298"/>
      <c r="D85" s="1"/>
      <c r="E85" s="1"/>
      <c r="F85" s="298"/>
      <c r="G85" s="298"/>
      <c r="H85" s="1"/>
      <c r="I85" s="1"/>
      <c r="K85" s="298"/>
    </row>
    <row r="86" spans="3:11">
      <c r="C86" s="298"/>
      <c r="D86" s="1"/>
      <c r="E86" s="298"/>
      <c r="F86" s="474"/>
      <c r="G86" s="1"/>
      <c r="H86" s="1"/>
      <c r="I86" s="298"/>
      <c r="K86" s="1"/>
    </row>
    <row r="87" spans="3:11" ht="15.95">
      <c r="C87" s="475"/>
      <c r="D87" s="297"/>
      <c r="E87" s="297"/>
      <c r="F87" s="297"/>
      <c r="G87" s="297"/>
      <c r="H87" s="297"/>
      <c r="I87" s="297"/>
      <c r="J87" s="297"/>
      <c r="K87" s="297"/>
    </row>
    <row r="88" spans="3:11" ht="15.95">
      <c r="C88" s="475"/>
      <c r="D88" s="297"/>
      <c r="E88" s="297"/>
      <c r="F88" s="297"/>
      <c r="G88" s="297"/>
      <c r="H88" s="297"/>
      <c r="I88" s="297"/>
      <c r="J88" s="297"/>
      <c r="K88" s="297"/>
    </row>
    <row r="89" spans="3:11" ht="15.95">
      <c r="C89" s="1"/>
      <c r="D89" s="473"/>
      <c r="E89" s="473"/>
      <c r="F89" s="473"/>
      <c r="G89" s="297"/>
      <c r="H89" s="297"/>
      <c r="I89" s="297"/>
      <c r="J89" s="297"/>
      <c r="K89" s="297"/>
    </row>
    <row r="90" spans="3:11" ht="15.95">
      <c r="C90" s="768"/>
      <c r="D90" s="768"/>
      <c r="E90" s="473"/>
      <c r="F90" s="768"/>
      <c r="G90" s="768"/>
      <c r="H90" s="473"/>
      <c r="I90" s="768"/>
      <c r="J90" s="297"/>
      <c r="K90" s="297"/>
    </row>
    <row r="91" spans="3:11" ht="15.95">
      <c r="C91" s="768"/>
      <c r="D91" s="768"/>
      <c r="E91" s="473"/>
      <c r="F91" s="768"/>
      <c r="G91" s="768"/>
      <c r="H91" s="473"/>
      <c r="I91" s="768"/>
      <c r="J91" s="297"/>
      <c r="K91" s="297"/>
    </row>
    <row r="92" spans="3:11">
      <c r="C92" s="298"/>
      <c r="D92" s="298"/>
      <c r="E92" s="298"/>
      <c r="F92" s="474"/>
      <c r="G92" s="298"/>
      <c r="H92" s="298"/>
      <c r="I92" s="298"/>
      <c r="J92" s="474"/>
      <c r="K92" s="298"/>
    </row>
    <row r="93" spans="3:11">
      <c r="C93" s="298"/>
      <c r="D93" s="298"/>
      <c r="E93" s="298"/>
      <c r="F93" s="474"/>
      <c r="G93" s="298"/>
      <c r="H93" s="298"/>
      <c r="I93" s="298"/>
      <c r="J93" s="474"/>
      <c r="K93" s="298"/>
    </row>
    <row r="94" spans="3:11">
      <c r="C94" s="298"/>
      <c r="D94" s="298"/>
      <c r="E94" s="298"/>
      <c r="F94" s="474"/>
      <c r="G94" s="298"/>
      <c r="H94" s="298"/>
      <c r="I94" s="298"/>
      <c r="J94" s="474"/>
      <c r="K94" s="298"/>
    </row>
    <row r="95" spans="3:11">
      <c r="C95" s="298"/>
      <c r="D95" s="298"/>
      <c r="E95" s="298"/>
      <c r="F95" s="474"/>
      <c r="G95" s="298"/>
      <c r="H95" s="298"/>
      <c r="I95" s="298"/>
      <c r="J95" s="474"/>
      <c r="K95" s="298"/>
    </row>
    <row r="96" spans="3:11">
      <c r="C96" s="298"/>
      <c r="D96" s="298"/>
      <c r="E96" s="298"/>
      <c r="F96" s="474"/>
      <c r="G96" s="298"/>
      <c r="H96" s="298"/>
      <c r="I96" s="298"/>
      <c r="J96" s="474"/>
      <c r="K96" s="298"/>
    </row>
    <row r="97" spans="3:11">
      <c r="C97" s="298"/>
      <c r="D97" s="298"/>
      <c r="E97" s="298"/>
      <c r="F97" s="298"/>
      <c r="G97" s="298"/>
      <c r="H97" s="298"/>
      <c r="I97" s="298"/>
      <c r="J97" s="298"/>
      <c r="K97" s="298"/>
    </row>
    <row r="98" spans="3:11">
      <c r="C98" s="298"/>
      <c r="D98" s="298"/>
      <c r="E98" s="298"/>
      <c r="F98" s="474"/>
      <c r="G98" s="298"/>
      <c r="H98" s="298"/>
      <c r="I98" s="298"/>
      <c r="J98" s="474"/>
      <c r="K98" s="477"/>
    </row>
    <row r="99" spans="3:11" ht="15.95">
      <c r="C99" s="475"/>
      <c r="D99" s="297"/>
      <c r="E99" s="297"/>
      <c r="F99" s="297"/>
      <c r="G99" s="297"/>
      <c r="H99" s="297"/>
      <c r="I99" s="297"/>
      <c r="J99" s="297"/>
      <c r="K99" s="297"/>
    </row>
    <row r="100" spans="3:11" ht="15.95">
      <c r="C100" s="475"/>
      <c r="D100" s="297"/>
      <c r="E100" s="297"/>
      <c r="F100" s="297"/>
      <c r="G100" s="297"/>
      <c r="H100" s="297"/>
      <c r="I100" s="297"/>
      <c r="J100" s="297"/>
      <c r="K100" s="297"/>
    </row>
  </sheetData>
  <mergeCells count="5">
    <mergeCell ref="C90:C91"/>
    <mergeCell ref="D90:D91"/>
    <mergeCell ref="F90:F91"/>
    <mergeCell ref="G90:G91"/>
    <mergeCell ref="I90:I91"/>
  </mergeCells>
  <phoneticPr fontId="46" type="noConversion"/>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4801-9E2F-114C-AE0C-127CCD56810D}">
  <dimension ref="B1:V64"/>
  <sheetViews>
    <sheetView showGridLines="0" topLeftCell="A26" workbookViewId="0">
      <selection activeCell="D46" sqref="D46"/>
    </sheetView>
  </sheetViews>
  <sheetFormatPr defaultColWidth="10.6640625" defaultRowHeight="15"/>
  <cols>
    <col min="1" max="1" width="2.6640625" style="154" customWidth="1"/>
    <col min="2" max="32" width="10.33203125" style="154" customWidth="1"/>
    <col min="33" max="16384" width="10.6640625" style="154"/>
  </cols>
  <sheetData>
    <row r="1" spans="2:22" ht="20.100000000000001" customHeight="1" thickBot="1"/>
    <row r="2" spans="2:22" ht="15.95" thickBot="1">
      <c r="B2" s="762" t="s">
        <v>143</v>
      </c>
      <c r="C2" s="763"/>
      <c r="D2" s="763"/>
      <c r="E2" s="763"/>
      <c r="F2" s="763"/>
      <c r="G2" s="764"/>
      <c r="I2" s="762" t="s">
        <v>144</v>
      </c>
      <c r="J2" s="763"/>
      <c r="K2" s="763"/>
      <c r="L2" s="763"/>
      <c r="M2" s="763"/>
      <c r="N2" s="764"/>
    </row>
    <row r="3" spans="2:22" ht="15.95" thickBot="1">
      <c r="B3" s="533" t="s">
        <v>145</v>
      </c>
      <c r="C3" s="534">
        <v>2020</v>
      </c>
      <c r="D3" s="534">
        <v>2021</v>
      </c>
      <c r="E3" s="534">
        <v>2022</v>
      </c>
      <c r="F3" s="534">
        <v>2023</v>
      </c>
      <c r="G3" s="535">
        <v>2024</v>
      </c>
      <c r="I3" s="533" t="s">
        <v>145</v>
      </c>
      <c r="J3" s="534">
        <v>2020</v>
      </c>
      <c r="K3" s="534">
        <v>2021</v>
      </c>
      <c r="L3" s="534">
        <v>2022</v>
      </c>
      <c r="M3" s="534">
        <v>2023</v>
      </c>
      <c r="N3" s="535">
        <v>2024</v>
      </c>
      <c r="P3" s="683" t="s">
        <v>146</v>
      </c>
      <c r="Q3" s="535" t="s">
        <v>147</v>
      </c>
      <c r="R3" s="534">
        <v>2020</v>
      </c>
      <c r="S3" s="534">
        <v>2021</v>
      </c>
      <c r="T3" s="534">
        <v>2022</v>
      </c>
      <c r="U3" s="534">
        <v>2023</v>
      </c>
      <c r="V3" s="535">
        <v>2024</v>
      </c>
    </row>
    <row r="4" spans="2:22">
      <c r="B4" s="536" t="s">
        <v>147</v>
      </c>
      <c r="D4" s="537"/>
      <c r="G4" s="538"/>
      <c r="I4" s="536" t="s">
        <v>147</v>
      </c>
      <c r="K4" s="537"/>
      <c r="N4" s="538"/>
      <c r="P4" s="428" t="s">
        <v>148</v>
      </c>
      <c r="Q4" s="282" t="s">
        <v>149</v>
      </c>
      <c r="R4" s="199">
        <v>96000</v>
      </c>
      <c r="S4" s="199">
        <v>96000</v>
      </c>
      <c r="T4" s="199">
        <v>96000</v>
      </c>
      <c r="U4" s="199">
        <v>96000</v>
      </c>
      <c r="V4" s="500">
        <v>96000</v>
      </c>
    </row>
    <row r="5" spans="2:22">
      <c r="B5" s="539" t="s">
        <v>150</v>
      </c>
      <c r="C5" s="273">
        <v>3</v>
      </c>
      <c r="D5" s="273">
        <v>3</v>
      </c>
      <c r="E5" s="273">
        <v>3</v>
      </c>
      <c r="F5" s="273">
        <v>3</v>
      </c>
      <c r="G5" s="282">
        <v>3</v>
      </c>
      <c r="I5" s="539" t="s">
        <v>150</v>
      </c>
      <c r="J5" s="273"/>
      <c r="K5" s="273">
        <f>D5-C5</f>
        <v>0</v>
      </c>
      <c r="L5" s="273">
        <f t="shared" ref="L5:M20" si="0">E5-D5</f>
        <v>0</v>
      </c>
      <c r="M5" s="273">
        <f t="shared" si="0"/>
        <v>0</v>
      </c>
      <c r="N5" s="282">
        <f t="shared" ref="N5:N26" si="1">G5-F5</f>
        <v>0</v>
      </c>
      <c r="P5" s="428" t="s">
        <v>151</v>
      </c>
      <c r="Q5" s="282" t="s">
        <v>149</v>
      </c>
      <c r="R5" s="199">
        <v>129000</v>
      </c>
      <c r="S5" s="199">
        <v>129000</v>
      </c>
      <c r="T5" s="199">
        <v>129000</v>
      </c>
      <c r="U5" s="199">
        <v>129000</v>
      </c>
      <c r="V5" s="500">
        <v>129000</v>
      </c>
    </row>
    <row r="6" spans="2:22">
      <c r="B6" s="539" t="s">
        <v>149</v>
      </c>
      <c r="C6" s="273">
        <v>42</v>
      </c>
      <c r="D6" s="273">
        <v>43</v>
      </c>
      <c r="E6" s="273">
        <v>44</v>
      </c>
      <c r="F6" s="273">
        <v>45</v>
      </c>
      <c r="G6" s="282">
        <v>47</v>
      </c>
      <c r="I6" s="539" t="s">
        <v>149</v>
      </c>
      <c r="J6" s="273"/>
      <c r="K6" s="273">
        <f t="shared" ref="K6:K27" si="2">D6-C6</f>
        <v>1</v>
      </c>
      <c r="L6" s="273">
        <f t="shared" si="0"/>
        <v>1</v>
      </c>
      <c r="M6" s="273">
        <f t="shared" si="0"/>
        <v>1</v>
      </c>
      <c r="N6" s="282">
        <f t="shared" si="1"/>
        <v>2</v>
      </c>
      <c r="P6" s="428" t="s">
        <v>151</v>
      </c>
      <c r="Q6" s="282" t="s">
        <v>152</v>
      </c>
      <c r="R6" s="199">
        <v>123000</v>
      </c>
      <c r="S6" s="199">
        <v>123000</v>
      </c>
      <c r="T6" s="199">
        <v>123000</v>
      </c>
      <c r="U6" s="199">
        <v>337000</v>
      </c>
      <c r="V6" s="500">
        <v>337000</v>
      </c>
    </row>
    <row r="7" spans="2:22">
      <c r="B7" s="539" t="s">
        <v>152</v>
      </c>
      <c r="C7" s="273">
        <v>126</v>
      </c>
      <c r="D7" s="273">
        <v>128</v>
      </c>
      <c r="E7" s="273">
        <v>130</v>
      </c>
      <c r="F7" s="273">
        <v>139</v>
      </c>
      <c r="G7" s="282">
        <v>149</v>
      </c>
      <c r="I7" s="539" t="s">
        <v>152</v>
      </c>
      <c r="J7" s="273"/>
      <c r="K7" s="273">
        <f t="shared" si="2"/>
        <v>2</v>
      </c>
      <c r="L7" s="273">
        <f t="shared" si="0"/>
        <v>2</v>
      </c>
      <c r="M7" s="273">
        <f t="shared" si="0"/>
        <v>9</v>
      </c>
      <c r="N7" s="282">
        <f t="shared" si="1"/>
        <v>10</v>
      </c>
      <c r="P7" s="428" t="s">
        <v>151</v>
      </c>
      <c r="Q7" s="282" t="s">
        <v>152</v>
      </c>
      <c r="R7" s="199">
        <v>110000</v>
      </c>
      <c r="S7" s="199">
        <v>110000</v>
      </c>
      <c r="T7" s="199">
        <v>110000</v>
      </c>
      <c r="U7" s="199">
        <v>108000</v>
      </c>
      <c r="V7" s="500">
        <v>108000</v>
      </c>
    </row>
    <row r="8" spans="2:22">
      <c r="B8" s="539" t="s">
        <v>153</v>
      </c>
      <c r="C8" s="273">
        <v>32</v>
      </c>
      <c r="D8" s="273">
        <v>32</v>
      </c>
      <c r="E8" s="273">
        <v>32</v>
      </c>
      <c r="F8" s="273">
        <v>33</v>
      </c>
      <c r="G8" s="282">
        <v>33</v>
      </c>
      <c r="I8" s="539" t="s">
        <v>153</v>
      </c>
      <c r="J8" s="273"/>
      <c r="K8" s="273">
        <f t="shared" si="2"/>
        <v>0</v>
      </c>
      <c r="L8" s="273">
        <f t="shared" si="0"/>
        <v>0</v>
      </c>
      <c r="M8" s="273">
        <f t="shared" si="0"/>
        <v>1</v>
      </c>
      <c r="N8" s="282">
        <f t="shared" si="1"/>
        <v>0</v>
      </c>
      <c r="P8" s="428" t="s">
        <v>151</v>
      </c>
      <c r="Q8" s="282" t="s">
        <v>153</v>
      </c>
      <c r="R8" s="199">
        <v>0</v>
      </c>
      <c r="S8" s="199">
        <v>134000</v>
      </c>
      <c r="T8" s="199">
        <v>134000</v>
      </c>
      <c r="U8" s="199">
        <v>134000</v>
      </c>
      <c r="V8" s="500">
        <v>134000</v>
      </c>
    </row>
    <row r="9" spans="2:22">
      <c r="B9" s="539" t="s">
        <v>154</v>
      </c>
      <c r="C9" s="273">
        <v>1</v>
      </c>
      <c r="D9" s="273">
        <v>1</v>
      </c>
      <c r="E9" s="273">
        <v>1</v>
      </c>
      <c r="F9" s="273">
        <v>1</v>
      </c>
      <c r="G9" s="282">
        <v>2</v>
      </c>
      <c r="I9" s="539" t="s">
        <v>154</v>
      </c>
      <c r="J9" s="273"/>
      <c r="K9" s="273">
        <f t="shared" si="2"/>
        <v>0</v>
      </c>
      <c r="L9" s="273">
        <f t="shared" si="0"/>
        <v>0</v>
      </c>
      <c r="M9" s="273">
        <f t="shared" si="0"/>
        <v>0</v>
      </c>
      <c r="N9" s="282">
        <f t="shared" si="1"/>
        <v>1</v>
      </c>
      <c r="P9" s="428" t="s">
        <v>151</v>
      </c>
      <c r="Q9" s="282" t="s">
        <v>155</v>
      </c>
      <c r="R9" s="199">
        <v>0</v>
      </c>
      <c r="S9" s="199">
        <v>134000</v>
      </c>
      <c r="T9" s="199">
        <v>134000</v>
      </c>
      <c r="U9" s="199">
        <v>134000</v>
      </c>
      <c r="V9" s="500">
        <v>134000</v>
      </c>
    </row>
    <row r="10" spans="2:22">
      <c r="B10" s="539" t="s">
        <v>155</v>
      </c>
      <c r="C10" s="273">
        <v>23</v>
      </c>
      <c r="D10" s="273">
        <v>29</v>
      </c>
      <c r="E10" s="273">
        <v>35</v>
      </c>
      <c r="F10" s="273">
        <v>43</v>
      </c>
      <c r="G10" s="282">
        <v>47</v>
      </c>
      <c r="I10" s="539" t="s">
        <v>155</v>
      </c>
      <c r="J10" s="273"/>
      <c r="K10" s="273">
        <f t="shared" si="2"/>
        <v>6</v>
      </c>
      <c r="L10" s="273">
        <f t="shared" si="0"/>
        <v>6</v>
      </c>
      <c r="M10" s="273">
        <f t="shared" si="0"/>
        <v>8</v>
      </c>
      <c r="N10" s="282">
        <f t="shared" si="1"/>
        <v>4</v>
      </c>
      <c r="P10" s="428" t="s">
        <v>151</v>
      </c>
      <c r="Q10" s="282" t="s">
        <v>156</v>
      </c>
      <c r="R10" s="199">
        <v>117000</v>
      </c>
      <c r="S10" s="199">
        <v>117000</v>
      </c>
      <c r="T10" s="199">
        <v>117000</v>
      </c>
      <c r="U10" s="199">
        <v>234000</v>
      </c>
      <c r="V10" s="500">
        <v>234000</v>
      </c>
    </row>
    <row r="11" spans="2:22" ht="15.95" thickBot="1">
      <c r="B11" s="539" t="s">
        <v>157</v>
      </c>
      <c r="C11" s="273">
        <v>16</v>
      </c>
      <c r="D11" s="273">
        <v>18</v>
      </c>
      <c r="E11" s="273">
        <v>18</v>
      </c>
      <c r="F11" s="273">
        <v>16</v>
      </c>
      <c r="G11" s="282">
        <v>17</v>
      </c>
      <c r="I11" s="539" t="s">
        <v>157</v>
      </c>
      <c r="J11" s="273"/>
      <c r="K11" s="273">
        <f t="shared" si="2"/>
        <v>2</v>
      </c>
      <c r="L11" s="273">
        <f t="shared" si="0"/>
        <v>0</v>
      </c>
      <c r="M11" s="273">
        <f t="shared" si="0"/>
        <v>-2</v>
      </c>
      <c r="N11" s="282">
        <f t="shared" si="1"/>
        <v>1</v>
      </c>
      <c r="P11" s="468" t="s">
        <v>151</v>
      </c>
      <c r="Q11" s="541" t="s">
        <v>157</v>
      </c>
      <c r="R11" s="684">
        <v>100000</v>
      </c>
      <c r="S11" s="684">
        <v>100000</v>
      </c>
      <c r="T11" s="684">
        <v>100000</v>
      </c>
      <c r="U11" s="684">
        <v>0</v>
      </c>
      <c r="V11" s="685">
        <v>0</v>
      </c>
    </row>
    <row r="12" spans="2:22">
      <c r="B12" s="539" t="s">
        <v>158</v>
      </c>
      <c r="C12" s="273">
        <v>5</v>
      </c>
      <c r="D12" s="273">
        <v>5</v>
      </c>
      <c r="E12" s="273">
        <v>4</v>
      </c>
      <c r="F12" s="273">
        <v>4</v>
      </c>
      <c r="G12" s="282">
        <v>4</v>
      </c>
      <c r="I12" s="539" t="s">
        <v>158</v>
      </c>
      <c r="J12" s="273"/>
      <c r="K12" s="273">
        <f t="shared" si="2"/>
        <v>0</v>
      </c>
      <c r="L12" s="273">
        <f t="shared" si="0"/>
        <v>-1</v>
      </c>
      <c r="M12" s="273">
        <f t="shared" si="0"/>
        <v>0</v>
      </c>
      <c r="N12" s="282">
        <f t="shared" si="1"/>
        <v>0</v>
      </c>
      <c r="P12" s="516" t="s">
        <v>159</v>
      </c>
    </row>
    <row r="13" spans="2:22">
      <c r="B13" s="539" t="s">
        <v>160</v>
      </c>
      <c r="C13" s="273">
        <v>1</v>
      </c>
      <c r="D13" s="273">
        <v>1</v>
      </c>
      <c r="E13" s="273">
        <v>1</v>
      </c>
      <c r="F13" s="273">
        <v>1</v>
      </c>
      <c r="G13" s="282">
        <v>1</v>
      </c>
      <c r="I13" s="539" t="s">
        <v>160</v>
      </c>
      <c r="J13" s="273"/>
      <c r="K13" s="273">
        <f t="shared" si="2"/>
        <v>0</v>
      </c>
      <c r="L13" s="273">
        <f t="shared" si="0"/>
        <v>0</v>
      </c>
      <c r="M13" s="273">
        <f t="shared" si="0"/>
        <v>0</v>
      </c>
      <c r="N13" s="282">
        <f t="shared" si="1"/>
        <v>0</v>
      </c>
    </row>
    <row r="14" spans="2:22">
      <c r="B14" s="539" t="s">
        <v>161</v>
      </c>
      <c r="C14" s="273">
        <v>5</v>
      </c>
      <c r="D14" s="273">
        <v>5</v>
      </c>
      <c r="E14" s="273">
        <v>5</v>
      </c>
      <c r="F14" s="273">
        <v>5</v>
      </c>
      <c r="G14" s="282">
        <v>7</v>
      </c>
      <c r="I14" s="539" t="s">
        <v>161</v>
      </c>
      <c r="J14" s="273"/>
      <c r="K14" s="273">
        <f t="shared" si="2"/>
        <v>0</v>
      </c>
      <c r="L14" s="273">
        <f t="shared" si="0"/>
        <v>0</v>
      </c>
      <c r="M14" s="273">
        <f t="shared" si="0"/>
        <v>0</v>
      </c>
      <c r="N14" s="282">
        <f t="shared" si="1"/>
        <v>2</v>
      </c>
    </row>
    <row r="15" spans="2:22">
      <c r="B15" s="539" t="s">
        <v>162</v>
      </c>
      <c r="C15" s="273">
        <v>3</v>
      </c>
      <c r="D15" s="273">
        <v>3</v>
      </c>
      <c r="E15" s="273">
        <v>3</v>
      </c>
      <c r="F15" s="273">
        <v>3</v>
      </c>
      <c r="G15" s="282">
        <v>3</v>
      </c>
      <c r="I15" s="539" t="s">
        <v>162</v>
      </c>
      <c r="J15" s="273"/>
      <c r="K15" s="273">
        <f t="shared" si="2"/>
        <v>0</v>
      </c>
      <c r="L15" s="273">
        <f t="shared" si="0"/>
        <v>0</v>
      </c>
      <c r="M15" s="273">
        <f t="shared" si="0"/>
        <v>0</v>
      </c>
      <c r="N15" s="282">
        <f t="shared" si="1"/>
        <v>0</v>
      </c>
    </row>
    <row r="16" spans="2:22">
      <c r="B16" s="539" t="s">
        <v>163</v>
      </c>
      <c r="C16" s="273">
        <v>13</v>
      </c>
      <c r="D16" s="273">
        <v>14</v>
      </c>
      <c r="E16" s="273">
        <v>14</v>
      </c>
      <c r="F16" s="273">
        <v>16</v>
      </c>
      <c r="G16" s="282">
        <v>16</v>
      </c>
      <c r="I16" s="539" t="s">
        <v>163</v>
      </c>
      <c r="J16" s="273"/>
      <c r="K16" s="273">
        <f t="shared" si="2"/>
        <v>1</v>
      </c>
      <c r="L16" s="273">
        <f t="shared" si="0"/>
        <v>0</v>
      </c>
      <c r="M16" s="273">
        <f t="shared" si="0"/>
        <v>2</v>
      </c>
      <c r="N16" s="282">
        <f t="shared" si="1"/>
        <v>0</v>
      </c>
    </row>
    <row r="17" spans="2:14">
      <c r="B17" s="539" t="s">
        <v>164</v>
      </c>
      <c r="C17" s="273">
        <v>1</v>
      </c>
      <c r="D17" s="273">
        <v>1</v>
      </c>
      <c r="E17" s="273">
        <v>1</v>
      </c>
      <c r="F17" s="273">
        <v>2</v>
      </c>
      <c r="G17" s="282">
        <v>3</v>
      </c>
      <c r="I17" s="539" t="s">
        <v>164</v>
      </c>
      <c r="J17" s="273"/>
      <c r="K17" s="273">
        <f t="shared" si="2"/>
        <v>0</v>
      </c>
      <c r="L17" s="273">
        <f t="shared" si="0"/>
        <v>0</v>
      </c>
      <c r="M17" s="273">
        <f t="shared" si="0"/>
        <v>1</v>
      </c>
      <c r="N17" s="282">
        <f t="shared" si="1"/>
        <v>1</v>
      </c>
    </row>
    <row r="18" spans="2:14">
      <c r="B18" s="539" t="s">
        <v>165</v>
      </c>
      <c r="C18" s="273">
        <v>9</v>
      </c>
      <c r="D18" s="273">
        <v>9</v>
      </c>
      <c r="E18" s="273">
        <v>9</v>
      </c>
      <c r="F18" s="273">
        <v>9</v>
      </c>
      <c r="G18" s="282">
        <v>10</v>
      </c>
      <c r="I18" s="539" t="s">
        <v>165</v>
      </c>
      <c r="J18" s="273"/>
      <c r="K18" s="273">
        <f t="shared" si="2"/>
        <v>0</v>
      </c>
      <c r="L18" s="273">
        <f t="shared" si="0"/>
        <v>0</v>
      </c>
      <c r="M18" s="273">
        <f t="shared" si="0"/>
        <v>0</v>
      </c>
      <c r="N18" s="282">
        <f t="shared" si="1"/>
        <v>1</v>
      </c>
    </row>
    <row r="19" spans="2:14">
      <c r="B19" s="539" t="s">
        <v>166</v>
      </c>
      <c r="C19" s="273">
        <v>5</v>
      </c>
      <c r="D19" s="273">
        <v>5</v>
      </c>
      <c r="E19" s="273">
        <v>5</v>
      </c>
      <c r="F19" s="273">
        <v>6</v>
      </c>
      <c r="G19" s="282">
        <v>6</v>
      </c>
      <c r="I19" s="539" t="s">
        <v>166</v>
      </c>
      <c r="J19" s="273"/>
      <c r="K19" s="273">
        <f t="shared" si="2"/>
        <v>0</v>
      </c>
      <c r="L19" s="273">
        <f t="shared" si="0"/>
        <v>0</v>
      </c>
      <c r="M19" s="273">
        <f t="shared" si="0"/>
        <v>1</v>
      </c>
      <c r="N19" s="282">
        <f t="shared" si="1"/>
        <v>0</v>
      </c>
    </row>
    <row r="20" spans="2:14">
      <c r="B20" s="539" t="s">
        <v>167</v>
      </c>
      <c r="C20" s="273">
        <v>11</v>
      </c>
      <c r="D20" s="273">
        <v>11</v>
      </c>
      <c r="E20" s="273">
        <v>11</v>
      </c>
      <c r="F20" s="273">
        <v>11</v>
      </c>
      <c r="G20" s="282">
        <v>11</v>
      </c>
      <c r="I20" s="539" t="s">
        <v>167</v>
      </c>
      <c r="J20" s="273"/>
      <c r="K20" s="273">
        <f t="shared" si="2"/>
        <v>0</v>
      </c>
      <c r="L20" s="273">
        <f t="shared" si="0"/>
        <v>0</v>
      </c>
      <c r="M20" s="273">
        <f t="shared" si="0"/>
        <v>0</v>
      </c>
      <c r="N20" s="282">
        <f t="shared" si="1"/>
        <v>0</v>
      </c>
    </row>
    <row r="21" spans="2:14">
      <c r="B21" s="539" t="s">
        <v>168</v>
      </c>
      <c r="C21" s="273">
        <v>2</v>
      </c>
      <c r="D21" s="273">
        <v>2</v>
      </c>
      <c r="E21" s="273">
        <v>2</v>
      </c>
      <c r="F21" s="273">
        <v>2</v>
      </c>
      <c r="G21" s="282">
        <v>5</v>
      </c>
      <c r="I21" s="539" t="s">
        <v>168</v>
      </c>
      <c r="J21" s="273"/>
      <c r="K21" s="273">
        <f t="shared" si="2"/>
        <v>0</v>
      </c>
      <c r="L21" s="273">
        <f t="shared" ref="L21:L27" si="3">E21-D21</f>
        <v>0</v>
      </c>
      <c r="M21" s="273">
        <f t="shared" ref="M21:M27" si="4">F21-E21</f>
        <v>0</v>
      </c>
      <c r="N21" s="282">
        <f t="shared" si="1"/>
        <v>3</v>
      </c>
    </row>
    <row r="22" spans="2:14">
      <c r="B22" s="539" t="s">
        <v>169</v>
      </c>
      <c r="C22" s="273">
        <v>1</v>
      </c>
      <c r="D22" s="273">
        <v>1</v>
      </c>
      <c r="E22" s="273">
        <v>1</v>
      </c>
      <c r="F22" s="273">
        <v>1</v>
      </c>
      <c r="G22" s="282">
        <v>2</v>
      </c>
      <c r="I22" s="539" t="s">
        <v>169</v>
      </c>
      <c r="J22" s="273"/>
      <c r="K22" s="273">
        <f t="shared" si="2"/>
        <v>0</v>
      </c>
      <c r="L22" s="273">
        <f t="shared" si="3"/>
        <v>0</v>
      </c>
      <c r="M22" s="273">
        <f t="shared" si="4"/>
        <v>0</v>
      </c>
      <c r="N22" s="282">
        <f t="shared" si="1"/>
        <v>1</v>
      </c>
    </row>
    <row r="23" spans="2:14">
      <c r="B23" s="539" t="s">
        <v>170</v>
      </c>
      <c r="C23" s="273">
        <v>6</v>
      </c>
      <c r="D23" s="273">
        <v>6</v>
      </c>
      <c r="E23" s="273">
        <v>6</v>
      </c>
      <c r="F23" s="273">
        <v>7</v>
      </c>
      <c r="G23" s="282">
        <v>8</v>
      </c>
      <c r="I23" s="539" t="s">
        <v>170</v>
      </c>
      <c r="J23" s="273"/>
      <c r="K23" s="273">
        <f t="shared" si="2"/>
        <v>0</v>
      </c>
      <c r="L23" s="273">
        <f t="shared" si="3"/>
        <v>0</v>
      </c>
      <c r="M23" s="273">
        <f t="shared" si="4"/>
        <v>1</v>
      </c>
      <c r="N23" s="282">
        <f t="shared" si="1"/>
        <v>1</v>
      </c>
    </row>
    <row r="24" spans="2:14">
      <c r="B24" s="539" t="s">
        <v>156</v>
      </c>
      <c r="C24" s="273">
        <v>47</v>
      </c>
      <c r="D24" s="273">
        <v>47</v>
      </c>
      <c r="E24" s="273">
        <v>51</v>
      </c>
      <c r="F24" s="273">
        <v>50</v>
      </c>
      <c r="G24" s="282">
        <v>54</v>
      </c>
      <c r="I24" s="539" t="s">
        <v>156</v>
      </c>
      <c r="J24" s="273"/>
      <c r="K24" s="273">
        <f t="shared" si="2"/>
        <v>0</v>
      </c>
      <c r="L24" s="273">
        <f t="shared" si="3"/>
        <v>4</v>
      </c>
      <c r="M24" s="273">
        <f t="shared" si="4"/>
        <v>-1</v>
      </c>
      <c r="N24" s="282">
        <f t="shared" si="1"/>
        <v>4</v>
      </c>
    </row>
    <row r="25" spans="2:14">
      <c r="B25" s="539" t="s">
        <v>171</v>
      </c>
      <c r="C25" s="273">
        <v>5</v>
      </c>
      <c r="D25" s="273">
        <v>5</v>
      </c>
      <c r="E25" s="273">
        <v>5</v>
      </c>
      <c r="F25" s="273">
        <v>5</v>
      </c>
      <c r="G25" s="282">
        <v>5</v>
      </c>
      <c r="I25" s="539" t="s">
        <v>171</v>
      </c>
      <c r="J25" s="273"/>
      <c r="K25" s="273">
        <f t="shared" si="2"/>
        <v>0</v>
      </c>
      <c r="L25" s="273">
        <f t="shared" si="3"/>
        <v>0</v>
      </c>
      <c r="M25" s="273">
        <f t="shared" si="4"/>
        <v>0</v>
      </c>
      <c r="N25" s="282">
        <f t="shared" si="1"/>
        <v>0</v>
      </c>
    </row>
    <row r="26" spans="2:14">
      <c r="B26" s="539" t="s">
        <v>172</v>
      </c>
      <c r="C26" s="273">
        <v>1</v>
      </c>
      <c r="D26" s="273">
        <v>1</v>
      </c>
      <c r="E26" s="273">
        <v>1</v>
      </c>
      <c r="F26" s="273">
        <v>2</v>
      </c>
      <c r="G26" s="282">
        <v>3</v>
      </c>
      <c r="I26" s="539" t="s">
        <v>172</v>
      </c>
      <c r="J26" s="273"/>
      <c r="K26" s="273">
        <f t="shared" si="2"/>
        <v>0</v>
      </c>
      <c r="L26" s="273">
        <f t="shared" si="3"/>
        <v>0</v>
      </c>
      <c r="M26" s="273">
        <f t="shared" si="4"/>
        <v>1</v>
      </c>
      <c r="N26" s="282">
        <f t="shared" si="1"/>
        <v>1</v>
      </c>
    </row>
    <row r="27" spans="2:14">
      <c r="B27" s="539" t="s">
        <v>173</v>
      </c>
      <c r="C27" s="273">
        <v>4</v>
      </c>
      <c r="D27" s="273">
        <v>4</v>
      </c>
      <c r="E27" s="273">
        <v>4</v>
      </c>
      <c r="F27" s="273">
        <v>3</v>
      </c>
      <c r="G27" s="282">
        <v>3</v>
      </c>
      <c r="I27" s="539" t="s">
        <v>173</v>
      </c>
      <c r="J27" s="273"/>
      <c r="K27" s="273">
        <f t="shared" si="2"/>
        <v>0</v>
      </c>
      <c r="L27" s="273">
        <f t="shared" si="3"/>
        <v>0</v>
      </c>
      <c r="M27" s="273">
        <f t="shared" si="4"/>
        <v>-1</v>
      </c>
      <c r="N27" s="282">
        <f>G27-F27</f>
        <v>0</v>
      </c>
    </row>
    <row r="28" spans="2:14" ht="15.95" thickBot="1">
      <c r="B28" s="540" t="s">
        <v>174</v>
      </c>
      <c r="C28" s="174"/>
      <c r="D28" s="174"/>
      <c r="E28" s="174"/>
      <c r="F28" s="174"/>
      <c r="G28" s="541">
        <v>1</v>
      </c>
      <c r="I28" s="540" t="s">
        <v>174</v>
      </c>
      <c r="J28" s="174"/>
      <c r="K28" s="174"/>
      <c r="L28" s="174"/>
      <c r="M28" s="174"/>
      <c r="N28" s="541">
        <f>G28-F28</f>
        <v>1</v>
      </c>
    </row>
    <row r="29" spans="2:14" ht="15.95" thickBot="1">
      <c r="B29" s="542" t="s">
        <v>175</v>
      </c>
      <c r="C29" s="543">
        <f>SUM(C5:C28)</f>
        <v>362</v>
      </c>
      <c r="D29" s="543">
        <f t="shared" ref="D29:G29" si="5">SUM(D5:D28)</f>
        <v>374</v>
      </c>
      <c r="E29" s="543">
        <f t="shared" si="5"/>
        <v>386</v>
      </c>
      <c r="F29" s="543">
        <f t="shared" si="5"/>
        <v>407</v>
      </c>
      <c r="G29" s="544">
        <f t="shared" si="5"/>
        <v>440</v>
      </c>
      <c r="I29" s="542" t="s">
        <v>175</v>
      </c>
      <c r="J29" s="543">
        <f>SUM(J5:J28)</f>
        <v>0</v>
      </c>
      <c r="K29" s="543">
        <f t="shared" ref="K29" si="6">SUM(K5:K28)</f>
        <v>12</v>
      </c>
      <c r="L29" s="543">
        <f t="shared" ref="L29" si="7">SUM(L5:L28)</f>
        <v>12</v>
      </c>
      <c r="M29" s="543">
        <f t="shared" ref="M29" si="8">SUM(M5:M28)</f>
        <v>21</v>
      </c>
      <c r="N29" s="544">
        <f t="shared" ref="N29" si="9">SUM(N5:N28)</f>
        <v>33</v>
      </c>
    </row>
    <row r="31" spans="2:14">
      <c r="B31" s="156" t="s">
        <v>176</v>
      </c>
    </row>
    <row r="33" spans="2:15">
      <c r="B33" s="766" t="s">
        <v>177</v>
      </c>
      <c r="C33" s="766"/>
      <c r="D33" s="766"/>
      <c r="E33" s="766"/>
      <c r="F33" s="766"/>
      <c r="G33" s="766"/>
      <c r="H33" s="766"/>
      <c r="I33" s="766"/>
      <c r="J33" s="766"/>
      <c r="K33" s="766"/>
      <c r="L33" s="766"/>
      <c r="M33" s="766"/>
      <c r="N33" s="766"/>
      <c r="O33" s="766"/>
    </row>
    <row r="34" spans="2:15" ht="30.75" customHeight="1">
      <c r="B34" s="767" t="s">
        <v>178</v>
      </c>
      <c r="C34" s="767"/>
      <c r="D34" s="767"/>
      <c r="E34" s="767"/>
      <c r="F34" s="767"/>
      <c r="G34" s="767"/>
      <c r="H34" s="767"/>
      <c r="I34" s="767"/>
      <c r="J34" s="767"/>
      <c r="K34" s="767"/>
      <c r="L34" s="767"/>
      <c r="M34" s="767"/>
      <c r="N34" s="767"/>
      <c r="O34" s="767"/>
    </row>
    <row r="35" spans="2:15" ht="28.5" customHeight="1">
      <c r="B35" s="767" t="s">
        <v>179</v>
      </c>
      <c r="C35" s="767"/>
      <c r="D35" s="767"/>
      <c r="E35" s="767"/>
      <c r="F35" s="767"/>
      <c r="G35" s="767"/>
      <c r="H35" s="767"/>
      <c r="I35" s="767"/>
      <c r="J35" s="767"/>
      <c r="K35" s="767"/>
      <c r="L35" s="767"/>
      <c r="M35" s="767"/>
      <c r="N35" s="767"/>
      <c r="O35" s="767"/>
    </row>
    <row r="36" spans="2:15" ht="45.75" customHeight="1">
      <c r="B36" s="767" t="s">
        <v>180</v>
      </c>
      <c r="C36" s="767"/>
      <c r="D36" s="767"/>
      <c r="E36" s="767"/>
      <c r="F36" s="767"/>
      <c r="G36" s="767"/>
      <c r="H36" s="767"/>
      <c r="I36" s="767"/>
      <c r="J36" s="767"/>
      <c r="K36" s="767"/>
      <c r="L36" s="767"/>
      <c r="M36" s="767"/>
      <c r="N36" s="767"/>
      <c r="O36" s="767"/>
    </row>
    <row r="38" spans="2:15">
      <c r="B38" s="154" t="s">
        <v>181</v>
      </c>
    </row>
    <row r="39" spans="2:15" ht="28.5" customHeight="1">
      <c r="B39" s="767" t="s">
        <v>182</v>
      </c>
      <c r="C39" s="767"/>
      <c r="D39" s="767"/>
      <c r="E39" s="767"/>
      <c r="F39" s="767"/>
      <c r="G39" s="767"/>
      <c r="H39" s="767"/>
      <c r="I39" s="767"/>
      <c r="J39" s="767"/>
      <c r="K39" s="767"/>
      <c r="L39" s="767"/>
      <c r="M39" s="767"/>
      <c r="N39" s="767"/>
      <c r="O39" s="767"/>
    </row>
    <row r="42" spans="2:15">
      <c r="C42" s="273"/>
    </row>
    <row r="43" spans="2:15">
      <c r="C43" s="273"/>
    </row>
    <row r="57" spans="2:8">
      <c r="C57" s="516"/>
      <c r="D57" s="516"/>
      <c r="E57" s="516"/>
      <c r="F57" s="516"/>
      <c r="G57" s="516"/>
    </row>
    <row r="58" spans="2:8">
      <c r="B58" s="273"/>
      <c r="C58" s="273"/>
      <c r="D58" s="273"/>
      <c r="E58" s="273"/>
      <c r="F58" s="273"/>
      <c r="G58" s="199"/>
      <c r="H58" s="273"/>
    </row>
    <row r="59" spans="2:8">
      <c r="B59" s="273"/>
      <c r="C59" s="273"/>
      <c r="D59" s="273"/>
      <c r="E59" s="273"/>
      <c r="F59" s="273"/>
      <c r="G59" s="199"/>
      <c r="H59" s="273"/>
    </row>
    <row r="60" spans="2:8">
      <c r="B60" s="273"/>
      <c r="C60" s="273"/>
      <c r="D60" s="273"/>
      <c r="E60" s="273"/>
      <c r="F60" s="273"/>
      <c r="G60" s="199"/>
      <c r="H60" s="273"/>
    </row>
    <row r="61" spans="2:8">
      <c r="B61" s="273"/>
      <c r="C61" s="273"/>
      <c r="D61" s="273"/>
      <c r="E61" s="273"/>
      <c r="F61" s="273"/>
      <c r="G61" s="199"/>
      <c r="H61" s="273"/>
    </row>
    <row r="62" spans="2:8">
      <c r="B62" s="273"/>
      <c r="C62" s="273"/>
      <c r="D62" s="273"/>
      <c r="E62" s="273"/>
      <c r="F62" s="273"/>
      <c r="G62" s="199"/>
      <c r="H62" s="273"/>
    </row>
    <row r="63" spans="2:8">
      <c r="B63" s="273"/>
      <c r="C63" s="273"/>
      <c r="D63" s="273"/>
      <c r="E63" s="273"/>
      <c r="F63" s="273"/>
      <c r="G63" s="199"/>
      <c r="H63" s="273"/>
    </row>
    <row r="64" spans="2:8">
      <c r="B64" s="545"/>
    </row>
  </sheetData>
  <mergeCells count="7">
    <mergeCell ref="B36:O36"/>
    <mergeCell ref="B39:O39"/>
    <mergeCell ref="B2:G2"/>
    <mergeCell ref="I2:N2"/>
    <mergeCell ref="B33:O33"/>
    <mergeCell ref="B34:O34"/>
    <mergeCell ref="B35:O35"/>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F3B8-BEFA-F34B-B598-49EDD8A91FC0}">
  <dimension ref="B1:AP80"/>
  <sheetViews>
    <sheetView showGridLines="0" workbookViewId="0">
      <pane xSplit="2" topLeftCell="S1" activePane="topRight" state="frozen"/>
      <selection pane="topRight" activeCell="V9" sqref="V9"/>
    </sheetView>
  </sheetViews>
  <sheetFormatPr defaultColWidth="10.6640625" defaultRowHeight="15"/>
  <cols>
    <col min="1" max="1" width="2.6640625" style="154" customWidth="1"/>
    <col min="2" max="2" width="38.21875" style="154" customWidth="1"/>
    <col min="3" max="14" width="10.6640625" style="154"/>
    <col min="15" max="15" width="10.44140625" style="154" customWidth="1"/>
    <col min="16" max="16" width="10.6640625" style="154" customWidth="1"/>
    <col min="17" max="19" width="10.6640625" style="154"/>
    <col min="20" max="20" width="10.44140625" style="154" customWidth="1"/>
    <col min="21" max="21" width="10.6640625" style="154"/>
    <col min="22" max="22" width="35.44140625" style="154" bestFit="1" customWidth="1"/>
    <col min="23" max="16384" width="10.6640625" style="154"/>
  </cols>
  <sheetData>
    <row r="1" spans="2:23" ht="20.100000000000001" customHeight="1" thickBot="1">
      <c r="C1" s="154" t="s">
        <v>85</v>
      </c>
      <c r="D1" s="154" t="s">
        <v>86</v>
      </c>
      <c r="E1" s="154" t="s">
        <v>87</v>
      </c>
      <c r="F1" s="154" t="s">
        <v>88</v>
      </c>
      <c r="G1" s="154" t="s">
        <v>89</v>
      </c>
      <c r="H1" s="154" t="s">
        <v>90</v>
      </c>
      <c r="I1" s="154" t="s">
        <v>91</v>
      </c>
      <c r="J1" s="154" t="s">
        <v>183</v>
      </c>
      <c r="K1" s="154" t="s">
        <v>184</v>
      </c>
      <c r="L1" s="154" t="s">
        <v>185</v>
      </c>
      <c r="M1" s="154" t="s">
        <v>186</v>
      </c>
      <c r="N1" s="154" t="s">
        <v>187</v>
      </c>
      <c r="O1" s="154" t="s">
        <v>188</v>
      </c>
      <c r="P1" s="154" t="s">
        <v>189</v>
      </c>
      <c r="Q1" s="154" t="s">
        <v>190</v>
      </c>
      <c r="R1" s="154" t="s">
        <v>191</v>
      </c>
      <c r="S1" s="154" t="s">
        <v>192</v>
      </c>
    </row>
    <row r="2" spans="2:23" ht="17.100000000000001" thickBot="1">
      <c r="B2" s="424" t="s">
        <v>0</v>
      </c>
      <c r="C2" s="425" t="s">
        <v>92</v>
      </c>
      <c r="D2" s="425" t="s">
        <v>93</v>
      </c>
      <c r="E2" s="425" t="s">
        <v>94</v>
      </c>
      <c r="F2" s="425" t="s">
        <v>95</v>
      </c>
      <c r="G2" s="426" t="s">
        <v>96</v>
      </c>
      <c r="H2" s="426" t="s">
        <v>97</v>
      </c>
      <c r="I2" s="427" t="s">
        <v>98</v>
      </c>
      <c r="J2" s="426" t="s">
        <v>99</v>
      </c>
      <c r="K2" s="426" t="s">
        <v>100</v>
      </c>
      <c r="L2" s="426" t="s">
        <v>101</v>
      </c>
      <c r="M2" s="426" t="s">
        <v>102</v>
      </c>
      <c r="N2" s="426" t="s">
        <v>103</v>
      </c>
      <c r="O2" s="426" t="s">
        <v>104</v>
      </c>
      <c r="P2" s="426" t="s">
        <v>105</v>
      </c>
      <c r="Q2" s="426" t="s">
        <v>106</v>
      </c>
      <c r="R2" s="426" t="s">
        <v>107</v>
      </c>
      <c r="S2" s="426" t="s">
        <v>108</v>
      </c>
      <c r="T2" s="426"/>
      <c r="U2" s="427"/>
    </row>
    <row r="3" spans="2:23">
      <c r="B3" s="661" t="s">
        <v>193</v>
      </c>
      <c r="C3" s="592">
        <v>5207336</v>
      </c>
      <c r="D3" s="592">
        <v>5634835</v>
      </c>
      <c r="E3" s="692">
        <v>6468759</v>
      </c>
      <c r="F3" s="692">
        <v>6099869</v>
      </c>
      <c r="G3" s="592">
        <v>6404223</v>
      </c>
      <c r="H3" s="592">
        <v>6837384</v>
      </c>
      <c r="I3" s="693">
        <v>7719290</v>
      </c>
      <c r="J3" s="592">
        <f>'Revenue Model'!J4</f>
        <v>8778436.7383116875</v>
      </c>
      <c r="K3" s="592">
        <f>'Revenue Model'!K4</f>
        <v>10059338.537082644</v>
      </c>
      <c r="L3" s="592">
        <f>'Revenue Model'!L4</f>
        <v>11537307.10643932</v>
      </c>
      <c r="M3" s="592">
        <f>'Revenue Model'!M4</f>
        <v>13118982.665952111</v>
      </c>
      <c r="N3" s="592">
        <f>'Revenue Model'!N4</f>
        <v>14664979.130119195</v>
      </c>
      <c r="O3" s="592">
        <f>'Revenue Model'!O4</f>
        <v>16036856.662902994</v>
      </c>
      <c r="P3" s="592">
        <f>'Revenue Model'!P4</f>
        <v>17233117.8261392</v>
      </c>
      <c r="Q3" s="592">
        <f>'Revenue Model'!Q4</f>
        <v>18273327.613271892</v>
      </c>
      <c r="R3" s="592">
        <f>'Revenue Model'!R4</f>
        <v>19186012.963462334</v>
      </c>
      <c r="S3" s="592">
        <f>'Revenue Model'!S4</f>
        <v>20146654.35328209</v>
      </c>
      <c r="T3" s="592"/>
      <c r="U3" s="485"/>
    </row>
    <row r="4" spans="2:23" ht="15.95">
      <c r="B4" s="167" t="s">
        <v>194</v>
      </c>
      <c r="C4" s="313">
        <v>3459861</v>
      </c>
      <c r="D4" s="313">
        <v>3740017</v>
      </c>
      <c r="E4" s="313">
        <v>4089470</v>
      </c>
      <c r="F4" s="313">
        <v>3890657</v>
      </c>
      <c r="G4" s="313">
        <v>4055659</v>
      </c>
      <c r="H4" s="313">
        <v>4315543</v>
      </c>
      <c r="I4" s="599">
        <v>4777799</v>
      </c>
      <c r="J4" s="310">
        <f>J$3*J23</f>
        <v>5354846.4103701292</v>
      </c>
      <c r="K4" s="310">
        <f>K$3*K23</f>
        <v>6065781.1378608346</v>
      </c>
      <c r="L4" s="310">
        <f>L$3*L23</f>
        <v>6899309.6496507134</v>
      </c>
      <c r="M4" s="310">
        <f>M$3*M23</f>
        <v>7779556.7209096011</v>
      </c>
      <c r="N4" s="310">
        <f>N$3*N23</f>
        <v>8696332.6241606828</v>
      </c>
      <c r="O4" s="310">
        <f>O$3*O23</f>
        <v>9509856.0011014752</v>
      </c>
      <c r="P4" s="310">
        <f>P$3*P23</f>
        <v>10219238.870900545</v>
      </c>
      <c r="Q4" s="310">
        <f>Q$3*Q23</f>
        <v>10836083.274670232</v>
      </c>
      <c r="R4" s="310">
        <f>R$3*R23</f>
        <v>11377305.687333163</v>
      </c>
      <c r="S4" s="310">
        <f>S$3*S23</f>
        <v>11946966.031496279</v>
      </c>
      <c r="T4" s="310"/>
      <c r="U4" s="170"/>
    </row>
    <row r="5" spans="2:23" ht="15.95">
      <c r="B5" s="167" t="s">
        <v>195</v>
      </c>
      <c r="C5" s="313">
        <v>1747475</v>
      </c>
      <c r="D5" s="313">
        <v>1894818</v>
      </c>
      <c r="E5" s="313">
        <v>2379289</v>
      </c>
      <c r="F5" s="313">
        <v>2209212</v>
      </c>
      <c r="G5" s="313">
        <v>2348564</v>
      </c>
      <c r="H5" s="313">
        <v>2521841</v>
      </c>
      <c r="I5" s="599">
        <v>2941491</v>
      </c>
      <c r="J5" s="310">
        <f>J3-J4</f>
        <v>3423590.3279415583</v>
      </c>
      <c r="K5" s="310">
        <f t="shared" ref="K5:N5" si="0">K3-K4</f>
        <v>3993557.3992218096</v>
      </c>
      <c r="L5" s="310">
        <f t="shared" si="0"/>
        <v>4637997.4567886069</v>
      </c>
      <c r="M5" s="310">
        <f t="shared" si="0"/>
        <v>5339425.9450425096</v>
      </c>
      <c r="N5" s="310">
        <f t="shared" si="0"/>
        <v>5968646.5059585124</v>
      </c>
      <c r="O5" s="310">
        <f t="shared" ref="O5" si="1">O3-O4</f>
        <v>6527000.6618015189</v>
      </c>
      <c r="P5" s="310">
        <f t="shared" ref="P5" si="2">P3-P4</f>
        <v>7013878.9552386552</v>
      </c>
      <c r="Q5" s="310">
        <f t="shared" ref="Q5" si="3">Q3-Q4</f>
        <v>7437244.33860166</v>
      </c>
      <c r="R5" s="310">
        <f t="shared" ref="R5" si="4">R3-R4</f>
        <v>7808707.2761291713</v>
      </c>
      <c r="S5" s="310">
        <f t="shared" ref="S5" si="5">S3-S4</f>
        <v>8199688.3217858113</v>
      </c>
      <c r="T5" s="310"/>
      <c r="U5" s="170"/>
    </row>
    <row r="6" spans="2:23" ht="15.95">
      <c r="B6" s="167" t="s">
        <v>196</v>
      </c>
      <c r="C6" s="313">
        <v>1404443</v>
      </c>
      <c r="D6" s="313">
        <v>1549707</v>
      </c>
      <c r="E6" s="313">
        <v>1863869</v>
      </c>
      <c r="F6" s="313">
        <v>1748205</v>
      </c>
      <c r="G6" s="313">
        <v>1855649</v>
      </c>
      <c r="H6" s="313">
        <v>2000437</v>
      </c>
      <c r="I6" s="599">
        <v>2291350</v>
      </c>
      <c r="J6" s="310">
        <f>J$3*J24</f>
        <v>2633531.0214935062</v>
      </c>
      <c r="K6" s="310">
        <f>K$3*K24</f>
        <v>3037920.2381989583</v>
      </c>
      <c r="L6" s="310">
        <f>L$3*L24</f>
        <v>3495804.0532511137</v>
      </c>
      <c r="M6" s="310">
        <f>M$3*M24</f>
        <v>3961932.7651175372</v>
      </c>
      <c r="N6" s="310">
        <f>N$3*N24</f>
        <v>4414158.7181658773</v>
      </c>
      <c r="O6" s="310">
        <f>O$3*O24</f>
        <v>4762946.4288821891</v>
      </c>
      <c r="P6" s="310">
        <f>P$3*P24</f>
        <v>5049303.5230587851</v>
      </c>
      <c r="Q6" s="310">
        <f>Q$3*Q24</f>
        <v>5280991.6802355768</v>
      </c>
      <c r="R6" s="310">
        <f>R$3*R24</f>
        <v>5468013.694586765</v>
      </c>
      <c r="S6" s="310">
        <f>S$3*S24</f>
        <v>5661209.8732722672</v>
      </c>
      <c r="T6" s="310"/>
      <c r="U6" s="170"/>
    </row>
    <row r="7" spans="2:23">
      <c r="B7" s="319" t="s">
        <v>197</v>
      </c>
      <c r="C7" s="313">
        <v>108045</v>
      </c>
      <c r="D7" s="313">
        <v>120491</v>
      </c>
      <c r="E7" s="313">
        <v>124124</v>
      </c>
      <c r="F7" s="313">
        <v>122258</v>
      </c>
      <c r="G7" s="313">
        <v>123530</v>
      </c>
      <c r="H7" s="313">
        <v>131893</v>
      </c>
      <c r="I7" s="599">
        <v>132748</v>
      </c>
      <c r="J7" s="310">
        <f>-BS!J77</f>
        <v>160391.60556291742</v>
      </c>
      <c r="K7" s="310">
        <f>-BS!K77</f>
        <v>190735.96337211784</v>
      </c>
      <c r="L7" s="310">
        <f>-BS!L77</f>
        <v>208075.59640594688</v>
      </c>
      <c r="M7" s="310">
        <f>-BS!M77</f>
        <v>203740.68814748945</v>
      </c>
      <c r="N7" s="310">
        <f>-BS!N77</f>
        <v>169061.42207983183</v>
      </c>
      <c r="O7" s="310">
        <f>-BS!O77</f>
        <v>121377.43123680237</v>
      </c>
      <c r="P7" s="310">
        <f>-BS!P77</f>
        <v>99702.889944516122</v>
      </c>
      <c r="Q7" s="310">
        <f>-BS!Q77</f>
        <v>73693.440393772908</v>
      </c>
      <c r="R7" s="310">
        <f>-BS!R77</f>
        <v>73693.440393772908</v>
      </c>
      <c r="S7" s="310">
        <f>-BS!S77</f>
        <v>78028.34865223011</v>
      </c>
      <c r="T7" s="310"/>
      <c r="U7" s="170"/>
    </row>
    <row r="8" spans="2:23" ht="15.95">
      <c r="B8" s="167" t="s">
        <v>198</v>
      </c>
      <c r="C8" s="313">
        <v>12076</v>
      </c>
      <c r="D8" s="313">
        <v>7260</v>
      </c>
      <c r="E8" s="313">
        <v>-369</v>
      </c>
      <c r="F8" s="313">
        <v>4673</v>
      </c>
      <c r="G8" s="313">
        <v>11025</v>
      </c>
      <c r="H8" s="313">
        <v>39280</v>
      </c>
      <c r="I8" s="599">
        <v>12896</v>
      </c>
      <c r="J8" s="310">
        <f>J25*(-'Revenue Model'!J16-'Revenue Model'!I16/2+1)</f>
        <v>11500</v>
      </c>
      <c r="K8" s="310">
        <f>K25*(-'Revenue Model'!K16-'Revenue Model'!J16/2+1)</f>
        <v>13800</v>
      </c>
      <c r="L8" s="310">
        <f>L25*(-'Revenue Model'!L16-'Revenue Model'!K16/2+1)</f>
        <v>12100</v>
      </c>
      <c r="M8" s="310">
        <f>M25*(-'Revenue Model'!M16-'Revenue Model'!L16/2+1)</f>
        <v>12100</v>
      </c>
      <c r="N8" s="310">
        <f>N25*(-'Revenue Model'!N16-'Revenue Model'!M16/2+1)</f>
        <v>9450</v>
      </c>
      <c r="O8" s="310">
        <f>O25*(-'Revenue Model'!O16-'Revenue Model'!N16/2+1)</f>
        <v>6300</v>
      </c>
      <c r="P8" s="310">
        <f>P25*(-'Revenue Model'!P16-'Revenue Model'!O16/2+1)</f>
        <v>3000</v>
      </c>
      <c r="Q8" s="310">
        <f>Q25*(-'Revenue Model'!Q16-'Revenue Model'!P16/2+1)</f>
        <v>2000</v>
      </c>
      <c r="R8" s="310">
        <f>R25*(-'Revenue Model'!R16-'Revenue Model'!Q16/2+1)</f>
        <v>2000</v>
      </c>
      <c r="S8" s="310">
        <f>S25*(-'Revenue Model'!S16-'Revenue Model'!R16/2+1)</f>
        <v>2000</v>
      </c>
      <c r="T8" s="310"/>
      <c r="U8" s="170"/>
      <c r="V8" s="273" t="s">
        <v>199</v>
      </c>
      <c r="W8" s="154" t="s">
        <v>200</v>
      </c>
    </row>
    <row r="9" spans="2:23" ht="15.95">
      <c r="B9" s="167" t="s">
        <v>201</v>
      </c>
      <c r="C9" s="313">
        <v>222911</v>
      </c>
      <c r="D9" s="313">
        <v>217360</v>
      </c>
      <c r="E9" s="313">
        <v>391665</v>
      </c>
      <c r="F9" s="313">
        <v>334076</v>
      </c>
      <c r="G9" s="313">
        <v>358360</v>
      </c>
      <c r="H9" s="313">
        <v>350231</v>
      </c>
      <c r="I9" s="599">
        <v>504497</v>
      </c>
      <c r="J9" s="310">
        <f>J5-J6-J7-J8</f>
        <v>618167.70088513475</v>
      </c>
      <c r="K9" s="310">
        <f>K5-K6-K7-K8</f>
        <v>751101.1976507334</v>
      </c>
      <c r="L9" s="310">
        <f>L5-L6-L7-L8</f>
        <v>922017.80713154632</v>
      </c>
      <c r="M9" s="310">
        <f>M5-M6-M7-M8</f>
        <v>1161652.4917774829</v>
      </c>
      <c r="N9" s="310">
        <f>N5-N6-N7-N8</f>
        <v>1375976.3657128033</v>
      </c>
      <c r="O9" s="310">
        <f t="shared" ref="O9:S9" si="6">O5-O6-O7-O8</f>
        <v>1636376.8016825274</v>
      </c>
      <c r="P9" s="310">
        <f t="shared" si="6"/>
        <v>1861872.542235354</v>
      </c>
      <c r="Q9" s="310">
        <f t="shared" si="6"/>
        <v>2080559.2179723103</v>
      </c>
      <c r="R9" s="310">
        <f t="shared" si="6"/>
        <v>2265000.1411486333</v>
      </c>
      <c r="S9" s="310">
        <f t="shared" si="6"/>
        <v>2458450.0998613141</v>
      </c>
      <c r="T9" s="310"/>
      <c r="U9" s="170"/>
    </row>
    <row r="10" spans="2:23" ht="15.95">
      <c r="B10" s="167" t="s">
        <v>202</v>
      </c>
      <c r="C10" s="313">
        <v>27435</v>
      </c>
      <c r="D10" s="313">
        <v>21192</v>
      </c>
      <c r="E10" s="313">
        <v>14787</v>
      </c>
      <c r="F10" s="313">
        <v>11684</v>
      </c>
      <c r="G10" s="313">
        <v>9047</v>
      </c>
      <c r="H10" s="313">
        <v>6491</v>
      </c>
      <c r="I10" s="599">
        <v>-2201</v>
      </c>
      <c r="J10" s="310">
        <f ca="1">J42</f>
        <v>730.52800000000002</v>
      </c>
      <c r="K10" s="310">
        <f ca="1">K42</f>
        <v>773.76639999999998</v>
      </c>
      <c r="L10" s="310">
        <f ca="1">L42</f>
        <v>819.69279999999981</v>
      </c>
      <c r="M10" s="310">
        <f ca="1">M42</f>
        <v>860.74240000000009</v>
      </c>
      <c r="N10" s="310">
        <f ca="1">N42</f>
        <v>913.3119999999999</v>
      </c>
      <c r="O10" s="310">
        <f ca="1">O42</f>
        <v>951.67360000000008</v>
      </c>
      <c r="P10" s="310">
        <f ca="1">P42</f>
        <v>984.35199999999986</v>
      </c>
      <c r="Q10" s="310">
        <f ca="1">Q42</f>
        <v>1008.5056</v>
      </c>
      <c r="R10" s="310">
        <f ca="1">R42</f>
        <v>1032.6592000000001</v>
      </c>
      <c r="S10" s="310">
        <f ca="1">S42</f>
        <v>1058.2336</v>
      </c>
      <c r="T10" s="310"/>
      <c r="U10" s="170"/>
      <c r="W10" s="183"/>
    </row>
    <row r="11" spans="2:23" ht="15.95">
      <c r="B11" s="167" t="s">
        <v>203</v>
      </c>
      <c r="C11" s="313">
        <v>320</v>
      </c>
      <c r="D11" s="313">
        <v>0</v>
      </c>
      <c r="E11" s="313">
        <v>0</v>
      </c>
      <c r="F11" s="313">
        <v>0</v>
      </c>
      <c r="G11" s="313">
        <v>0</v>
      </c>
      <c r="H11" s="313">
        <v>0</v>
      </c>
      <c r="I11" s="599">
        <v>0</v>
      </c>
      <c r="J11" s="310">
        <v>0</v>
      </c>
      <c r="K11" s="310">
        <v>0</v>
      </c>
      <c r="L11" s="310">
        <v>0</v>
      </c>
      <c r="M11" s="310">
        <v>0</v>
      </c>
      <c r="N11" s="310">
        <v>0</v>
      </c>
      <c r="O11" s="310">
        <v>0</v>
      </c>
      <c r="P11" s="310">
        <v>0</v>
      </c>
      <c r="Q11" s="310">
        <v>0</v>
      </c>
      <c r="R11" s="310">
        <v>0</v>
      </c>
      <c r="S11" s="310">
        <v>0</v>
      </c>
      <c r="T11" s="310"/>
      <c r="U11" s="170"/>
      <c r="W11" s="183"/>
    </row>
    <row r="12" spans="2:23" ht="15.95">
      <c r="B12" s="167" t="s">
        <v>204</v>
      </c>
      <c r="C12" s="313">
        <v>195796</v>
      </c>
      <c r="D12" s="313">
        <v>196168</v>
      </c>
      <c r="E12" s="313">
        <v>376878</v>
      </c>
      <c r="F12" s="313">
        <v>322392</v>
      </c>
      <c r="G12" s="313">
        <v>349313</v>
      </c>
      <c r="H12" s="313">
        <v>343740</v>
      </c>
      <c r="I12" s="599">
        <v>506698</v>
      </c>
      <c r="J12" s="310">
        <f ca="1">J9-J10-J11</f>
        <v>617437.1728851347</v>
      </c>
      <c r="K12" s="310">
        <f t="shared" ref="K12:N12" ca="1" si="7">K9-K10-K11</f>
        <v>750327.43125073344</v>
      </c>
      <c r="L12" s="310">
        <f t="shared" ca="1" si="7"/>
        <v>921198.11433154636</v>
      </c>
      <c r="M12" s="310">
        <f t="shared" ca="1" si="7"/>
        <v>1160791.7493774828</v>
      </c>
      <c r="N12" s="310">
        <f t="shared" ca="1" si="7"/>
        <v>1375063.0537128034</v>
      </c>
      <c r="O12" s="310">
        <f t="shared" ref="O12" ca="1" si="8">O9-O10-O11</f>
        <v>1635425.1280825273</v>
      </c>
      <c r="P12" s="310">
        <f t="shared" ref="P12" ca="1" si="9">P9-P10-P11</f>
        <v>1860888.190235354</v>
      </c>
      <c r="Q12" s="310">
        <f t="shared" ref="Q12" ca="1" si="10">Q9-Q10-Q11</f>
        <v>2079550.7123723102</v>
      </c>
      <c r="R12" s="310">
        <f t="shared" ref="R12" ca="1" si="11">R9-R10-R11</f>
        <v>2263967.4819486332</v>
      </c>
      <c r="S12" s="310">
        <f t="shared" ref="S12" ca="1" si="12">S9-S10-S11</f>
        <v>2457391.8662613141</v>
      </c>
      <c r="T12" s="310"/>
      <c r="U12" s="170"/>
      <c r="W12" s="325"/>
    </row>
    <row r="13" spans="2:23" ht="15.95">
      <c r="B13" s="167" t="s">
        <v>205</v>
      </c>
      <c r="C13" s="313">
        <v>37260</v>
      </c>
      <c r="D13" s="313">
        <v>46539</v>
      </c>
      <c r="E13" s="313">
        <v>89428</v>
      </c>
      <c r="F13" s="313">
        <v>78235</v>
      </c>
      <c r="G13" s="313">
        <v>88149</v>
      </c>
      <c r="H13" s="313">
        <v>84884</v>
      </c>
      <c r="I13" s="599">
        <v>126097</v>
      </c>
      <c r="J13" s="310">
        <f ca="1">J12*J26</f>
        <v>154359.29322128367</v>
      </c>
      <c r="K13" s="310">
        <f ca="1">K12*K26</f>
        <v>187581.85781268336</v>
      </c>
      <c r="L13" s="310">
        <f ca="1">L12*L26</f>
        <v>230299.52858288659</v>
      </c>
      <c r="M13" s="310">
        <f ca="1">M12*M26</f>
        <v>290197.9373443707</v>
      </c>
      <c r="N13" s="310">
        <f ca="1">N12*N26</f>
        <v>343765.76342820085</v>
      </c>
      <c r="O13" s="310">
        <f ca="1">O12*O26</f>
        <v>408856.28202063183</v>
      </c>
      <c r="P13" s="310">
        <f ca="1">P12*P26</f>
        <v>465222.0475588385</v>
      </c>
      <c r="Q13" s="310">
        <f ca="1">Q12*Q26</f>
        <v>519887.67809307756</v>
      </c>
      <c r="R13" s="310">
        <f ca="1">R12*R26</f>
        <v>565991.8704871583</v>
      </c>
      <c r="S13" s="310">
        <f ca="1">S12*S26</f>
        <v>614347.96656532853</v>
      </c>
      <c r="T13" s="310"/>
      <c r="U13" s="170"/>
    </row>
    <row r="14" spans="2:23" ht="15.95">
      <c r="B14" s="167" t="s">
        <v>206</v>
      </c>
      <c r="C14" s="313">
        <v>158536</v>
      </c>
      <c r="D14" s="313">
        <v>149629</v>
      </c>
      <c r="E14" s="313">
        <v>287450</v>
      </c>
      <c r="F14" s="313">
        <v>244157</v>
      </c>
      <c r="G14" s="313">
        <v>261164</v>
      </c>
      <c r="H14" s="313">
        <v>258856</v>
      </c>
      <c r="I14" s="599">
        <v>380601</v>
      </c>
      <c r="J14" s="310">
        <f ca="1">J12-J13</f>
        <v>463077.879663851</v>
      </c>
      <c r="K14" s="310">
        <f t="shared" ref="K14:N14" ca="1" si="13">K12-K13</f>
        <v>562745.57343805011</v>
      </c>
      <c r="L14" s="310">
        <f t="shared" ca="1" si="13"/>
        <v>690898.5857486598</v>
      </c>
      <c r="M14" s="310">
        <f t="shared" ca="1" si="13"/>
        <v>870593.81203311216</v>
      </c>
      <c r="N14" s="310">
        <f t="shared" ca="1" si="13"/>
        <v>1031297.2902846026</v>
      </c>
      <c r="O14" s="310">
        <f t="shared" ref="O14" ca="1" si="14">O12-O13</f>
        <v>1226568.8460618956</v>
      </c>
      <c r="P14" s="310">
        <f t="shared" ref="P14" ca="1" si="15">P12-P13</f>
        <v>1395666.1426765155</v>
      </c>
      <c r="Q14" s="310">
        <f t="shared" ref="Q14" ca="1" si="16">Q12-Q13</f>
        <v>1559663.0342792326</v>
      </c>
      <c r="R14" s="310">
        <f t="shared" ref="R14" ca="1" si="17">R12-R13</f>
        <v>1697975.611461475</v>
      </c>
      <c r="S14" s="310">
        <f t="shared" ref="S14" ca="1" si="18">S12-S13</f>
        <v>1843043.8996959855</v>
      </c>
      <c r="T14" s="310"/>
      <c r="U14" s="170"/>
    </row>
    <row r="15" spans="2:23" ht="15.95">
      <c r="B15" s="167" t="s">
        <v>207</v>
      </c>
      <c r="C15" s="313"/>
      <c r="D15" s="313"/>
      <c r="E15" s="566" t="s">
        <v>9</v>
      </c>
      <c r="F15" s="566" t="s">
        <v>9</v>
      </c>
      <c r="G15" s="313" t="s">
        <v>9</v>
      </c>
      <c r="H15" s="313" t="s">
        <v>9</v>
      </c>
      <c r="I15" s="599" t="s">
        <v>9</v>
      </c>
      <c r="J15" s="310"/>
      <c r="K15" s="310"/>
      <c r="L15" s="310"/>
      <c r="M15" s="310"/>
      <c r="N15" s="310"/>
      <c r="O15" s="310"/>
      <c r="P15" s="310"/>
      <c r="Q15" s="310"/>
      <c r="R15" s="310"/>
      <c r="S15" s="310"/>
      <c r="T15" s="310"/>
      <c r="U15" s="170"/>
    </row>
    <row r="16" spans="2:23" ht="15.95">
      <c r="B16" s="167" t="s">
        <v>208</v>
      </c>
      <c r="C16" s="313">
        <v>1.23</v>
      </c>
      <c r="D16" s="313">
        <v>1.25</v>
      </c>
      <c r="E16" s="313">
        <v>2.44</v>
      </c>
      <c r="F16" s="313">
        <v>2.12</v>
      </c>
      <c r="G16" s="313">
        <v>2.41</v>
      </c>
      <c r="H16" s="313">
        <v>2.5299999999999998</v>
      </c>
      <c r="I16" s="599">
        <v>3.79</v>
      </c>
      <c r="J16" s="310">
        <f ca="1">J14/J19</f>
        <v>4.6140298682168828</v>
      </c>
      <c r="K16" s="310">
        <f t="shared" ref="K16:N16" ca="1" si="19">K14/K19</f>
        <v>5.6071019542864411</v>
      </c>
      <c r="L16" s="310">
        <f t="shared" ca="1" si="19"/>
        <v>6.883996948563313</v>
      </c>
      <c r="M16" s="310">
        <f t="shared" ca="1" si="19"/>
        <v>8.6744498673127755</v>
      </c>
      <c r="N16" s="310">
        <f t="shared" ca="1" si="19"/>
        <v>10.275672212713873</v>
      </c>
      <c r="O16" s="310">
        <f t="shared" ref="O16:S16" ca="1" si="20">O14/O19</f>
        <v>12.221325050684969</v>
      </c>
      <c r="P16" s="310">
        <f t="shared" ca="1" si="20"/>
        <v>13.906181986155412</v>
      </c>
      <c r="Q16" s="310">
        <f t="shared" ca="1" si="20"/>
        <v>15.540219346564298</v>
      </c>
      <c r="R16" s="310">
        <f t="shared" ca="1" si="20"/>
        <v>16.918342531226397</v>
      </c>
      <c r="S16" s="310">
        <f t="shared" ca="1" si="20"/>
        <v>18.36377848107356</v>
      </c>
      <c r="T16" s="310"/>
      <c r="U16" s="170"/>
    </row>
    <row r="17" spans="2:42" ht="15.95">
      <c r="B17" s="167" t="s">
        <v>209</v>
      </c>
      <c r="C17" s="313">
        <v>1.22</v>
      </c>
      <c r="D17" s="313">
        <v>1.25</v>
      </c>
      <c r="E17" s="313">
        <v>2.4300000000000002</v>
      </c>
      <c r="F17" s="313">
        <v>2.1</v>
      </c>
      <c r="G17" s="313">
        <v>2.39</v>
      </c>
      <c r="H17" s="313">
        <v>2.5</v>
      </c>
      <c r="I17" s="599">
        <v>3.75</v>
      </c>
      <c r="J17" s="310">
        <f ca="1">J14/J20</f>
        <v>4.5677889865144756</v>
      </c>
      <c r="K17" s="310">
        <f t="shared" ref="K17:N17" ca="1" si="21">K14/K20</f>
        <v>5.5509087033611504</v>
      </c>
      <c r="L17" s="310">
        <f t="shared" ca="1" si="21"/>
        <v>6.8150069121678039</v>
      </c>
      <c r="M17" s="310">
        <f t="shared" ca="1" si="21"/>
        <v>8.5875162709546569</v>
      </c>
      <c r="N17" s="310">
        <f t="shared" ca="1" si="21"/>
        <v>10.172691487237026</v>
      </c>
      <c r="O17" s="310">
        <f t="shared" ref="O17:S17" ca="1" si="22">O14/O20</f>
        <v>12.098845382790278</v>
      </c>
      <c r="P17" s="310">
        <f t="shared" ca="1" si="22"/>
        <v>13.766817020058548</v>
      </c>
      <c r="Q17" s="310">
        <f t="shared" ca="1" si="22"/>
        <v>15.384478385851434</v>
      </c>
      <c r="R17" s="310">
        <f t="shared" ca="1" si="22"/>
        <v>16.748790296427021</v>
      </c>
      <c r="S17" s="310">
        <f t="shared" ca="1" si="22"/>
        <v>18.179740377158833</v>
      </c>
      <c r="T17" s="310"/>
      <c r="U17" s="170"/>
    </row>
    <row r="18" spans="2:42" ht="15.95">
      <c r="B18" s="167" t="s">
        <v>210</v>
      </c>
      <c r="C18" s="313"/>
      <c r="D18" s="313"/>
      <c r="E18" s="566" t="s">
        <v>9</v>
      </c>
      <c r="F18" s="566" t="s">
        <v>9</v>
      </c>
      <c r="G18" s="313" t="s">
        <v>9</v>
      </c>
      <c r="H18" s="313" t="s">
        <v>9</v>
      </c>
      <c r="I18" s="599" t="s">
        <v>9</v>
      </c>
      <c r="J18" s="310"/>
      <c r="K18" s="310"/>
      <c r="L18" s="310"/>
      <c r="M18" s="310"/>
      <c r="N18" s="310"/>
      <c r="O18" s="310"/>
      <c r="P18" s="310"/>
      <c r="Q18" s="310"/>
      <c r="R18" s="310"/>
      <c r="S18" s="310"/>
      <c r="T18" s="310"/>
      <c r="U18" s="170"/>
    </row>
    <row r="19" spans="2:42" ht="15.95">
      <c r="B19" s="167" t="s">
        <v>211</v>
      </c>
      <c r="C19" s="566">
        <v>128827</v>
      </c>
      <c r="D19" s="566">
        <v>119368</v>
      </c>
      <c r="E19" s="313">
        <v>117821</v>
      </c>
      <c r="F19" s="313">
        <v>115377</v>
      </c>
      <c r="G19" s="313">
        <v>108232</v>
      </c>
      <c r="H19" s="313">
        <v>102479</v>
      </c>
      <c r="I19" s="599">
        <v>100363</v>
      </c>
      <c r="J19" s="310">
        <f>I19</f>
        <v>100363</v>
      </c>
      <c r="K19" s="310">
        <f t="shared" ref="K19:N19" si="23">J19</f>
        <v>100363</v>
      </c>
      <c r="L19" s="310">
        <f t="shared" si="23"/>
        <v>100363</v>
      </c>
      <c r="M19" s="310">
        <f t="shared" si="23"/>
        <v>100363</v>
      </c>
      <c r="N19" s="310">
        <f t="shared" si="23"/>
        <v>100363</v>
      </c>
      <c r="O19" s="310">
        <f t="shared" ref="O19:S19" si="24">N19</f>
        <v>100363</v>
      </c>
      <c r="P19" s="310">
        <f t="shared" si="24"/>
        <v>100363</v>
      </c>
      <c r="Q19" s="310">
        <f t="shared" si="24"/>
        <v>100363</v>
      </c>
      <c r="R19" s="310">
        <f t="shared" si="24"/>
        <v>100363</v>
      </c>
      <c r="S19" s="310">
        <f t="shared" si="24"/>
        <v>100363</v>
      </c>
      <c r="T19" s="310"/>
      <c r="U19" s="170"/>
    </row>
    <row r="20" spans="2:42" ht="17.100000000000001" thickBot="1">
      <c r="B20" s="694" t="s">
        <v>212</v>
      </c>
      <c r="C20" s="695">
        <v>129776</v>
      </c>
      <c r="D20" s="695">
        <v>119742</v>
      </c>
      <c r="E20" s="695">
        <v>118224</v>
      </c>
      <c r="F20" s="695">
        <v>116077</v>
      </c>
      <c r="G20" s="312">
        <v>109139</v>
      </c>
      <c r="H20" s="312">
        <v>103390</v>
      </c>
      <c r="I20" s="567">
        <v>101379</v>
      </c>
      <c r="J20" s="312">
        <f>I20</f>
        <v>101379</v>
      </c>
      <c r="K20" s="312">
        <f t="shared" ref="K20:N20" si="25">J20</f>
        <v>101379</v>
      </c>
      <c r="L20" s="312">
        <f t="shared" si="25"/>
        <v>101379</v>
      </c>
      <c r="M20" s="312">
        <f t="shared" si="25"/>
        <v>101379</v>
      </c>
      <c r="N20" s="312">
        <f t="shared" si="25"/>
        <v>101379</v>
      </c>
      <c r="O20" s="312">
        <f t="shared" ref="O20:S20" si="26">N20</f>
        <v>101379</v>
      </c>
      <c r="P20" s="312">
        <f t="shared" si="26"/>
        <v>101379</v>
      </c>
      <c r="Q20" s="312">
        <f t="shared" si="26"/>
        <v>101379</v>
      </c>
      <c r="R20" s="312">
        <f t="shared" si="26"/>
        <v>101379</v>
      </c>
      <c r="S20" s="312">
        <f t="shared" si="26"/>
        <v>101379</v>
      </c>
      <c r="T20" s="312"/>
      <c r="U20" s="178"/>
    </row>
    <row r="21" spans="2:42" ht="15.95" thickBot="1">
      <c r="C21" s="310"/>
      <c r="D21" s="310"/>
      <c r="E21" s="310"/>
      <c r="F21" s="310"/>
      <c r="G21" s="310"/>
      <c r="H21" s="310"/>
      <c r="I21" s="310"/>
      <c r="J21" s="310"/>
      <c r="K21" s="310"/>
      <c r="L21" s="310"/>
      <c r="M21" s="310"/>
      <c r="N21" s="310"/>
      <c r="O21" s="310"/>
      <c r="P21" s="310"/>
      <c r="Q21" s="310"/>
      <c r="R21" s="310"/>
      <c r="S21" s="310"/>
      <c r="T21" s="310"/>
    </row>
    <row r="22" spans="2:42" ht="17.100000000000001" thickBot="1">
      <c r="B22" s="478" t="s">
        <v>213</v>
      </c>
      <c r="C22" s="479" t="s">
        <v>85</v>
      </c>
      <c r="D22" s="479" t="s">
        <v>86</v>
      </c>
      <c r="E22" s="479" t="s">
        <v>87</v>
      </c>
      <c r="F22" s="479" t="s">
        <v>88</v>
      </c>
      <c r="G22" s="480" t="s">
        <v>89</v>
      </c>
      <c r="H22" s="480" t="s">
        <v>90</v>
      </c>
      <c r="I22" s="481" t="s">
        <v>91</v>
      </c>
      <c r="J22" s="480" t="s">
        <v>183</v>
      </c>
      <c r="K22" s="480" t="s">
        <v>184</v>
      </c>
      <c r="L22" s="480" t="s">
        <v>185</v>
      </c>
      <c r="M22" s="480" t="s">
        <v>186</v>
      </c>
      <c r="N22" s="480" t="s">
        <v>187</v>
      </c>
      <c r="O22" s="480" t="s">
        <v>188</v>
      </c>
      <c r="P22" s="480" t="s">
        <v>189</v>
      </c>
      <c r="Q22" s="480" t="s">
        <v>190</v>
      </c>
      <c r="R22" s="480" t="s">
        <v>191</v>
      </c>
      <c r="S22" s="480" t="s">
        <v>192</v>
      </c>
      <c r="T22" s="480" t="s">
        <v>214</v>
      </c>
      <c r="U22" s="481"/>
    </row>
    <row r="23" spans="2:42" ht="15.95">
      <c r="B23" s="696" t="s">
        <v>3</v>
      </c>
      <c r="C23" s="697">
        <f>C4/C$3</f>
        <v>0.66442054056047084</v>
      </c>
      <c r="D23" s="697">
        <f>D4/D3</f>
        <v>0.66373141360838428</v>
      </c>
      <c r="E23" s="697">
        <f>E4/E3</f>
        <v>0.63218771946829366</v>
      </c>
      <c r="F23" s="697">
        <f>F4/F3</f>
        <v>0.63782632053245736</v>
      </c>
      <c r="G23" s="697">
        <f>G4/G3</f>
        <v>0.63327885365640768</v>
      </c>
      <c r="H23" s="697">
        <f>H4/H3</f>
        <v>0.63116873353902603</v>
      </c>
      <c r="I23" s="698">
        <f>I4/I3</f>
        <v>0.61894280432526827</v>
      </c>
      <c r="J23" s="697">
        <f>CHOOSE(Cover!$I$16,J29,J30,J31)</f>
        <v>0.61</v>
      </c>
      <c r="K23" s="697">
        <f>CHOOSE(Cover!$I$16,K29,K30,K31)</f>
        <v>0.60299999999999998</v>
      </c>
      <c r="L23" s="697">
        <f>CHOOSE(Cover!$I$16,L29,L30,L31)</f>
        <v>0.59799999999999998</v>
      </c>
      <c r="M23" s="697">
        <f>CHOOSE(Cover!$I$16,M29,M30,M31)</f>
        <v>0.59299999999999997</v>
      </c>
      <c r="N23" s="697">
        <f>CHOOSE(Cover!$I$16,N29,N30,N31)</f>
        <v>0.59299999999999997</v>
      </c>
      <c r="O23" s="697">
        <f>CHOOSE(Cover!$I$16,O29,O30,O31)</f>
        <v>0.59299999999999997</v>
      </c>
      <c r="P23" s="697">
        <f>CHOOSE(Cover!$I$16,P29,P30,P31)</f>
        <v>0.59299999999999997</v>
      </c>
      <c r="Q23" s="697">
        <f>CHOOSE(Cover!$I$16,Q29,Q30,Q31)</f>
        <v>0.59299999999999997</v>
      </c>
      <c r="R23" s="697">
        <f>CHOOSE(Cover!$I$16,R29,R30,R31)</f>
        <v>0.59299999999999997</v>
      </c>
      <c r="S23" s="697">
        <f>CHOOSE(Cover!$I$16,S29,S30,S31)</f>
        <v>0.59299999999999997</v>
      </c>
      <c r="T23" s="697">
        <f>AVERAGE(C23:K23)</f>
        <v>0.63272848729892306</v>
      </c>
      <c r="U23" s="699"/>
    </row>
    <row r="24" spans="2:42" ht="15.95">
      <c r="B24" s="167" t="s">
        <v>15</v>
      </c>
      <c r="C24" s="171">
        <f>C6/C$3</f>
        <v>0.26970470121382606</v>
      </c>
      <c r="D24" s="171">
        <f>D6/D$3</f>
        <v>0.27502260492099589</v>
      </c>
      <c r="E24" s="171">
        <f>E6/E$3</f>
        <v>0.28813393728225151</v>
      </c>
      <c r="F24" s="171">
        <f>F6/F$3</f>
        <v>0.28659713839756229</v>
      </c>
      <c r="G24" s="171">
        <f>G6/G$3</f>
        <v>0.28975396390787767</v>
      </c>
      <c r="H24" s="171">
        <f>H6/H$3</f>
        <v>0.29257344621861225</v>
      </c>
      <c r="I24" s="379">
        <f>I6/I$3</f>
        <v>0.2968342943457235</v>
      </c>
      <c r="J24" s="171">
        <f>CHOOSE(Cover!$I$21,IS!J33,IS!J34,IS!J35)</f>
        <v>0.3</v>
      </c>
      <c r="K24" s="171">
        <f>CHOOSE(Cover!$I$21,IS!K33,IS!K34,IS!K35)</f>
        <v>0.30199999999999999</v>
      </c>
      <c r="L24" s="171">
        <f>CHOOSE(Cover!$I$21,IS!L33,IS!L34,IS!L35)</f>
        <v>0.30299999999999999</v>
      </c>
      <c r="M24" s="171">
        <f>CHOOSE(Cover!$I$21,IS!M33,IS!M34,IS!M35)</f>
        <v>0.30199999999999999</v>
      </c>
      <c r="N24" s="171">
        <f>CHOOSE(Cover!$I$21,IS!N33,IS!N34,IS!N35)</f>
        <v>0.30099999999999999</v>
      </c>
      <c r="O24" s="171">
        <f>CHOOSE(Cover!$I$21,IS!O33,IS!O34,IS!O35)</f>
        <v>0.29699999999999999</v>
      </c>
      <c r="P24" s="171">
        <f>CHOOSE(Cover!$I$21,IS!P33,IS!P34,IS!P35)</f>
        <v>0.29299999999999998</v>
      </c>
      <c r="Q24" s="171">
        <f>CHOOSE(Cover!$I$21,IS!Q33,IS!Q34,IS!Q35)</f>
        <v>0.28899999999999998</v>
      </c>
      <c r="R24" s="171">
        <f>CHOOSE(Cover!$I$21,IS!R33,IS!R34,IS!R35)</f>
        <v>0.28499999999999998</v>
      </c>
      <c r="S24" s="171">
        <f>CHOOSE(Cover!$I$21,IS!S33,IS!S34,IS!S35)</f>
        <v>0.28099999999999997</v>
      </c>
      <c r="T24" s="171">
        <f t="shared" ref="T24:T26" si="27">AVERAGE(C24:I24)</f>
        <v>0.28551715518383558</v>
      </c>
      <c r="U24" s="314"/>
    </row>
    <row r="25" spans="2:42" ht="15.95">
      <c r="B25" s="167" t="s">
        <v>215</v>
      </c>
      <c r="C25" s="700"/>
      <c r="D25" s="700">
        <f>-D8/('Revenue Model'!D16+'Revenue Model'!C16/2-1)</f>
        <v>2420</v>
      </c>
      <c r="E25" s="700">
        <f>-E8/('Revenue Model'!E16+'Revenue Model'!D16/2-1)</f>
        <v>-246</v>
      </c>
      <c r="F25" s="700">
        <f>-F8/('Revenue Model'!F16+'Revenue Model'!E16/2-1)</f>
        <v>4673</v>
      </c>
      <c r="G25" s="700">
        <f>-G8/('Revenue Model'!G16+'Revenue Model'!F16/2-1)</f>
        <v>2205</v>
      </c>
      <c r="H25" s="700">
        <f>-H8/('Revenue Model'!H16+'Revenue Model'!G16/2-1)</f>
        <v>2805.7142857142858</v>
      </c>
      <c r="I25" s="686">
        <f>-I8/('Revenue Model'!I16+'Revenue Model'!H16/2-1)</f>
        <v>1984</v>
      </c>
      <c r="J25" s="688">
        <v>2300</v>
      </c>
      <c r="K25" s="690">
        <v>2300</v>
      </c>
      <c r="L25" s="690">
        <v>2200</v>
      </c>
      <c r="M25" s="690">
        <v>2200</v>
      </c>
      <c r="N25" s="690">
        <v>2100</v>
      </c>
      <c r="O25" s="690">
        <v>2100</v>
      </c>
      <c r="P25" s="690">
        <v>2000</v>
      </c>
      <c r="Q25" s="690">
        <v>2000</v>
      </c>
      <c r="R25" s="690">
        <v>2000</v>
      </c>
      <c r="S25" s="690">
        <v>2000</v>
      </c>
      <c r="T25" s="687">
        <f>AVERAGE(D25:I25)</f>
        <v>2306.9523809523812</v>
      </c>
      <c r="U25" s="314"/>
    </row>
    <row r="26" spans="2:42" ht="17.100000000000001" thickBot="1">
      <c r="B26" s="173" t="s">
        <v>216</v>
      </c>
      <c r="C26" s="175">
        <f>C13/C12</f>
        <v>0.19030010827596069</v>
      </c>
      <c r="D26" s="175">
        <f>D13/D12</f>
        <v>0.23724052852656907</v>
      </c>
      <c r="E26" s="175">
        <f>E13/E12</f>
        <v>0.23728633669251056</v>
      </c>
      <c r="F26" s="175">
        <f>F13/F12</f>
        <v>0.24267041365790715</v>
      </c>
      <c r="G26" s="175">
        <f>G13/G12</f>
        <v>0.25234961195260414</v>
      </c>
      <c r="H26" s="175">
        <f>H13/H12</f>
        <v>0.24694245650782568</v>
      </c>
      <c r="I26" s="380">
        <f>I13/I12</f>
        <v>0.24886026785185653</v>
      </c>
      <c r="J26" s="315">
        <v>0.25</v>
      </c>
      <c r="K26" s="315">
        <f t="shared" ref="K26:N26" si="28">J26</f>
        <v>0.25</v>
      </c>
      <c r="L26" s="315">
        <f t="shared" si="28"/>
        <v>0.25</v>
      </c>
      <c r="M26" s="315">
        <f t="shared" si="28"/>
        <v>0.25</v>
      </c>
      <c r="N26" s="315">
        <f t="shared" si="28"/>
        <v>0.25</v>
      </c>
      <c r="O26" s="315">
        <f t="shared" ref="O26:S26" si="29">N26</f>
        <v>0.25</v>
      </c>
      <c r="P26" s="315">
        <f t="shared" si="29"/>
        <v>0.25</v>
      </c>
      <c r="Q26" s="315">
        <f t="shared" si="29"/>
        <v>0.25</v>
      </c>
      <c r="R26" s="315">
        <f t="shared" si="29"/>
        <v>0.25</v>
      </c>
      <c r="S26" s="315">
        <f t="shared" si="29"/>
        <v>0.25</v>
      </c>
      <c r="T26" s="175">
        <f t="shared" si="27"/>
        <v>0.23652138906646197</v>
      </c>
      <c r="U26" s="316"/>
    </row>
    <row r="27" spans="2:42">
      <c r="B27" s="701"/>
      <c r="C27" s="697"/>
      <c r="D27" s="697"/>
      <c r="E27" s="697"/>
      <c r="F27" s="697"/>
      <c r="G27" s="697"/>
      <c r="H27" s="697"/>
      <c r="I27" s="697"/>
      <c r="J27" s="697"/>
      <c r="K27" s="702"/>
      <c r="L27" s="702"/>
      <c r="M27" s="702"/>
      <c r="N27" s="702"/>
      <c r="O27" s="702"/>
      <c r="P27" s="702"/>
      <c r="Q27" s="702"/>
      <c r="R27" s="702"/>
      <c r="S27" s="702"/>
      <c r="T27" s="697"/>
      <c r="U27" s="703"/>
    </row>
    <row r="28" spans="2:42" ht="15.95">
      <c r="B28" s="311" t="s">
        <v>3</v>
      </c>
      <c r="C28" s="171"/>
      <c r="D28" s="171"/>
      <c r="E28" s="171"/>
      <c r="F28" s="171"/>
      <c r="G28" s="171"/>
      <c r="H28" s="171"/>
      <c r="I28" s="171"/>
      <c r="J28" s="171"/>
      <c r="K28" s="172"/>
      <c r="L28" s="172"/>
      <c r="M28" s="172"/>
      <c r="N28" s="172"/>
      <c r="O28" s="172"/>
      <c r="P28" s="172"/>
      <c r="Q28" s="172"/>
      <c r="R28" s="172"/>
      <c r="S28" s="172"/>
      <c r="T28" s="171"/>
      <c r="U28" s="179"/>
    </row>
    <row r="29" spans="2:42">
      <c r="B29" s="299" t="s">
        <v>125</v>
      </c>
      <c r="C29" s="300"/>
      <c r="D29" s="300"/>
      <c r="E29" s="300"/>
      <c r="F29" s="300"/>
      <c r="G29" s="300"/>
      <c r="H29" s="300"/>
      <c r="I29" s="300"/>
      <c r="J29" s="301">
        <f>J30+$U29</f>
        <v>0.625</v>
      </c>
      <c r="K29" s="301">
        <f t="shared" ref="K29:S29" si="30">K30+$U29</f>
        <v>0.61799999999999999</v>
      </c>
      <c r="L29" s="301">
        <f t="shared" si="30"/>
        <v>0.61299999999999999</v>
      </c>
      <c r="M29" s="301">
        <f t="shared" si="30"/>
        <v>0.60799999999999998</v>
      </c>
      <c r="N29" s="301">
        <f t="shared" si="30"/>
        <v>0.60799999999999998</v>
      </c>
      <c r="O29" s="301">
        <f t="shared" si="30"/>
        <v>0.60799999999999998</v>
      </c>
      <c r="P29" s="301">
        <f t="shared" si="30"/>
        <v>0.60799999999999998</v>
      </c>
      <c r="Q29" s="301">
        <f t="shared" si="30"/>
        <v>0.60799999999999998</v>
      </c>
      <c r="R29" s="301">
        <f t="shared" si="30"/>
        <v>0.60799999999999998</v>
      </c>
      <c r="S29" s="302">
        <f t="shared" si="30"/>
        <v>0.60799999999999998</v>
      </c>
      <c r="T29" s="186"/>
      <c r="U29" s="303">
        <v>1.4999999999999999E-2</v>
      </c>
      <c r="V29" s="273"/>
      <c r="X29" s="515"/>
      <c r="Y29" s="515"/>
      <c r="Z29" s="515"/>
      <c r="AA29" s="515"/>
      <c r="AB29" s="515"/>
      <c r="AC29" s="515"/>
      <c r="AD29" s="273"/>
      <c r="AG29" s="273"/>
      <c r="AH29" s="273"/>
      <c r="AI29" s="273"/>
      <c r="AJ29" s="273"/>
      <c r="AK29" s="273"/>
      <c r="AL29" s="273"/>
      <c r="AM29" s="273"/>
      <c r="AP29" s="273"/>
    </row>
    <row r="30" spans="2:42">
      <c r="B30" s="304" t="s">
        <v>126</v>
      </c>
      <c r="C30" s="305"/>
      <c r="D30" s="305"/>
      <c r="E30" s="305"/>
      <c r="F30" s="305"/>
      <c r="G30" s="305"/>
      <c r="H30" s="305"/>
      <c r="I30" s="305"/>
      <c r="J30" s="152">
        <v>0.61</v>
      </c>
      <c r="K30" s="152">
        <f>J30-0.7%</f>
        <v>0.60299999999999998</v>
      </c>
      <c r="L30" s="152">
        <f>K30-0.5%</f>
        <v>0.59799999999999998</v>
      </c>
      <c r="M30" s="152">
        <f>L30-0.5%</f>
        <v>0.59299999999999997</v>
      </c>
      <c r="N30" s="152">
        <f>M30</f>
        <v>0.59299999999999997</v>
      </c>
      <c r="O30" s="152">
        <f t="shared" ref="O30:S30" si="31">N30</f>
        <v>0.59299999999999997</v>
      </c>
      <c r="P30" s="152">
        <f t="shared" si="31"/>
        <v>0.59299999999999997</v>
      </c>
      <c r="Q30" s="152">
        <f t="shared" si="31"/>
        <v>0.59299999999999997</v>
      </c>
      <c r="R30" s="152">
        <f t="shared" si="31"/>
        <v>0.59299999999999997</v>
      </c>
      <c r="S30" s="153">
        <f t="shared" si="31"/>
        <v>0.59299999999999997</v>
      </c>
      <c r="T30" s="186"/>
      <c r="U30" s="306"/>
      <c r="V30" s="273"/>
      <c r="X30" s="515"/>
      <c r="Y30" s="515"/>
      <c r="Z30" s="515"/>
      <c r="AA30" s="515"/>
      <c r="AB30" s="515"/>
      <c r="AC30" s="515"/>
      <c r="AD30" s="273"/>
      <c r="AG30" s="273"/>
      <c r="AH30" s="273"/>
      <c r="AI30" s="273"/>
      <c r="AJ30" s="273"/>
      <c r="AK30" s="273"/>
      <c r="AL30" s="273"/>
      <c r="AM30" s="273"/>
      <c r="AP30" s="273"/>
    </row>
    <row r="31" spans="2:42">
      <c r="B31" s="307" t="s">
        <v>127</v>
      </c>
      <c r="C31" s="308"/>
      <c r="D31" s="308"/>
      <c r="E31" s="308"/>
      <c r="F31" s="308"/>
      <c r="G31" s="308"/>
      <c r="H31" s="308"/>
      <c r="I31" s="308"/>
      <c r="J31" s="317">
        <f>J30+$U31</f>
        <v>0.6</v>
      </c>
      <c r="K31" s="317">
        <f t="shared" ref="K31:S31" si="32">K30+$U31</f>
        <v>0.59299999999999997</v>
      </c>
      <c r="L31" s="317">
        <f t="shared" si="32"/>
        <v>0.58799999999999997</v>
      </c>
      <c r="M31" s="317">
        <f t="shared" si="32"/>
        <v>0.58299999999999996</v>
      </c>
      <c r="N31" s="317">
        <f t="shared" si="32"/>
        <v>0.58299999999999996</v>
      </c>
      <c r="O31" s="317">
        <f t="shared" si="32"/>
        <v>0.58299999999999996</v>
      </c>
      <c r="P31" s="317">
        <f t="shared" si="32"/>
        <v>0.58299999999999996</v>
      </c>
      <c r="Q31" s="317">
        <f t="shared" si="32"/>
        <v>0.58299999999999996</v>
      </c>
      <c r="R31" s="317">
        <f t="shared" si="32"/>
        <v>0.58299999999999996</v>
      </c>
      <c r="S31" s="318">
        <f t="shared" si="32"/>
        <v>0.58299999999999996</v>
      </c>
      <c r="T31" s="186"/>
      <c r="U31" s="309">
        <v>-0.01</v>
      </c>
      <c r="V31" s="273"/>
      <c r="X31" s="515"/>
      <c r="Y31" s="515"/>
      <c r="Z31" s="515"/>
      <c r="AA31" s="515"/>
      <c r="AB31" s="515"/>
      <c r="AC31" s="515"/>
      <c r="AD31" s="273"/>
      <c r="AG31" s="273"/>
      <c r="AH31" s="273"/>
      <c r="AI31" s="273"/>
      <c r="AJ31" s="273"/>
      <c r="AK31" s="273"/>
      <c r="AL31" s="273"/>
      <c r="AM31" s="273"/>
      <c r="AP31" s="273"/>
    </row>
    <row r="32" spans="2:42" ht="15.95">
      <c r="B32" s="311" t="s">
        <v>15</v>
      </c>
      <c r="C32" s="171"/>
      <c r="D32" s="171"/>
      <c r="E32" s="171"/>
      <c r="F32" s="171"/>
      <c r="G32" s="171"/>
      <c r="H32" s="171"/>
      <c r="I32" s="171"/>
      <c r="J32" s="171"/>
      <c r="K32" s="171"/>
      <c r="L32" s="171"/>
      <c r="M32" s="172"/>
      <c r="N32" s="172"/>
      <c r="O32" s="172"/>
      <c r="P32" s="172"/>
      <c r="Q32" s="172"/>
      <c r="R32" s="172"/>
      <c r="S32" s="172"/>
      <c r="T32" s="171"/>
    </row>
    <row r="33" spans="2:42">
      <c r="B33" s="299" t="s">
        <v>125</v>
      </c>
      <c r="C33" s="300"/>
      <c r="D33" s="300"/>
      <c r="E33" s="300"/>
      <c r="F33" s="300"/>
      <c r="G33" s="300"/>
      <c r="H33" s="300"/>
      <c r="I33" s="300"/>
      <c r="J33" s="301">
        <f>J34+$U33</f>
        <v>0.31</v>
      </c>
      <c r="K33" s="301">
        <f t="shared" ref="K33" si="33">K34+$U33</f>
        <v>0.312</v>
      </c>
      <c r="L33" s="301">
        <f t="shared" ref="L33" si="34">L34+$U33</f>
        <v>0.313</v>
      </c>
      <c r="M33" s="301">
        <f t="shared" ref="M33" si="35">M34+$U33</f>
        <v>0.312</v>
      </c>
      <c r="N33" s="301">
        <f t="shared" ref="N33" si="36">N34+$U33</f>
        <v>0.311</v>
      </c>
      <c r="O33" s="301">
        <f t="shared" ref="O33" si="37">O34+$U33</f>
        <v>0.307</v>
      </c>
      <c r="P33" s="301">
        <f t="shared" ref="P33" si="38">P34+$U33</f>
        <v>0.30299999999999999</v>
      </c>
      <c r="Q33" s="301">
        <f t="shared" ref="Q33" si="39">Q34+$U33</f>
        <v>0.29899999999999999</v>
      </c>
      <c r="R33" s="301">
        <f t="shared" ref="R33" si="40">R34+$U33</f>
        <v>0.29499999999999998</v>
      </c>
      <c r="S33" s="302">
        <f t="shared" ref="S33" si="41">S34+$U33</f>
        <v>0.29099999999999998</v>
      </c>
      <c r="T33" s="186"/>
      <c r="U33" s="303">
        <v>0.01</v>
      </c>
      <c r="V33" s="273"/>
      <c r="X33" s="515"/>
      <c r="Y33" s="515"/>
      <c r="Z33" s="515"/>
      <c r="AA33" s="515"/>
      <c r="AB33" s="515"/>
      <c r="AC33" s="515"/>
      <c r="AD33" s="273"/>
      <c r="AG33" s="273"/>
      <c r="AH33" s="273"/>
      <c r="AI33" s="273"/>
      <c r="AJ33" s="273"/>
      <c r="AK33" s="273"/>
      <c r="AL33" s="273"/>
      <c r="AM33" s="273"/>
      <c r="AP33" s="273"/>
    </row>
    <row r="34" spans="2:42">
      <c r="B34" s="304" t="s">
        <v>126</v>
      </c>
      <c r="C34" s="305"/>
      <c r="D34" s="305"/>
      <c r="E34" s="305"/>
      <c r="F34" s="305"/>
      <c r="G34" s="305"/>
      <c r="H34" s="305"/>
      <c r="I34" s="305"/>
      <c r="J34" s="152">
        <v>0.3</v>
      </c>
      <c r="K34" s="152">
        <f>J34+0.2%</f>
        <v>0.30199999999999999</v>
      </c>
      <c r="L34" s="152">
        <f>K34+0.1%</f>
        <v>0.30299999999999999</v>
      </c>
      <c r="M34" s="152">
        <f t="shared" ref="M34:R34" si="42">L34-0.1%</f>
        <v>0.30199999999999999</v>
      </c>
      <c r="N34" s="152">
        <f>M34-0.1%</f>
        <v>0.30099999999999999</v>
      </c>
      <c r="O34" s="152">
        <f>N34-0.4%</f>
        <v>0.29699999999999999</v>
      </c>
      <c r="P34" s="152">
        <f>O34-0.4%</f>
        <v>0.29299999999999998</v>
      </c>
      <c r="Q34" s="152">
        <f>P34-0.4%</f>
        <v>0.28899999999999998</v>
      </c>
      <c r="R34" s="152">
        <f>Q34-0.4%</f>
        <v>0.28499999999999998</v>
      </c>
      <c r="S34" s="153">
        <f>R34-0.4%</f>
        <v>0.28099999999999997</v>
      </c>
      <c r="T34" s="186"/>
      <c r="U34" s="306"/>
      <c r="V34" s="273"/>
      <c r="X34" s="515"/>
      <c r="Y34" s="515"/>
      <c r="Z34" s="515"/>
      <c r="AA34" s="515"/>
      <c r="AB34" s="515"/>
      <c r="AC34" s="515"/>
      <c r="AD34" s="273"/>
      <c r="AG34" s="273"/>
      <c r="AH34" s="273"/>
      <c r="AI34" s="273"/>
      <c r="AJ34" s="273"/>
      <c r="AK34" s="273"/>
      <c r="AL34" s="273"/>
      <c r="AM34" s="273"/>
      <c r="AP34" s="273"/>
    </row>
    <row r="35" spans="2:42">
      <c r="B35" s="307" t="s">
        <v>127</v>
      </c>
      <c r="C35" s="308"/>
      <c r="D35" s="308"/>
      <c r="E35" s="308"/>
      <c r="F35" s="308"/>
      <c r="G35" s="308"/>
      <c r="H35" s="308"/>
      <c r="I35" s="308"/>
      <c r="J35" s="317">
        <f>J34+$U35</f>
        <v>0.28999999999999998</v>
      </c>
      <c r="K35" s="317">
        <f t="shared" ref="K35" si="43">K34+$U35</f>
        <v>0.29199999999999998</v>
      </c>
      <c r="L35" s="317">
        <f t="shared" ref="L35" si="44">L34+$U35</f>
        <v>0.29299999999999998</v>
      </c>
      <c r="M35" s="317">
        <f t="shared" ref="M35" si="45">M34+$U35</f>
        <v>0.29199999999999998</v>
      </c>
      <c r="N35" s="317">
        <f t="shared" ref="N35" si="46">N34+$U35</f>
        <v>0.29099999999999998</v>
      </c>
      <c r="O35" s="317">
        <f t="shared" ref="O35" si="47">O34+$U35</f>
        <v>0.28699999999999998</v>
      </c>
      <c r="P35" s="317">
        <f t="shared" ref="P35" si="48">P34+$U35</f>
        <v>0.28299999999999997</v>
      </c>
      <c r="Q35" s="317">
        <f t="shared" ref="Q35" si="49">Q34+$U35</f>
        <v>0.27899999999999997</v>
      </c>
      <c r="R35" s="317">
        <f t="shared" ref="R35" si="50">R34+$U35</f>
        <v>0.27499999999999997</v>
      </c>
      <c r="S35" s="318">
        <f t="shared" ref="S35" si="51">S34+$U35</f>
        <v>0.27099999999999996</v>
      </c>
      <c r="T35" s="186"/>
      <c r="U35" s="309">
        <v>-0.01</v>
      </c>
      <c r="V35" s="273"/>
      <c r="X35" s="515"/>
      <c r="Y35" s="515"/>
      <c r="Z35" s="515"/>
      <c r="AA35" s="515"/>
      <c r="AB35" s="515"/>
      <c r="AC35" s="515"/>
      <c r="AD35" s="273"/>
      <c r="AG35" s="273"/>
      <c r="AH35" s="273"/>
      <c r="AI35" s="273"/>
      <c r="AJ35" s="273"/>
      <c r="AK35" s="273"/>
      <c r="AL35" s="273"/>
      <c r="AM35" s="273"/>
      <c r="AP35" s="273"/>
    </row>
    <row r="36" spans="2:42" ht="15.95" thickBot="1">
      <c r="T36" s="186"/>
      <c r="V36" s="273"/>
      <c r="X36" s="515"/>
      <c r="Y36" s="515"/>
      <c r="Z36" s="515"/>
      <c r="AA36" s="515"/>
      <c r="AB36" s="515"/>
      <c r="AC36" s="515"/>
      <c r="AD36" s="273"/>
      <c r="AG36" s="273"/>
      <c r="AH36" s="273"/>
      <c r="AI36" s="273"/>
      <c r="AJ36" s="273"/>
      <c r="AK36" s="273"/>
      <c r="AL36" s="273"/>
      <c r="AM36" s="273"/>
      <c r="AP36" s="273"/>
    </row>
    <row r="37" spans="2:42" ht="17.100000000000001" thickBot="1">
      <c r="B37" s="704" t="s">
        <v>217</v>
      </c>
      <c r="C37" s="425" t="s">
        <v>85</v>
      </c>
      <c r="D37" s="425" t="s">
        <v>86</v>
      </c>
      <c r="E37" s="425" t="s">
        <v>87</v>
      </c>
      <c r="F37" s="425" t="s">
        <v>88</v>
      </c>
      <c r="G37" s="426" t="s">
        <v>89</v>
      </c>
      <c r="H37" s="426" t="s">
        <v>90</v>
      </c>
      <c r="I37" s="427" t="s">
        <v>91</v>
      </c>
      <c r="J37" s="426" t="s">
        <v>183</v>
      </c>
      <c r="K37" s="426" t="s">
        <v>184</v>
      </c>
      <c r="L37" s="426" t="s">
        <v>185</v>
      </c>
      <c r="M37" s="426" t="s">
        <v>186</v>
      </c>
      <c r="N37" s="426" t="s">
        <v>187</v>
      </c>
      <c r="O37" s="426" t="s">
        <v>188</v>
      </c>
      <c r="P37" s="426" t="s">
        <v>189</v>
      </c>
      <c r="Q37" s="426" t="s">
        <v>190</v>
      </c>
      <c r="R37" s="426" t="s">
        <v>191</v>
      </c>
      <c r="S37" s="426" t="s">
        <v>192</v>
      </c>
      <c r="T37" s="426"/>
      <c r="U37" s="427"/>
    </row>
    <row r="38" spans="2:42">
      <c r="B38" s="517" t="s">
        <v>218</v>
      </c>
      <c r="C38" s="518">
        <v>14920</v>
      </c>
      <c r="D38" s="518">
        <v>19433</v>
      </c>
      <c r="E38" s="519">
        <v>8864</v>
      </c>
      <c r="F38" s="519">
        <v>4601</v>
      </c>
      <c r="G38" s="519">
        <v>7930</v>
      </c>
      <c r="H38" s="518">
        <v>11815</v>
      </c>
      <c r="I38" s="520">
        <v>4259</v>
      </c>
      <c r="J38" s="484">
        <f ca="1">J45*BS!J25</f>
        <v>0</v>
      </c>
      <c r="K38" s="484">
        <f ca="1">K45*BS!K25</f>
        <v>0</v>
      </c>
      <c r="L38" s="484">
        <f ca="1">L45*BS!L25</f>
        <v>0</v>
      </c>
      <c r="M38" s="484">
        <f ca="1">M45*BS!M25</f>
        <v>0</v>
      </c>
      <c r="N38" s="484">
        <f ca="1">N45*BS!N25</f>
        <v>0</v>
      </c>
      <c r="O38" s="484">
        <f ca="1">O45*BS!O25</f>
        <v>0</v>
      </c>
      <c r="P38" s="484">
        <f ca="1">P45*BS!P25</f>
        <v>0</v>
      </c>
      <c r="Q38" s="484">
        <f ca="1">Q45*BS!Q25</f>
        <v>0</v>
      </c>
      <c r="R38" s="484">
        <f ca="1">R45*BS!R25</f>
        <v>0</v>
      </c>
      <c r="S38" s="484">
        <f ca="1">S45*BS!S25</f>
        <v>0</v>
      </c>
      <c r="U38" s="485"/>
      <c r="W38" s="273"/>
    </row>
    <row r="39" spans="2:42">
      <c r="B39" s="521" t="s">
        <v>219</v>
      </c>
      <c r="C39" s="199">
        <v>11855</v>
      </c>
      <c r="D39" s="273">
        <v>997</v>
      </c>
      <c r="E39" s="522">
        <v>970</v>
      </c>
      <c r="F39" s="522">
        <v>906</v>
      </c>
      <c r="G39" s="522">
        <v>852</v>
      </c>
      <c r="H39" s="199">
        <v>816</v>
      </c>
      <c r="I39" s="500">
        <v>747</v>
      </c>
      <c r="J39" s="155">
        <f>BS!J26*IS!J46</f>
        <v>726.52800000000002</v>
      </c>
      <c r="K39" s="155">
        <f>BS!K26*IS!K46</f>
        <v>769.76639999999998</v>
      </c>
      <c r="L39" s="155">
        <f>BS!L26*IS!L46</f>
        <v>815.69279999999992</v>
      </c>
      <c r="M39" s="155">
        <f>BS!M26*IS!M46</f>
        <v>856.74239999999998</v>
      </c>
      <c r="N39" s="155">
        <f>BS!N26*IS!N46</f>
        <v>909.31200000000001</v>
      </c>
      <c r="O39" s="155">
        <f>BS!O26*IS!O46</f>
        <v>947.67360000000008</v>
      </c>
      <c r="P39" s="155">
        <f>BS!P26*IS!P46</f>
        <v>980.35199999999998</v>
      </c>
      <c r="Q39" s="155">
        <f>BS!Q26*IS!Q46</f>
        <v>1004.5056000000001</v>
      </c>
      <c r="R39" s="155">
        <f>BS!R26*IS!R46</f>
        <v>1028.6592000000001</v>
      </c>
      <c r="S39" s="155">
        <f>BS!S26*IS!S46</f>
        <v>1054.2336</v>
      </c>
      <c r="T39" s="189"/>
      <c r="U39" s="170"/>
    </row>
    <row r="40" spans="2:42">
      <c r="B40" s="428" t="s">
        <v>220</v>
      </c>
      <c r="C40" s="273">
        <v>799</v>
      </c>
      <c r="D40" s="273">
        <v>564</v>
      </c>
      <c r="E40" s="522">
        <v>575</v>
      </c>
      <c r="F40" s="522">
        <v>564</v>
      </c>
      <c r="G40" s="522">
        <v>800</v>
      </c>
      <c r="H40" s="273">
        <v>772</v>
      </c>
      <c r="I40" s="282">
        <v>772</v>
      </c>
      <c r="J40" s="155">
        <f>I40</f>
        <v>772</v>
      </c>
      <c r="K40" s="155">
        <f t="shared" ref="K40:S41" si="52">J40</f>
        <v>772</v>
      </c>
      <c r="L40" s="155">
        <f t="shared" si="52"/>
        <v>772</v>
      </c>
      <c r="M40" s="155">
        <f t="shared" si="52"/>
        <v>772</v>
      </c>
      <c r="N40" s="155">
        <f t="shared" si="52"/>
        <v>772</v>
      </c>
      <c r="O40" s="155">
        <f>N40</f>
        <v>772</v>
      </c>
      <c r="P40" s="155">
        <f t="shared" si="52"/>
        <v>772</v>
      </c>
      <c r="Q40" s="155">
        <f t="shared" si="52"/>
        <v>772</v>
      </c>
      <c r="R40" s="155">
        <f t="shared" si="52"/>
        <v>772</v>
      </c>
      <c r="S40" s="155">
        <f t="shared" si="52"/>
        <v>772</v>
      </c>
      <c r="T40" s="189"/>
      <c r="U40" s="170"/>
    </row>
    <row r="41" spans="2:42">
      <c r="B41" s="523" t="s">
        <v>221</v>
      </c>
      <c r="C41" s="524">
        <v>-139</v>
      </c>
      <c r="D41" s="524">
        <v>198</v>
      </c>
      <c r="E41" s="525">
        <v>4378</v>
      </c>
      <c r="F41" s="525">
        <v>5613</v>
      </c>
      <c r="G41" s="526">
        <v>-535</v>
      </c>
      <c r="H41" s="524">
        <v>-6912</v>
      </c>
      <c r="I41" s="527">
        <v>-7979</v>
      </c>
      <c r="J41" s="524">
        <f>AVERAGE(C41:I41)</f>
        <v>-768</v>
      </c>
      <c r="K41" s="524">
        <f>J41</f>
        <v>-768</v>
      </c>
      <c r="L41" s="524">
        <f t="shared" ref="L41:S41" si="53">K41</f>
        <v>-768</v>
      </c>
      <c r="M41" s="524">
        <f t="shared" si="53"/>
        <v>-768</v>
      </c>
      <c r="N41" s="524">
        <f t="shared" si="53"/>
        <v>-768</v>
      </c>
      <c r="O41" s="155">
        <f t="shared" si="52"/>
        <v>-768</v>
      </c>
      <c r="P41" s="524">
        <f t="shared" si="53"/>
        <v>-768</v>
      </c>
      <c r="Q41" s="524">
        <f t="shared" si="53"/>
        <v>-768</v>
      </c>
      <c r="R41" s="524">
        <f t="shared" si="53"/>
        <v>-768</v>
      </c>
      <c r="S41" s="524">
        <f t="shared" si="53"/>
        <v>-768</v>
      </c>
      <c r="T41" s="189"/>
      <c r="U41" s="170"/>
    </row>
    <row r="42" spans="2:42" ht="15.95" thickBot="1">
      <c r="B42" s="528" t="s">
        <v>222</v>
      </c>
      <c r="C42" s="529">
        <v>27435</v>
      </c>
      <c r="D42" s="529">
        <v>21192</v>
      </c>
      <c r="E42" s="530">
        <v>14787</v>
      </c>
      <c r="F42" s="530">
        <v>11684</v>
      </c>
      <c r="G42" s="530">
        <v>9047</v>
      </c>
      <c r="H42" s="529">
        <v>6491</v>
      </c>
      <c r="I42" s="531">
        <v>-2201</v>
      </c>
      <c r="J42" s="529">
        <f ca="1">SUM(J38:J41)</f>
        <v>730.52800000000002</v>
      </c>
      <c r="K42" s="529">
        <f t="shared" ref="K42:S42" ca="1" si="54">SUM(K38:K41)</f>
        <v>773.76639999999998</v>
      </c>
      <c r="L42" s="529">
        <f t="shared" ca="1" si="54"/>
        <v>819.69279999999981</v>
      </c>
      <c r="M42" s="529">
        <f t="shared" ca="1" si="54"/>
        <v>860.74240000000009</v>
      </c>
      <c r="N42" s="529">
        <f t="shared" ca="1" si="54"/>
        <v>913.3119999999999</v>
      </c>
      <c r="O42" s="529">
        <f t="shared" ca="1" si="54"/>
        <v>951.67360000000008</v>
      </c>
      <c r="P42" s="529">
        <f t="shared" ca="1" si="54"/>
        <v>984.35199999999986</v>
      </c>
      <c r="Q42" s="529">
        <f t="shared" ca="1" si="54"/>
        <v>1008.5056</v>
      </c>
      <c r="R42" s="529">
        <f t="shared" ca="1" si="54"/>
        <v>1032.6592000000001</v>
      </c>
      <c r="S42" s="529">
        <f t="shared" ca="1" si="54"/>
        <v>1058.2336</v>
      </c>
      <c r="T42" s="529"/>
      <c r="U42" s="705"/>
      <c r="W42" s="273"/>
    </row>
    <row r="43" spans="2:42" ht="15.95" thickTop="1">
      <c r="B43" s="187"/>
      <c r="D43" s="273"/>
      <c r="I43" s="170"/>
      <c r="T43" s="189"/>
      <c r="U43" s="170"/>
    </row>
    <row r="44" spans="2:42">
      <c r="B44" s="489" t="s">
        <v>223</v>
      </c>
      <c r="D44" s="483"/>
      <c r="E44" s="483"/>
      <c r="F44" s="483"/>
      <c r="G44" s="483"/>
      <c r="H44" s="483"/>
      <c r="I44" s="486"/>
      <c r="K44" s="483"/>
      <c r="L44" s="483"/>
      <c r="M44" s="483"/>
      <c r="N44" s="483"/>
      <c r="O44" s="483"/>
      <c r="P44" s="483"/>
      <c r="Q44" s="483"/>
      <c r="R44" s="483"/>
      <c r="S44" s="483"/>
      <c r="U44" s="170"/>
    </row>
    <row r="45" spans="2:42">
      <c r="B45" s="521" t="s">
        <v>218</v>
      </c>
      <c r="C45" s="168"/>
      <c r="D45" s="168">
        <f>D38/BS!D25</f>
        <v>3.6120817843866171E-2</v>
      </c>
      <c r="E45" s="168">
        <f>E38/BS!E25</f>
        <v>3.5456000000000001E-2</v>
      </c>
      <c r="F45" s="168">
        <f>F38/BS!F25</f>
        <v>1.8404E-2</v>
      </c>
      <c r="G45" s="168">
        <f>G38/BS!G25</f>
        <v>3.1719999999999998E-2</v>
      </c>
      <c r="H45" s="168">
        <f>H38/BS!H25</f>
        <v>9.4520000000000007E-2</v>
      </c>
      <c r="I45" s="395">
        <f>I38/BS!H25</f>
        <v>3.4071999999999998E-2</v>
      </c>
      <c r="J45" s="631">
        <v>3.5000000000000003E-2</v>
      </c>
      <c r="K45" s="631">
        <v>4.2999999999999997E-2</v>
      </c>
      <c r="L45" s="631">
        <v>4.4299999999999999E-2</v>
      </c>
      <c r="M45" s="631">
        <v>4.5499999999999999E-2</v>
      </c>
      <c r="N45" s="631">
        <v>4.7100000000000003E-2</v>
      </c>
      <c r="O45" s="631">
        <v>4.8000000000000001E-2</v>
      </c>
      <c r="P45" s="631">
        <v>4.8000000000000001E-2</v>
      </c>
      <c r="Q45" s="631">
        <v>4.5999999999999999E-2</v>
      </c>
      <c r="R45" s="631">
        <v>4.4999999999999998E-2</v>
      </c>
      <c r="S45" s="631">
        <v>4.3999999999999997E-2</v>
      </c>
      <c r="U45" s="170"/>
    </row>
    <row r="46" spans="2:42" ht="15.95" thickBot="1">
      <c r="B46" s="532" t="s">
        <v>219</v>
      </c>
      <c r="C46" s="177"/>
      <c r="D46" s="177">
        <f>D39/BS!D26</f>
        <v>8.7310622646466413E-2</v>
      </c>
      <c r="E46" s="177">
        <f>E39/BS!E26</f>
        <v>9.2743092073812025E-2</v>
      </c>
      <c r="F46" s="177">
        <f>F39/BS!F26</f>
        <v>9.3827671913835953E-2</v>
      </c>
      <c r="G46" s="177">
        <f>G39/BS!G26</f>
        <v>9.5708829476522136E-2</v>
      </c>
      <c r="H46" s="177">
        <f>H39/BS!H26</f>
        <v>9.3955094991364424E-2</v>
      </c>
      <c r="I46" s="487">
        <f>I39/BS!I26</f>
        <v>0.10306291390728477</v>
      </c>
      <c r="J46" s="177">
        <v>9.6000000000000002E-2</v>
      </c>
      <c r="K46" s="177">
        <v>9.6000000000000002E-2</v>
      </c>
      <c r="L46" s="177">
        <v>9.6000000000000002E-2</v>
      </c>
      <c r="M46" s="177">
        <v>9.6000000000000002E-2</v>
      </c>
      <c r="N46" s="177">
        <v>9.6000000000000002E-2</v>
      </c>
      <c r="O46" s="177">
        <v>9.6000000000000002E-2</v>
      </c>
      <c r="P46" s="177">
        <v>9.6000000000000002E-2</v>
      </c>
      <c r="Q46" s="177">
        <v>9.6000000000000002E-2</v>
      </c>
      <c r="R46" s="177">
        <v>9.6000000000000002E-2</v>
      </c>
      <c r="S46" s="177">
        <v>9.6000000000000002E-2</v>
      </c>
      <c r="T46" s="174"/>
      <c r="U46" s="178"/>
    </row>
    <row r="47" spans="2:42" ht="15.95" thickBot="1"/>
    <row r="48" spans="2:42" ht="17.100000000000001" thickBot="1">
      <c r="B48" s="478" t="s">
        <v>224</v>
      </c>
      <c r="C48" s="425" t="s">
        <v>85</v>
      </c>
      <c r="D48" s="425" t="s">
        <v>86</v>
      </c>
      <c r="E48" s="425" t="s">
        <v>87</v>
      </c>
      <c r="F48" s="425" t="s">
        <v>88</v>
      </c>
      <c r="G48" s="426" t="s">
        <v>89</v>
      </c>
      <c r="H48" s="426" t="s">
        <v>90</v>
      </c>
      <c r="I48" s="427" t="s">
        <v>91</v>
      </c>
      <c r="J48" s="426" t="s">
        <v>183</v>
      </c>
      <c r="K48" s="426" t="s">
        <v>184</v>
      </c>
      <c r="L48" s="426" t="s">
        <v>185</v>
      </c>
      <c r="M48" s="426" t="s">
        <v>186</v>
      </c>
      <c r="N48" s="426" t="s">
        <v>187</v>
      </c>
      <c r="O48" s="426" t="s">
        <v>188</v>
      </c>
      <c r="P48" s="426" t="s">
        <v>189</v>
      </c>
      <c r="Q48" s="426" t="s">
        <v>190</v>
      </c>
      <c r="R48" s="426" t="s">
        <v>191</v>
      </c>
      <c r="S48" s="426" t="s">
        <v>192</v>
      </c>
      <c r="T48" s="426"/>
      <c r="U48" s="427"/>
    </row>
    <row r="49" spans="2:21">
      <c r="B49" s="187" t="s">
        <v>193</v>
      </c>
      <c r="D49" s="189">
        <f>D3/C3-1</f>
        <v>8.2095528308524734E-2</v>
      </c>
      <c r="E49" s="189">
        <f>E3/D3-1</f>
        <v>0.14799439557680039</v>
      </c>
      <c r="F49" s="189">
        <f>F3/E3-1</f>
        <v>-5.702639408888166E-2</v>
      </c>
      <c r="G49" s="189">
        <f>G3/F3-1</f>
        <v>4.9895169879877743E-2</v>
      </c>
      <c r="H49" s="189">
        <f>H3/G3-1</f>
        <v>6.7636776545726196E-2</v>
      </c>
      <c r="I49" s="429">
        <f>I3/H3-1</f>
        <v>0.12898295605453791</v>
      </c>
      <c r="J49" s="347">
        <f>J3/I3-1</f>
        <v>0.13720779220779211</v>
      </c>
      <c r="K49" s="347">
        <f>K3/J3-1</f>
        <v>0.14591456736035058</v>
      </c>
      <c r="L49" s="347">
        <f>L3/K3-1</f>
        <v>0.14692502532928065</v>
      </c>
      <c r="M49" s="347">
        <f>M3/L3-1</f>
        <v>0.13709226467847158</v>
      </c>
      <c r="N49" s="347">
        <f>N3/M3-1</f>
        <v>0.11784423407917388</v>
      </c>
      <c r="O49" s="347">
        <f>O3/N3-1</f>
        <v>9.3547868061142569E-2</v>
      </c>
      <c r="P49" s="347">
        <f>P3/O3-1</f>
        <v>7.4594491201223967E-2</v>
      </c>
      <c r="Q49" s="347">
        <f>Q3/P3-1</f>
        <v>6.0361090641120052E-2</v>
      </c>
      <c r="R49" s="347">
        <f>R3/Q3-1</f>
        <v>4.9946313528990816E-2</v>
      </c>
      <c r="S49" s="347">
        <f>S3/R3-1</f>
        <v>5.0069881201956434E-2</v>
      </c>
      <c r="U49" s="170"/>
    </row>
    <row r="50" spans="2:21" ht="15.95">
      <c r="B50" s="167" t="s">
        <v>194</v>
      </c>
      <c r="C50" s="189"/>
      <c r="D50" s="189">
        <f>D4/C4-1</f>
        <v>8.0973195165932932E-2</v>
      </c>
      <c r="E50" s="189">
        <f>E4/D4-1</f>
        <v>9.3436206306014125E-2</v>
      </c>
      <c r="F50" s="189">
        <f>F4/E4-1</f>
        <v>-4.8615835303841282E-2</v>
      </c>
      <c r="G50" s="189">
        <f>G4/F4-1</f>
        <v>4.2409803794063672E-2</v>
      </c>
      <c r="H50" s="189">
        <f>H4/G4-1</f>
        <v>6.4079351838998377E-2</v>
      </c>
      <c r="I50" s="429">
        <f>I4/H4-1</f>
        <v>0.10711421482765893</v>
      </c>
      <c r="J50" s="347">
        <f>J4/I4-1</f>
        <v>0.12077682848737026</v>
      </c>
      <c r="K50" s="347">
        <f>K4/J4-1</f>
        <v>0.13276472806277284</v>
      </c>
      <c r="L50" s="347">
        <f>L4/K4-1</f>
        <v>0.13741486757364796</v>
      </c>
      <c r="M50" s="347">
        <f>M4/L4-1</f>
        <v>0.12758480427146091</v>
      </c>
      <c r="N50" s="347">
        <f>N4/M4-1</f>
        <v>0.11784423407917388</v>
      </c>
      <c r="O50" s="347">
        <f>O4/N4-1</f>
        <v>9.3547868061142569E-2</v>
      </c>
      <c r="P50" s="347">
        <f>P4/O4-1</f>
        <v>7.4594491201223967E-2</v>
      </c>
      <c r="Q50" s="347">
        <f>Q4/P4-1</f>
        <v>6.0361090641120274E-2</v>
      </c>
      <c r="R50" s="347">
        <f>R4/Q4-1</f>
        <v>4.9946313528990594E-2</v>
      </c>
      <c r="S50" s="347">
        <f>S4/R4-1</f>
        <v>5.0069881201956656E-2</v>
      </c>
      <c r="T50" s="189"/>
      <c r="U50" s="170"/>
    </row>
    <row r="51" spans="2:21" ht="15.95">
      <c r="B51" s="167" t="s">
        <v>195</v>
      </c>
      <c r="C51" s="189"/>
      <c r="D51" s="189">
        <f>D5/C5-1</f>
        <v>8.4317658335598455E-2</v>
      </c>
      <c r="E51" s="189">
        <f>E5/D5-1</f>
        <v>0.25568207606218651</v>
      </c>
      <c r="F51" s="189">
        <f>F5/E5-1</f>
        <v>-7.1482278949719813E-2</v>
      </c>
      <c r="G51" s="189">
        <f>G5/F5-1</f>
        <v>6.3077694671222151E-2</v>
      </c>
      <c r="H51" s="189">
        <f>H5/G5-1</f>
        <v>7.3779977892874049E-2</v>
      </c>
      <c r="I51" s="429">
        <f>I5/H5-1</f>
        <v>0.16640620879746182</v>
      </c>
      <c r="J51" s="347">
        <f>J5/I5-1</f>
        <v>0.1638962444357499</v>
      </c>
      <c r="K51" s="347">
        <f>K5/J5-1</f>
        <v>0.16648226472322847</v>
      </c>
      <c r="L51" s="347">
        <f>L5/K5-1</f>
        <v>0.1613699248926217</v>
      </c>
      <c r="M51" s="347">
        <f>M5/L5-1</f>
        <v>0.15123520329387552</v>
      </c>
      <c r="N51" s="347">
        <f>N5/M5-1</f>
        <v>0.11784423407917366</v>
      </c>
      <c r="O51" s="347">
        <f>O5/N5-1</f>
        <v>9.3547868061142569E-2</v>
      </c>
      <c r="P51" s="347">
        <f>P5/O5-1</f>
        <v>7.4594491201223967E-2</v>
      </c>
      <c r="Q51" s="347">
        <f>Q5/P5-1</f>
        <v>6.0361090641120052E-2</v>
      </c>
      <c r="R51" s="347">
        <f>R5/Q5-1</f>
        <v>4.9946313528991038E-2</v>
      </c>
      <c r="S51" s="347">
        <f>S5/R5-1</f>
        <v>5.0069881201956434E-2</v>
      </c>
      <c r="T51" s="189"/>
      <c r="U51" s="170"/>
    </row>
    <row r="52" spans="2:21" ht="15.95">
      <c r="B52" s="167" t="s">
        <v>196</v>
      </c>
      <c r="C52" s="189"/>
      <c r="D52" s="189">
        <f>D6/C6-1</f>
        <v>0.10343175194721321</v>
      </c>
      <c r="E52" s="189">
        <f>E6/D6-1</f>
        <v>0.20272348256799511</v>
      </c>
      <c r="F52" s="189">
        <f>F6/E6-1</f>
        <v>-6.205586336808E-2</v>
      </c>
      <c r="G52" s="189">
        <f>G6/F6-1</f>
        <v>6.1459611430009664E-2</v>
      </c>
      <c r="H52" s="189">
        <f>H6/G6-1</f>
        <v>7.8025531768130651E-2</v>
      </c>
      <c r="I52" s="429">
        <f>I6/H6-1</f>
        <v>0.14542472469765366</v>
      </c>
      <c r="J52" s="347">
        <f>J6/I6-1</f>
        <v>0.14933599035219691</v>
      </c>
      <c r="K52" s="347">
        <f>K6/J6-1</f>
        <v>0.15355399780941958</v>
      </c>
      <c r="L52" s="347">
        <f>L6/K6-1</f>
        <v>0.15072279031381464</v>
      </c>
      <c r="M52" s="347">
        <f>M6/L6-1</f>
        <v>0.13333948492705749</v>
      </c>
      <c r="N52" s="347">
        <f>N6/M6-1</f>
        <v>0.11414276310540172</v>
      </c>
      <c r="O52" s="347">
        <f>O6/N6-1</f>
        <v>7.9015670478934652E-2</v>
      </c>
      <c r="P52" s="347">
        <f>P6/O6-1</f>
        <v>6.0121838121072635E-2</v>
      </c>
      <c r="Q52" s="347">
        <f>Q6/P6-1</f>
        <v>4.5885171314961726E-2</v>
      </c>
      <c r="R52" s="347">
        <f>R6/Q6-1</f>
        <v>3.5414184622015066E-2</v>
      </c>
      <c r="S52" s="347">
        <f>S6/R6-1</f>
        <v>3.5332058307893988E-2</v>
      </c>
      <c r="T52" s="189"/>
      <c r="U52" s="170"/>
    </row>
    <row r="53" spans="2:21">
      <c r="B53" s="319" t="s">
        <v>197</v>
      </c>
      <c r="C53" s="189"/>
      <c r="D53" s="189">
        <f>D7/C7-1</f>
        <v>0.11519274376417243</v>
      </c>
      <c r="E53" s="189">
        <f>E7/D7-1</f>
        <v>3.0151629582292561E-2</v>
      </c>
      <c r="F53" s="189">
        <f>F7/E7-1</f>
        <v>-1.5033353743031164E-2</v>
      </c>
      <c r="G53" s="189">
        <f>G7/F7-1</f>
        <v>1.0404227126241228E-2</v>
      </c>
      <c r="H53" s="189">
        <f>H7/G7-1</f>
        <v>6.7700153808791352E-2</v>
      </c>
      <c r="I53" s="429">
        <f>I7/H7-1</f>
        <v>6.4825275033550955E-3</v>
      </c>
      <c r="J53" s="347">
        <f>J7/I7-1</f>
        <v>0.20824122068066875</v>
      </c>
      <c r="K53" s="347">
        <f>K7/J7-1</f>
        <v>0.18918918918918814</v>
      </c>
      <c r="L53" s="347">
        <f>L7/K7-1</f>
        <v>9.0909090909091717E-2</v>
      </c>
      <c r="M53" s="347">
        <f>M7/L7-1</f>
        <v>-2.083333333333437E-2</v>
      </c>
      <c r="N53" s="347">
        <f>N7/M7-1</f>
        <v>-0.17021276595744605</v>
      </c>
      <c r="O53" s="347">
        <f>O7/N7-1</f>
        <v>-0.28205128205128183</v>
      </c>
      <c r="P53" s="347">
        <f>P7/O7-1</f>
        <v>-0.17857142857142949</v>
      </c>
      <c r="Q53" s="347">
        <f>Q7/P7-1</f>
        <v>-0.26086956521739013</v>
      </c>
      <c r="R53" s="347">
        <f>R7/Q7-1</f>
        <v>0</v>
      </c>
      <c r="S53" s="347">
        <f>S7/R7-1</f>
        <v>5.8823529411764275E-2</v>
      </c>
      <c r="T53" s="189"/>
      <c r="U53" s="170"/>
    </row>
    <row r="54" spans="2:21" ht="15.95">
      <c r="B54" s="167" t="s">
        <v>198</v>
      </c>
      <c r="C54" s="189"/>
      <c r="D54" s="189">
        <f>D8/C8-1</f>
        <v>-0.39880755216959263</v>
      </c>
      <c r="E54" s="189">
        <f>E8/D8-1</f>
        <v>-1.0508264462809918</v>
      </c>
      <c r="F54" s="189">
        <f>F8/E8-1</f>
        <v>-13.663956639566395</v>
      </c>
      <c r="G54" s="189">
        <f>G8/F8-1</f>
        <v>1.3592980954419005</v>
      </c>
      <c r="H54" s="189">
        <f>H8/G8-1</f>
        <v>2.5628117913832198</v>
      </c>
      <c r="I54" s="429">
        <f>I8/H8-1</f>
        <v>-0.67169042769857434</v>
      </c>
      <c r="J54" s="347">
        <f>J8/I8-1</f>
        <v>-0.10825062034739452</v>
      </c>
      <c r="K54" s="347">
        <f>K8/J8-1</f>
        <v>0.19999999999999996</v>
      </c>
      <c r="L54" s="347">
        <f>L8/K8-1</f>
        <v>-0.12318840579710144</v>
      </c>
      <c r="M54" s="347">
        <f>M8/L8-1</f>
        <v>0</v>
      </c>
      <c r="N54" s="347">
        <f>N8/M8-1</f>
        <v>-0.21900826446280997</v>
      </c>
      <c r="O54" s="347">
        <f>O8/N8-1</f>
        <v>-0.33333333333333337</v>
      </c>
      <c r="P54" s="347">
        <f>P8/O8-1</f>
        <v>-0.52380952380952384</v>
      </c>
      <c r="Q54" s="347">
        <f>Q8/P8-1</f>
        <v>-0.33333333333333337</v>
      </c>
      <c r="R54" s="347">
        <f>R8/Q8-1</f>
        <v>0</v>
      </c>
      <c r="S54" s="347">
        <f>S8/R8-1</f>
        <v>0</v>
      </c>
      <c r="T54" s="189"/>
      <c r="U54" s="170"/>
    </row>
    <row r="55" spans="2:21" ht="15.95">
      <c r="B55" s="167" t="s">
        <v>225</v>
      </c>
      <c r="C55" s="189"/>
      <c r="D55" s="189">
        <f>D9/C9-1</f>
        <v>-2.4902315273808817E-2</v>
      </c>
      <c r="E55" s="189">
        <f>E9/D9-1</f>
        <v>0.80191847626058155</v>
      </c>
      <c r="F55" s="189">
        <f>F9/E9-1</f>
        <v>-0.14703637036753348</v>
      </c>
      <c r="G55" s="189">
        <f>G9/F9-1</f>
        <v>7.2690046576228129E-2</v>
      </c>
      <c r="H55" s="189">
        <f>H9/G9-1</f>
        <v>-2.2683893291661983E-2</v>
      </c>
      <c r="I55" s="429">
        <f>I9/H9-1</f>
        <v>0.44046929026842285</v>
      </c>
      <c r="J55" s="347">
        <f>J9/I9-1</f>
        <v>0.22531491938531789</v>
      </c>
      <c r="K55" s="347">
        <f>K9/J9-1</f>
        <v>0.2150443909884896</v>
      </c>
      <c r="L55" s="347">
        <f>L9/K9-1</f>
        <v>0.22755470236953368</v>
      </c>
      <c r="M55" s="347">
        <f>M9/L9-1</f>
        <v>0.25990244742827118</v>
      </c>
      <c r="N55" s="347">
        <f>N9/M9-1</f>
        <v>0.18449912986230199</v>
      </c>
      <c r="O55" s="347">
        <f>O9/N9-1</f>
        <v>0.18924775341968014</v>
      </c>
      <c r="P55" s="347">
        <f>P9/O9-1</f>
        <v>0.13780184387909378</v>
      </c>
      <c r="Q55" s="347">
        <f>Q9/P9-1</f>
        <v>0.11745523432791072</v>
      </c>
      <c r="R55" s="347">
        <f>R9/Q9-1</f>
        <v>8.864968686451391E-2</v>
      </c>
      <c r="S55" s="347">
        <f>S9/R9-1</f>
        <v>8.540836497015758E-2</v>
      </c>
      <c r="T55" s="189"/>
      <c r="U55" s="170"/>
    </row>
    <row r="56" spans="2:21" ht="15.95">
      <c r="B56" s="167" t="s">
        <v>202</v>
      </c>
      <c r="C56" s="189"/>
      <c r="D56" s="189">
        <f>D10/C10-1</f>
        <v>-0.2275560415527611</v>
      </c>
      <c r="E56" s="189">
        <f>E10/D10-1</f>
        <v>-0.30223669309173273</v>
      </c>
      <c r="F56" s="189">
        <f>F10/E10-1</f>
        <v>-0.20984648677892748</v>
      </c>
      <c r="G56" s="189">
        <f>G10/F10-1</f>
        <v>-0.22569325573433752</v>
      </c>
      <c r="H56" s="189">
        <f>H10/G10-1</f>
        <v>-0.28252459378799599</v>
      </c>
      <c r="I56" s="429">
        <f>I10/H10-1</f>
        <v>-1.3390848867662917</v>
      </c>
      <c r="J56" s="347">
        <f ca="1">J10/I10-1</f>
        <v>-1.3319073148568832</v>
      </c>
      <c r="K56" s="347">
        <f ca="1">K10/J10-1</f>
        <v>5.9187875071181395E-2</v>
      </c>
      <c r="L56" s="347">
        <f ca="1">L10/K10-1</f>
        <v>5.9354347772143878E-2</v>
      </c>
      <c r="M56" s="347">
        <f ca="1">M10/L10-1</f>
        <v>5.0079249201652409E-2</v>
      </c>
      <c r="N56" s="347">
        <f ca="1">N10/M10-1</f>
        <v>6.1074718754414503E-2</v>
      </c>
      <c r="O56" s="347">
        <f ca="1">O10/N10-1</f>
        <v>4.20027329105499E-2</v>
      </c>
      <c r="P56" s="347">
        <f ca="1">P10/O10-1</f>
        <v>3.4337823388186584E-2</v>
      </c>
      <c r="Q56" s="347">
        <f ca="1">Q10/P10-1</f>
        <v>2.4537563798316064E-2</v>
      </c>
      <c r="R56" s="347">
        <f ca="1">R10/Q10-1</f>
        <v>2.394989180030338E-2</v>
      </c>
      <c r="S56" s="347">
        <f ca="1">S10/R10-1</f>
        <v>2.4765576097128594E-2</v>
      </c>
      <c r="T56" s="189"/>
      <c r="U56" s="170"/>
    </row>
    <row r="57" spans="2:21" ht="15.95">
      <c r="B57" s="167" t="s">
        <v>203</v>
      </c>
      <c r="C57" s="189"/>
      <c r="D57" s="189"/>
      <c r="E57" s="189"/>
      <c r="F57" s="189"/>
      <c r="G57" s="189"/>
      <c r="H57" s="189"/>
      <c r="I57" s="429"/>
      <c r="J57" s="347"/>
      <c r="K57" s="347"/>
      <c r="L57" s="347"/>
      <c r="M57" s="347"/>
      <c r="N57" s="347"/>
      <c r="O57" s="347"/>
      <c r="P57" s="347"/>
      <c r="Q57" s="347"/>
      <c r="R57" s="347"/>
      <c r="S57" s="347"/>
      <c r="T57" s="189"/>
      <c r="U57" s="170"/>
    </row>
    <row r="58" spans="2:21" ht="15.95">
      <c r="B58" s="167" t="s">
        <v>204</v>
      </c>
      <c r="C58" s="189"/>
      <c r="D58" s="189">
        <f>D12/C12-1</f>
        <v>1.8999366687777464E-3</v>
      </c>
      <c r="E58" s="189">
        <f>E12/D12-1</f>
        <v>0.9212001957505811</v>
      </c>
      <c r="F58" s="189">
        <f>F12/E12-1</f>
        <v>-0.14457198350659894</v>
      </c>
      <c r="G58" s="189">
        <f>G12/F12-1</f>
        <v>8.3503933100076866E-2</v>
      </c>
      <c r="H58" s="189">
        <f>H12/G12-1</f>
        <v>-1.595417290510226E-2</v>
      </c>
      <c r="I58" s="429">
        <f>I12/H12-1</f>
        <v>0.47407342759062088</v>
      </c>
      <c r="J58" s="347">
        <f ca="1">J12/I12-1</f>
        <v>0.21855064137836488</v>
      </c>
      <c r="K58" s="347">
        <f ca="1">K12/J12-1</f>
        <v>0.21522879444500354</v>
      </c>
      <c r="L58" s="347">
        <f ca="1">L12/K12-1</f>
        <v>0.22772815702070992</v>
      </c>
      <c r="M58" s="347">
        <f ca="1">M12/L12-1</f>
        <v>0.2600891505512839</v>
      </c>
      <c r="N58" s="347">
        <f ca="1">N12/M12-1</f>
        <v>0.18459065069185021</v>
      </c>
      <c r="O58" s="347">
        <f ca="1">O12/N12-1</f>
        <v>0.18934555303971057</v>
      </c>
      <c r="P58" s="347">
        <f ca="1">P12/O12-1</f>
        <v>0.13786205084006098</v>
      </c>
      <c r="Q58" s="347">
        <f ca="1">Q12/P12-1</f>
        <v>0.11750438488692927</v>
      </c>
      <c r="R58" s="347">
        <f ca="1">R12/Q12-1</f>
        <v>8.8681063885162059E-2</v>
      </c>
      <c r="S58" s="347">
        <f ca="1">S12/R12-1</f>
        <v>8.543602585059995E-2</v>
      </c>
      <c r="T58" s="189"/>
      <c r="U58" s="170"/>
    </row>
    <row r="59" spans="2:21" ht="15.95">
      <c r="B59" s="167" t="s">
        <v>205</v>
      </c>
      <c r="C59" s="189"/>
      <c r="D59" s="189">
        <f>D13/C13-1</f>
        <v>0.24903381642512068</v>
      </c>
      <c r="E59" s="189">
        <f>E13/D13-1</f>
        <v>0.92157115537506185</v>
      </c>
      <c r="F59" s="189">
        <f>F13/E13-1</f>
        <v>-0.12516214161112849</v>
      </c>
      <c r="G59" s="189">
        <f>G13/F13-1</f>
        <v>0.12672077714577878</v>
      </c>
      <c r="H59" s="189">
        <f>H13/G13-1</f>
        <v>-3.7039558021077945E-2</v>
      </c>
      <c r="I59" s="429">
        <f>I13/H13-1</f>
        <v>0.48552141746383293</v>
      </c>
      <c r="J59" s="347">
        <f ca="1">J13/I13-1</f>
        <v>0.2241313688770048</v>
      </c>
      <c r="K59" s="347">
        <f ca="1">K13/J13-1</f>
        <v>0.21522879444500354</v>
      </c>
      <c r="L59" s="347">
        <f ca="1">L13/K13-1</f>
        <v>0.22772815702070992</v>
      </c>
      <c r="M59" s="347">
        <f ca="1">M13/L13-1</f>
        <v>0.2600891505512839</v>
      </c>
      <c r="N59" s="347">
        <f ca="1">N13/M13-1</f>
        <v>0.18459065069185021</v>
      </c>
      <c r="O59" s="347">
        <f ca="1">O13/N13-1</f>
        <v>0.18934555303971057</v>
      </c>
      <c r="P59" s="347">
        <f ca="1">P13/O13-1</f>
        <v>0.13786205084006098</v>
      </c>
      <c r="Q59" s="347">
        <f ca="1">Q13/P13-1</f>
        <v>0.11750438488692927</v>
      </c>
      <c r="R59" s="347">
        <f ca="1">R13/Q13-1</f>
        <v>8.8681063885162059E-2</v>
      </c>
      <c r="S59" s="347">
        <f ca="1">S13/R13-1</f>
        <v>8.543602585059995E-2</v>
      </c>
      <c r="T59" s="189"/>
      <c r="U59" s="170"/>
    </row>
    <row r="60" spans="2:21" ht="15.95">
      <c r="B60" s="167" t="s">
        <v>206</v>
      </c>
      <c r="C60" s="189"/>
      <c r="D60" s="189">
        <f>D14/C14-1</f>
        <v>-5.6182822828884316E-2</v>
      </c>
      <c r="E60" s="189">
        <f>E14/D14-1</f>
        <v>0.9210848164460097</v>
      </c>
      <c r="F60" s="189">
        <f>F14/E14-1</f>
        <v>-0.1506105409636459</v>
      </c>
      <c r="G60" s="189">
        <f>G14/F14-1</f>
        <v>6.965600003276573E-2</v>
      </c>
      <c r="H60" s="189">
        <f>H14/G14-1</f>
        <v>-8.8373589009205222E-3</v>
      </c>
      <c r="I60" s="429">
        <f>I14/H14-1</f>
        <v>0.47031940538368833</v>
      </c>
      <c r="J60" s="347">
        <f ca="1">J14/I14-1</f>
        <v>0.21670168933831224</v>
      </c>
      <c r="K60" s="347">
        <f ca="1">K14/J14-1</f>
        <v>0.21522879444500354</v>
      </c>
      <c r="L60" s="347">
        <f ca="1">L14/K14-1</f>
        <v>0.22772815702070992</v>
      </c>
      <c r="M60" s="347">
        <f ca="1">M14/L14-1</f>
        <v>0.2600891505512839</v>
      </c>
      <c r="N60" s="347">
        <f ca="1">N14/M14-1</f>
        <v>0.18459065069184999</v>
      </c>
      <c r="O60" s="347">
        <f ca="1">O14/N14-1</f>
        <v>0.18934555303971057</v>
      </c>
      <c r="P60" s="347">
        <f ca="1">P14/O14-1</f>
        <v>0.13786205084006098</v>
      </c>
      <c r="Q60" s="347">
        <f ca="1">Q14/P14-1</f>
        <v>0.11750438488692927</v>
      </c>
      <c r="R60" s="347">
        <f ca="1">R14/Q14-1</f>
        <v>8.8681063885162059E-2</v>
      </c>
      <c r="S60" s="347">
        <f ca="1">S14/R14-1</f>
        <v>8.5436025850599728E-2</v>
      </c>
      <c r="T60" s="189"/>
      <c r="U60" s="170"/>
    </row>
    <row r="61" spans="2:21" ht="15.95">
      <c r="B61" s="167" t="s">
        <v>207</v>
      </c>
      <c r="C61" s="189"/>
      <c r="D61" s="189"/>
      <c r="E61" s="189"/>
      <c r="F61" s="189"/>
      <c r="G61" s="189"/>
      <c r="H61" s="189"/>
      <c r="I61" s="429"/>
      <c r="J61" s="347"/>
      <c r="K61" s="347"/>
      <c r="L61" s="347"/>
      <c r="M61" s="347"/>
      <c r="N61" s="347"/>
      <c r="O61" s="347"/>
      <c r="P61" s="347"/>
      <c r="Q61" s="347"/>
      <c r="R61" s="347"/>
      <c r="S61" s="347"/>
      <c r="T61" s="189"/>
      <c r="U61" s="170"/>
    </row>
    <row r="62" spans="2:21" ht="15.95">
      <c r="B62" s="167" t="s">
        <v>208</v>
      </c>
      <c r="C62" s="189"/>
      <c r="D62" s="189">
        <f>D16/C16-1</f>
        <v>1.6260162601626105E-2</v>
      </c>
      <c r="E62" s="189">
        <f>E16/D16-1</f>
        <v>0.95199999999999996</v>
      </c>
      <c r="F62" s="189">
        <f>F16/E16-1</f>
        <v>-0.13114754098360648</v>
      </c>
      <c r="G62" s="189">
        <f>G16/F16-1</f>
        <v>0.1367924528301887</v>
      </c>
      <c r="H62" s="189">
        <f>H16/G16-1</f>
        <v>4.9792531120331773E-2</v>
      </c>
      <c r="I62" s="429">
        <f>I16/H16-1</f>
        <v>0.49802371541502</v>
      </c>
      <c r="J62" s="347">
        <f ca="1">J16/I16-1</f>
        <v>0.21742212881711942</v>
      </c>
      <c r="K62" s="347">
        <f ca="1">K16/J16-1</f>
        <v>0.21522879444500354</v>
      </c>
      <c r="L62" s="347">
        <f ca="1">L16/K16-1</f>
        <v>0.22772815702070992</v>
      </c>
      <c r="M62" s="347">
        <f ca="1">M16/L16-1</f>
        <v>0.2600891505512839</v>
      </c>
      <c r="N62" s="347">
        <f ca="1">N16/M16-1</f>
        <v>0.18459065069184999</v>
      </c>
      <c r="O62" s="347">
        <f ca="1">O16/N16-1</f>
        <v>0.18934555303971079</v>
      </c>
      <c r="P62" s="347">
        <f ca="1">P16/O16-1</f>
        <v>0.13786205084006098</v>
      </c>
      <c r="Q62" s="347">
        <f ca="1">Q16/P16-1</f>
        <v>0.11750438488692905</v>
      </c>
      <c r="R62" s="347">
        <f ca="1">R16/Q16-1</f>
        <v>8.8681063885162059E-2</v>
      </c>
      <c r="S62" s="347">
        <f ca="1">S16/R16-1</f>
        <v>8.543602585059995E-2</v>
      </c>
      <c r="T62" s="189"/>
      <c r="U62" s="170"/>
    </row>
    <row r="63" spans="2:21" ht="15.95">
      <c r="B63" s="167" t="s">
        <v>209</v>
      </c>
      <c r="C63" s="189"/>
      <c r="D63" s="189">
        <f>D17/C17-1</f>
        <v>2.4590163934426146E-2</v>
      </c>
      <c r="E63" s="189">
        <f>E17/D17-1</f>
        <v>0.94400000000000017</v>
      </c>
      <c r="F63" s="189">
        <f>F17/E17-1</f>
        <v>-0.13580246913580252</v>
      </c>
      <c r="G63" s="189">
        <f>G17/F17-1</f>
        <v>0.13809523809523805</v>
      </c>
      <c r="H63" s="189">
        <f>H17/G17-1</f>
        <v>4.6025104602510414E-2</v>
      </c>
      <c r="I63" s="429">
        <f>I17/H17-1</f>
        <v>0.5</v>
      </c>
      <c r="J63" s="347">
        <f ca="1">J17/I17-1</f>
        <v>0.21807706307052688</v>
      </c>
      <c r="K63" s="347">
        <f ca="1">K17/J17-1</f>
        <v>0.21522879444500354</v>
      </c>
      <c r="L63" s="347">
        <f ca="1">L17/K17-1</f>
        <v>0.22772815702070992</v>
      </c>
      <c r="M63" s="347">
        <f ca="1">M17/L17-1</f>
        <v>0.2600891505512839</v>
      </c>
      <c r="N63" s="347">
        <f ca="1">N17/M17-1</f>
        <v>0.18459065069184999</v>
      </c>
      <c r="O63" s="347">
        <f ca="1">O17/N17-1</f>
        <v>0.18934555303971079</v>
      </c>
      <c r="P63" s="347">
        <f ca="1">P17/O17-1</f>
        <v>0.13786205084006098</v>
      </c>
      <c r="Q63" s="347">
        <f ca="1">Q17/P17-1</f>
        <v>0.11750438488692905</v>
      </c>
      <c r="R63" s="347">
        <f ca="1">R17/Q17-1</f>
        <v>8.8681063885162059E-2</v>
      </c>
      <c r="S63" s="347">
        <f ca="1">S17/R17-1</f>
        <v>8.5436025850599728E-2</v>
      </c>
      <c r="T63" s="189"/>
      <c r="U63" s="170"/>
    </row>
    <row r="64" spans="2:21" ht="15.95">
      <c r="B64" s="167" t="s">
        <v>210</v>
      </c>
      <c r="C64" s="189"/>
      <c r="D64" s="189"/>
      <c r="E64" s="189"/>
      <c r="F64" s="189"/>
      <c r="G64" s="189"/>
      <c r="H64" s="189"/>
      <c r="I64" s="429"/>
      <c r="J64" s="347"/>
      <c r="K64" s="347"/>
      <c r="L64" s="347"/>
      <c r="M64" s="347"/>
      <c r="N64" s="347"/>
      <c r="O64" s="347"/>
      <c r="P64" s="347"/>
      <c r="Q64" s="347"/>
      <c r="R64" s="347"/>
      <c r="S64" s="347"/>
      <c r="T64" s="189"/>
      <c r="U64" s="170"/>
    </row>
    <row r="65" spans="2:21" ht="15.95">
      <c r="B65" s="167" t="s">
        <v>211</v>
      </c>
      <c r="D65" s="189">
        <f>D19/C19-1</f>
        <v>-7.3424049306434203E-2</v>
      </c>
      <c r="E65" s="189">
        <f>E19/D19-1</f>
        <v>-1.2959922257221312E-2</v>
      </c>
      <c r="F65" s="189">
        <f>F19/E19-1</f>
        <v>-2.0743330985138475E-2</v>
      </c>
      <c r="G65" s="189">
        <f>G19/F19-1</f>
        <v>-6.1927420543089196E-2</v>
      </c>
      <c r="H65" s="189">
        <f>H19/G19-1</f>
        <v>-5.315433513193879E-2</v>
      </c>
      <c r="I65" s="429">
        <f>I19/H19-1</f>
        <v>-2.0648132788181006E-2</v>
      </c>
      <c r="J65" s="347">
        <f>J19/I19-1</f>
        <v>0</v>
      </c>
      <c r="K65" s="347">
        <f>K19/J19-1</f>
        <v>0</v>
      </c>
      <c r="L65" s="347">
        <f>L19/K19-1</f>
        <v>0</v>
      </c>
      <c r="M65" s="347">
        <f>M19/L19-1</f>
        <v>0</v>
      </c>
      <c r="N65" s="347">
        <f>N19/M19-1</f>
        <v>0</v>
      </c>
      <c r="O65" s="347">
        <f>O19/N19-1</f>
        <v>0</v>
      </c>
      <c r="P65" s="347">
        <f>P19/O19-1</f>
        <v>0</v>
      </c>
      <c r="Q65" s="347">
        <f>Q19/P19-1</f>
        <v>0</v>
      </c>
      <c r="R65" s="347">
        <f>R19/Q19-1</f>
        <v>0</v>
      </c>
      <c r="S65" s="347">
        <f>S19/R19-1</f>
        <v>0</v>
      </c>
      <c r="T65" s="189"/>
      <c r="U65" s="170"/>
    </row>
    <row r="66" spans="2:21" ht="17.100000000000001" thickBot="1">
      <c r="B66" s="694" t="s">
        <v>212</v>
      </c>
      <c r="C66" s="174"/>
      <c r="D66" s="191">
        <f>D20/C20-1</f>
        <v>-7.7317839970410529E-2</v>
      </c>
      <c r="E66" s="191">
        <f>E20/D20-1</f>
        <v>-1.2677256100616319E-2</v>
      </c>
      <c r="F66" s="191">
        <f>F20/E20-1</f>
        <v>-1.8160441196372945E-2</v>
      </c>
      <c r="G66" s="191">
        <f>G20/F20-1</f>
        <v>-5.9770669469403903E-2</v>
      </c>
      <c r="H66" s="191">
        <f>H20/G20-1</f>
        <v>-5.2675945354089704E-2</v>
      </c>
      <c r="I66" s="384">
        <f>I20/H20-1</f>
        <v>-1.9450623851436255E-2</v>
      </c>
      <c r="J66" s="191">
        <f>J20/I20-1</f>
        <v>0</v>
      </c>
      <c r="K66" s="191">
        <f>K20/J20-1</f>
        <v>0</v>
      </c>
      <c r="L66" s="191">
        <f>L20/K20-1</f>
        <v>0</v>
      </c>
      <c r="M66" s="191">
        <f>M20/L20-1</f>
        <v>0</v>
      </c>
      <c r="N66" s="191">
        <f>N20/M20-1</f>
        <v>0</v>
      </c>
      <c r="O66" s="191">
        <f>O20/N20-1</f>
        <v>0</v>
      </c>
      <c r="P66" s="191">
        <f>P20/O20-1</f>
        <v>0</v>
      </c>
      <c r="Q66" s="191">
        <f>Q20/P20-1</f>
        <v>0</v>
      </c>
      <c r="R66" s="191">
        <f>R20/Q20-1</f>
        <v>0</v>
      </c>
      <c r="S66" s="191">
        <f>S20/R20-1</f>
        <v>0</v>
      </c>
      <c r="T66" s="191"/>
      <c r="U66" s="178"/>
    </row>
    <row r="67" spans="2:21" ht="15.95" thickBot="1">
      <c r="T67" s="189"/>
    </row>
    <row r="68" spans="2:21" ht="17.100000000000001" thickBot="1">
      <c r="B68" s="424" t="s">
        <v>226</v>
      </c>
      <c r="C68" s="425" t="s">
        <v>85</v>
      </c>
      <c r="D68" s="425" t="s">
        <v>86</v>
      </c>
      <c r="E68" s="425" t="s">
        <v>87</v>
      </c>
      <c r="F68" s="425" t="s">
        <v>88</v>
      </c>
      <c r="G68" s="426" t="s">
        <v>89</v>
      </c>
      <c r="H68" s="426" t="s">
        <v>90</v>
      </c>
      <c r="I68" s="427" t="s">
        <v>91</v>
      </c>
      <c r="J68" s="426" t="s">
        <v>183</v>
      </c>
      <c r="K68" s="426" t="s">
        <v>184</v>
      </c>
      <c r="L68" s="426" t="s">
        <v>185</v>
      </c>
      <c r="M68" s="426" t="s">
        <v>186</v>
      </c>
      <c r="N68" s="426" t="s">
        <v>187</v>
      </c>
      <c r="O68" s="426" t="s">
        <v>188</v>
      </c>
      <c r="P68" s="426" t="s">
        <v>189</v>
      </c>
      <c r="Q68" s="426" t="s">
        <v>190</v>
      </c>
      <c r="R68" s="426" t="s">
        <v>191</v>
      </c>
      <c r="S68" s="426" t="s">
        <v>192</v>
      </c>
      <c r="T68" s="426"/>
      <c r="U68" s="427"/>
    </row>
    <row r="69" spans="2:21">
      <c r="B69" s="661" t="s">
        <v>193</v>
      </c>
      <c r="C69" s="706">
        <f>C3/C$3</f>
        <v>1</v>
      </c>
      <c r="D69" s="706">
        <f t="shared" ref="D69:S69" si="55">D3/D$3</f>
        <v>1</v>
      </c>
      <c r="E69" s="707">
        <f t="shared" si="55"/>
        <v>1</v>
      </c>
      <c r="F69" s="707">
        <f t="shared" si="55"/>
        <v>1</v>
      </c>
      <c r="G69" s="706">
        <f t="shared" si="55"/>
        <v>1</v>
      </c>
      <c r="H69" s="706">
        <f t="shared" si="55"/>
        <v>1</v>
      </c>
      <c r="I69" s="708">
        <f t="shared" si="55"/>
        <v>1</v>
      </c>
      <c r="J69" s="706">
        <f t="shared" si="55"/>
        <v>1</v>
      </c>
      <c r="K69" s="706">
        <f t="shared" si="55"/>
        <v>1</v>
      </c>
      <c r="L69" s="706">
        <f t="shared" si="55"/>
        <v>1</v>
      </c>
      <c r="M69" s="706">
        <f t="shared" si="55"/>
        <v>1</v>
      </c>
      <c r="N69" s="706">
        <f t="shared" si="55"/>
        <v>1</v>
      </c>
      <c r="O69" s="706">
        <f t="shared" si="55"/>
        <v>1</v>
      </c>
      <c r="P69" s="706">
        <f t="shared" si="55"/>
        <v>1</v>
      </c>
      <c r="Q69" s="706">
        <f t="shared" si="55"/>
        <v>1</v>
      </c>
      <c r="R69" s="706">
        <f t="shared" si="55"/>
        <v>1</v>
      </c>
      <c r="S69" s="706">
        <f t="shared" si="55"/>
        <v>1</v>
      </c>
      <c r="T69" s="592"/>
      <c r="U69" s="699">
        <f>AVERAGE(C69:I69)</f>
        <v>1</v>
      </c>
    </row>
    <row r="70" spans="2:21" ht="15.95">
      <c r="B70" s="167" t="s">
        <v>194</v>
      </c>
      <c r="C70" s="709">
        <f t="shared" ref="C70:C80" si="56">C4/C$3</f>
        <v>0.66442054056047084</v>
      </c>
      <c r="D70" s="709">
        <f t="shared" ref="D70:S70" si="57">D4/D$3</f>
        <v>0.66373141360838428</v>
      </c>
      <c r="E70" s="709">
        <f t="shared" si="57"/>
        <v>0.63218771946829366</v>
      </c>
      <c r="F70" s="709">
        <f t="shared" si="57"/>
        <v>0.63782632053245736</v>
      </c>
      <c r="G70" s="709">
        <f t="shared" si="57"/>
        <v>0.63327885365640768</v>
      </c>
      <c r="H70" s="709">
        <f t="shared" si="57"/>
        <v>0.63116873353902603</v>
      </c>
      <c r="I70" s="710">
        <f t="shared" si="57"/>
        <v>0.61894280432526827</v>
      </c>
      <c r="J70" s="711">
        <f t="shared" si="57"/>
        <v>0.61</v>
      </c>
      <c r="K70" s="711">
        <f t="shared" si="57"/>
        <v>0.60299999999999998</v>
      </c>
      <c r="L70" s="711">
        <f t="shared" si="57"/>
        <v>0.59799999999999998</v>
      </c>
      <c r="M70" s="711">
        <f t="shared" si="57"/>
        <v>0.59299999999999997</v>
      </c>
      <c r="N70" s="711">
        <f t="shared" si="57"/>
        <v>0.59299999999999997</v>
      </c>
      <c r="O70" s="711">
        <f t="shared" si="57"/>
        <v>0.59299999999999997</v>
      </c>
      <c r="P70" s="711">
        <f t="shared" si="57"/>
        <v>0.59299999999999997</v>
      </c>
      <c r="Q70" s="711">
        <f t="shared" si="57"/>
        <v>0.59299999999999997</v>
      </c>
      <c r="R70" s="711">
        <f t="shared" si="57"/>
        <v>0.59299999999999997</v>
      </c>
      <c r="S70" s="711">
        <f t="shared" si="57"/>
        <v>0.59299999999999997</v>
      </c>
      <c r="T70" s="310"/>
      <c r="U70" s="658">
        <f t="shared" ref="U70:U80" si="58">AVERAGE(C70:I70)</f>
        <v>0.64022234081290108</v>
      </c>
    </row>
    <row r="71" spans="2:21" ht="15.95">
      <c r="B71" s="167" t="s">
        <v>195</v>
      </c>
      <c r="C71" s="709">
        <f t="shared" si="56"/>
        <v>0.33557945943952916</v>
      </c>
      <c r="D71" s="709">
        <f t="shared" ref="D71:S71" si="59">D5/D$3</f>
        <v>0.33626858639161572</v>
      </c>
      <c r="E71" s="709">
        <f t="shared" si="59"/>
        <v>0.36781228053170634</v>
      </c>
      <c r="F71" s="709">
        <f t="shared" si="59"/>
        <v>0.36217367946754264</v>
      </c>
      <c r="G71" s="709">
        <f t="shared" si="59"/>
        <v>0.36672114634359232</v>
      </c>
      <c r="H71" s="709">
        <f t="shared" si="59"/>
        <v>0.36883126646097397</v>
      </c>
      <c r="I71" s="710">
        <f t="shared" si="59"/>
        <v>0.38105719567473173</v>
      </c>
      <c r="J71" s="711">
        <f t="shared" si="59"/>
        <v>0.39</v>
      </c>
      <c r="K71" s="711">
        <f t="shared" si="59"/>
        <v>0.39699999999999996</v>
      </c>
      <c r="L71" s="711">
        <f t="shared" si="59"/>
        <v>0.40200000000000002</v>
      </c>
      <c r="M71" s="711">
        <f t="shared" si="59"/>
        <v>0.40700000000000003</v>
      </c>
      <c r="N71" s="711">
        <f t="shared" si="59"/>
        <v>0.40699999999999997</v>
      </c>
      <c r="O71" s="711">
        <f t="shared" si="59"/>
        <v>0.40700000000000003</v>
      </c>
      <c r="P71" s="711">
        <f t="shared" si="59"/>
        <v>0.40700000000000003</v>
      </c>
      <c r="Q71" s="711">
        <f t="shared" si="59"/>
        <v>0.40699999999999997</v>
      </c>
      <c r="R71" s="711">
        <f t="shared" si="59"/>
        <v>0.40700000000000008</v>
      </c>
      <c r="S71" s="711">
        <f t="shared" si="59"/>
        <v>0.40700000000000003</v>
      </c>
      <c r="T71" s="310"/>
      <c r="U71" s="658">
        <f t="shared" si="58"/>
        <v>0.35977765918709886</v>
      </c>
    </row>
    <row r="72" spans="2:21" ht="15.95">
      <c r="B72" s="167" t="s">
        <v>196</v>
      </c>
      <c r="C72" s="709">
        <f t="shared" si="56"/>
        <v>0.26970470121382606</v>
      </c>
      <c r="D72" s="709">
        <f t="shared" ref="D72:S72" si="60">D6/D$3</f>
        <v>0.27502260492099589</v>
      </c>
      <c r="E72" s="709">
        <f t="shared" si="60"/>
        <v>0.28813393728225151</v>
      </c>
      <c r="F72" s="709">
        <f t="shared" si="60"/>
        <v>0.28659713839756229</v>
      </c>
      <c r="G72" s="709">
        <f t="shared" si="60"/>
        <v>0.28975396390787767</v>
      </c>
      <c r="H72" s="709">
        <f t="shared" si="60"/>
        <v>0.29257344621861225</v>
      </c>
      <c r="I72" s="710">
        <f t="shared" si="60"/>
        <v>0.2968342943457235</v>
      </c>
      <c r="J72" s="711">
        <f t="shared" si="60"/>
        <v>0.3</v>
      </c>
      <c r="K72" s="711">
        <f t="shared" si="60"/>
        <v>0.30199999999999999</v>
      </c>
      <c r="L72" s="711">
        <f t="shared" si="60"/>
        <v>0.30299999999999999</v>
      </c>
      <c r="M72" s="711">
        <f t="shared" si="60"/>
        <v>0.30199999999999999</v>
      </c>
      <c r="N72" s="711">
        <f t="shared" si="60"/>
        <v>0.30099999999999999</v>
      </c>
      <c r="O72" s="711">
        <f t="shared" si="60"/>
        <v>0.29699999999999999</v>
      </c>
      <c r="P72" s="711">
        <f t="shared" si="60"/>
        <v>0.29299999999999998</v>
      </c>
      <c r="Q72" s="711">
        <f t="shared" si="60"/>
        <v>0.28899999999999998</v>
      </c>
      <c r="R72" s="711">
        <f t="shared" si="60"/>
        <v>0.28499999999999998</v>
      </c>
      <c r="S72" s="711">
        <f t="shared" si="60"/>
        <v>0.28099999999999997</v>
      </c>
      <c r="T72" s="310"/>
      <c r="U72" s="658">
        <f t="shared" si="58"/>
        <v>0.28551715518383558</v>
      </c>
    </row>
    <row r="73" spans="2:21">
      <c r="B73" s="319" t="s">
        <v>197</v>
      </c>
      <c r="C73" s="709">
        <f t="shared" si="56"/>
        <v>2.0748613110427288E-2</v>
      </c>
      <c r="D73" s="709">
        <f t="shared" ref="D73:S73" si="61">D7/D$3</f>
        <v>2.138323482408979E-2</v>
      </c>
      <c r="E73" s="709">
        <f t="shared" si="61"/>
        <v>1.9188224511069281E-2</v>
      </c>
      <c r="F73" s="709">
        <f t="shared" si="61"/>
        <v>2.0042725507711724E-2</v>
      </c>
      <c r="G73" s="709">
        <f t="shared" si="61"/>
        <v>1.9288834882857764E-2</v>
      </c>
      <c r="H73" s="709">
        <f t="shared" si="61"/>
        <v>1.928997991044528E-2</v>
      </c>
      <c r="I73" s="710">
        <f t="shared" si="61"/>
        <v>1.7196918369435529E-2</v>
      </c>
      <c r="J73" s="711">
        <f t="shared" si="61"/>
        <v>1.8271089755983676E-2</v>
      </c>
      <c r="K73" s="711">
        <f t="shared" si="61"/>
        <v>1.8961084038377943E-2</v>
      </c>
      <c r="L73" s="711">
        <f t="shared" si="61"/>
        <v>1.8035022773192334E-2</v>
      </c>
      <c r="M73" s="711">
        <f t="shared" si="61"/>
        <v>1.55302200891126E-2</v>
      </c>
      <c r="N73" s="711">
        <f t="shared" si="61"/>
        <v>1.1528241573328289E-2</v>
      </c>
      <c r="O73" s="711">
        <f t="shared" si="61"/>
        <v>7.5686547425205088E-3</v>
      </c>
      <c r="P73" s="711">
        <f t="shared" si="61"/>
        <v>5.7855398512558611E-3</v>
      </c>
      <c r="Q73" s="711">
        <f t="shared" si="61"/>
        <v>4.0328418530760357E-3</v>
      </c>
      <c r="R73" s="711">
        <f t="shared" si="61"/>
        <v>3.8409981549639319E-3</v>
      </c>
      <c r="S73" s="711">
        <f t="shared" si="61"/>
        <v>3.8730176874017057E-3</v>
      </c>
      <c r="T73" s="310"/>
      <c r="U73" s="658">
        <f t="shared" si="58"/>
        <v>1.9591218730862375E-2</v>
      </c>
    </row>
    <row r="74" spans="2:21" ht="15.95">
      <c r="B74" s="167" t="s">
        <v>198</v>
      </c>
      <c r="C74" s="709">
        <f t="shared" si="56"/>
        <v>2.3190360675785083E-3</v>
      </c>
      <c r="D74" s="709">
        <f t="shared" ref="D74:S74" si="62">D8/D$3</f>
        <v>1.2884139464598343E-3</v>
      </c>
      <c r="E74" s="709">
        <f t="shared" si="62"/>
        <v>-5.704339889614067E-5</v>
      </c>
      <c r="F74" s="709">
        <f t="shared" si="62"/>
        <v>7.660820256959617E-4</v>
      </c>
      <c r="G74" s="709">
        <f t="shared" si="62"/>
        <v>1.721520315579267E-3</v>
      </c>
      <c r="H74" s="709">
        <f t="shared" si="62"/>
        <v>5.7448872258746911E-3</v>
      </c>
      <c r="I74" s="710">
        <f t="shared" si="62"/>
        <v>1.670619966344055E-3</v>
      </c>
      <c r="J74" s="711">
        <f t="shared" si="62"/>
        <v>1.3100282365549902E-3</v>
      </c>
      <c r="K74" s="711">
        <f t="shared" si="62"/>
        <v>1.3718595859089362E-3</v>
      </c>
      <c r="L74" s="711">
        <f t="shared" si="62"/>
        <v>1.0487715970780237E-3</v>
      </c>
      <c r="M74" s="711">
        <f t="shared" si="62"/>
        <v>9.2232761549440178E-4</v>
      </c>
      <c r="N74" s="711">
        <f t="shared" si="62"/>
        <v>6.4439232515451879E-4</v>
      </c>
      <c r="O74" s="711">
        <f t="shared" si="62"/>
        <v>3.9284506511636885E-4</v>
      </c>
      <c r="P74" s="711">
        <f t="shared" si="62"/>
        <v>1.7408341486817891E-4</v>
      </c>
      <c r="Q74" s="711">
        <f t="shared" si="62"/>
        <v>1.0944914042625728E-4</v>
      </c>
      <c r="R74" s="711">
        <f t="shared" si="62"/>
        <v>1.042426065180286E-4</v>
      </c>
      <c r="S74" s="711">
        <f t="shared" si="62"/>
        <v>9.9272065968321931E-5</v>
      </c>
      <c r="T74" s="310"/>
      <c r="U74" s="658">
        <f t="shared" si="58"/>
        <v>1.9219308783765966E-3</v>
      </c>
    </row>
    <row r="75" spans="2:21" ht="15.95">
      <c r="B75" s="167" t="s">
        <v>201</v>
      </c>
      <c r="C75" s="709">
        <f t="shared" si="56"/>
        <v>4.2807109047697328E-2</v>
      </c>
      <c r="D75" s="709">
        <f t="shared" ref="D75:S75" si="63">D9/D$3</f>
        <v>3.8574332700070185E-2</v>
      </c>
      <c r="E75" s="709">
        <f t="shared" si="63"/>
        <v>6.0547162137281667E-2</v>
      </c>
      <c r="F75" s="709">
        <f t="shared" si="63"/>
        <v>5.4767733536572667E-2</v>
      </c>
      <c r="G75" s="709">
        <f t="shared" si="63"/>
        <v>5.595682723727765E-2</v>
      </c>
      <c r="H75" s="709">
        <f t="shared" si="63"/>
        <v>5.1222953106041726E-2</v>
      </c>
      <c r="I75" s="710">
        <f t="shared" si="63"/>
        <v>6.5355362993228652E-2</v>
      </c>
      <c r="J75" s="711">
        <f t="shared" si="63"/>
        <v>7.0418882007461367E-2</v>
      </c>
      <c r="K75" s="711">
        <f t="shared" si="63"/>
        <v>7.4667056375713123E-2</v>
      </c>
      <c r="L75" s="711">
        <f t="shared" si="63"/>
        <v>7.9916205629729689E-2</v>
      </c>
      <c r="M75" s="711">
        <f t="shared" si="63"/>
        <v>8.8547452295393056E-2</v>
      </c>
      <c r="N75" s="711">
        <f t="shared" si="63"/>
        <v>9.3827366101517221E-2</v>
      </c>
      <c r="O75" s="711">
        <f t="shared" si="63"/>
        <v>0.10203850019236314</v>
      </c>
      <c r="P75" s="711">
        <f t="shared" si="63"/>
        <v>0.10804037673387604</v>
      </c>
      <c r="Q75" s="711">
        <f t="shared" si="63"/>
        <v>0.11385770900649771</v>
      </c>
      <c r="R75" s="711">
        <f t="shared" si="63"/>
        <v>0.11805475923851812</v>
      </c>
      <c r="S75" s="711">
        <f t="shared" si="63"/>
        <v>0.12202771024663001</v>
      </c>
      <c r="T75" s="310"/>
      <c r="U75" s="658">
        <f t="shared" si="58"/>
        <v>5.2747354394024268E-2</v>
      </c>
    </row>
    <row r="76" spans="2:21" ht="15.95">
      <c r="B76" s="167" t="s">
        <v>202</v>
      </c>
      <c r="C76" s="709">
        <f t="shared" si="56"/>
        <v>5.2685288600543539E-3</v>
      </c>
      <c r="D76" s="709">
        <f t="shared" ref="D76:S76" si="64">D10/D$3</f>
        <v>3.7608909577654002E-3</v>
      </c>
      <c r="E76" s="709">
        <f t="shared" si="64"/>
        <v>2.2859098630819297E-3</v>
      </c>
      <c r="F76" s="709">
        <f t="shared" si="64"/>
        <v>1.9154509711602004E-3</v>
      </c>
      <c r="G76" s="709">
        <f t="shared" si="64"/>
        <v>1.4126616140630955E-3</v>
      </c>
      <c r="H76" s="709">
        <f t="shared" si="64"/>
        <v>9.4933968898046383E-4</v>
      </c>
      <c r="I76" s="710">
        <f t="shared" si="64"/>
        <v>-2.8512985002506706E-4</v>
      </c>
      <c r="J76" s="711">
        <f t="shared" ca="1" si="64"/>
        <v>8.3218461529916866E-5</v>
      </c>
      <c r="K76" s="711">
        <f t="shared" ca="1" si="64"/>
        <v>7.6920206745960021E-5</v>
      </c>
      <c r="L76" s="711">
        <f t="shared" ca="1" si="64"/>
        <v>7.104715098920306E-5</v>
      </c>
      <c r="M76" s="711">
        <f t="shared" ca="1" si="64"/>
        <v>6.5610453334456918E-5</v>
      </c>
      <c r="N76" s="711">
        <f t="shared" ca="1" si="64"/>
        <v>6.2278438441431085E-5</v>
      </c>
      <c r="O76" s="711">
        <f t="shared" ca="1" si="64"/>
        <v>5.9342901168496693E-5</v>
      </c>
      <c r="P76" s="711">
        <f t="shared" ca="1" si="64"/>
        <v>5.7119785864107208E-5</v>
      </c>
      <c r="Q76" s="711">
        <f t="shared" ca="1" si="64"/>
        <v>5.5190035517533425E-5</v>
      </c>
      <c r="R76" s="711">
        <f t="shared" ca="1" si="64"/>
        <v>5.3823543326411107E-5</v>
      </c>
      <c r="S76" s="711">
        <f t="shared" ca="1" si="64"/>
        <v>5.2526517874547409E-5</v>
      </c>
      <c r="T76" s="310"/>
      <c r="U76" s="658">
        <f t="shared" si="58"/>
        <v>2.1868074435829111E-3</v>
      </c>
    </row>
    <row r="77" spans="2:21" ht="15.95">
      <c r="B77" s="167" t="s">
        <v>203</v>
      </c>
      <c r="C77" s="709">
        <f t="shared" si="56"/>
        <v>6.1451767276012154E-5</v>
      </c>
      <c r="D77" s="709">
        <f t="shared" ref="D77:S77" si="65">D11/D$3</f>
        <v>0</v>
      </c>
      <c r="E77" s="709">
        <f t="shared" si="65"/>
        <v>0</v>
      </c>
      <c r="F77" s="709">
        <f t="shared" si="65"/>
        <v>0</v>
      </c>
      <c r="G77" s="709">
        <f t="shared" si="65"/>
        <v>0</v>
      </c>
      <c r="H77" s="709">
        <f t="shared" si="65"/>
        <v>0</v>
      </c>
      <c r="I77" s="710">
        <f t="shared" si="65"/>
        <v>0</v>
      </c>
      <c r="J77" s="711">
        <f t="shared" si="65"/>
        <v>0</v>
      </c>
      <c r="K77" s="711">
        <f t="shared" si="65"/>
        <v>0</v>
      </c>
      <c r="L77" s="711">
        <f t="shared" si="65"/>
        <v>0</v>
      </c>
      <c r="M77" s="711">
        <f t="shared" si="65"/>
        <v>0</v>
      </c>
      <c r="N77" s="711">
        <f t="shared" si="65"/>
        <v>0</v>
      </c>
      <c r="O77" s="711">
        <f t="shared" si="65"/>
        <v>0</v>
      </c>
      <c r="P77" s="711">
        <f t="shared" si="65"/>
        <v>0</v>
      </c>
      <c r="Q77" s="711">
        <f t="shared" si="65"/>
        <v>0</v>
      </c>
      <c r="R77" s="711">
        <f t="shared" si="65"/>
        <v>0</v>
      </c>
      <c r="S77" s="711">
        <f t="shared" si="65"/>
        <v>0</v>
      </c>
      <c r="T77" s="310"/>
      <c r="U77" s="658">
        <f t="shared" si="58"/>
        <v>8.7788238965731643E-6</v>
      </c>
    </row>
    <row r="78" spans="2:21" ht="15.95">
      <c r="B78" s="167" t="s">
        <v>204</v>
      </c>
      <c r="C78" s="709">
        <f t="shared" si="56"/>
        <v>3.7600031954918983E-2</v>
      </c>
      <c r="D78" s="709">
        <f t="shared" ref="D78:S78" si="66">D12/D$3</f>
        <v>3.4813441742304788E-2</v>
      </c>
      <c r="E78" s="709">
        <f t="shared" si="66"/>
        <v>5.8261252274199732E-2</v>
      </c>
      <c r="F78" s="709">
        <f t="shared" si="66"/>
        <v>5.2852282565412467E-2</v>
      </c>
      <c r="G78" s="709">
        <f t="shared" si="66"/>
        <v>5.4544165623214555E-2</v>
      </c>
      <c r="H78" s="709">
        <f t="shared" si="66"/>
        <v>5.0273613417061262E-2</v>
      </c>
      <c r="I78" s="710">
        <f t="shared" si="66"/>
        <v>6.5640492843253725E-2</v>
      </c>
      <c r="J78" s="711">
        <f t="shared" ca="1" si="66"/>
        <v>7.0335663545931446E-2</v>
      </c>
      <c r="K78" s="711">
        <f t="shared" ca="1" si="66"/>
        <v>7.4590136168967175E-2</v>
      </c>
      <c r="L78" s="711">
        <f t="shared" ca="1" si="66"/>
        <v>7.9845158478740491E-2</v>
      </c>
      <c r="M78" s="711">
        <f t="shared" ca="1" si="66"/>
        <v>8.8481841842058595E-2</v>
      </c>
      <c r="N78" s="711">
        <f t="shared" ca="1" si="66"/>
        <v>9.37650876630758E-2</v>
      </c>
      <c r="O78" s="711">
        <f t="shared" ca="1" si="66"/>
        <v>0.10197915729119465</v>
      </c>
      <c r="P78" s="711">
        <f t="shared" ca="1" si="66"/>
        <v>0.10798325694801193</v>
      </c>
      <c r="Q78" s="711">
        <f t="shared" ca="1" si="66"/>
        <v>0.11380251897098016</v>
      </c>
      <c r="R78" s="711">
        <f t="shared" ca="1" si="66"/>
        <v>0.1180009356951917</v>
      </c>
      <c r="S78" s="711">
        <f t="shared" ca="1" si="66"/>
        <v>0.12197518372875547</v>
      </c>
      <c r="T78" s="310"/>
      <c r="U78" s="658">
        <f t="shared" si="58"/>
        <v>5.0569325774337932E-2</v>
      </c>
    </row>
    <row r="79" spans="2:21" ht="15.95">
      <c r="B79" s="167" t="s">
        <v>205</v>
      </c>
      <c r="C79" s="709">
        <f t="shared" si="56"/>
        <v>7.1552901522006643E-3</v>
      </c>
      <c r="D79" s="709">
        <f t="shared" ref="D79:S79" si="67">D13/D$3</f>
        <v>8.2591593187733084E-3</v>
      </c>
      <c r="E79" s="709">
        <f t="shared" si="67"/>
        <v>1.3824599123263056E-2</v>
      </c>
      <c r="F79" s="709">
        <f t="shared" si="67"/>
        <v>1.2825685272913239E-2</v>
      </c>
      <c r="G79" s="709">
        <f t="shared" si="67"/>
        <v>1.3764199029296762E-2</v>
      </c>
      <c r="H79" s="709">
        <f t="shared" si="67"/>
        <v>1.2414689594733892E-2</v>
      </c>
      <c r="I79" s="710">
        <f t="shared" si="67"/>
        <v>1.6335310630899991E-2</v>
      </c>
      <c r="J79" s="711">
        <f t="shared" ca="1" si="67"/>
        <v>1.7583915886482861E-2</v>
      </c>
      <c r="K79" s="711">
        <f t="shared" ca="1" si="67"/>
        <v>1.8647534042241794E-2</v>
      </c>
      <c r="L79" s="711">
        <f t="shared" ca="1" si="67"/>
        <v>1.9961289619685123E-2</v>
      </c>
      <c r="M79" s="711">
        <f t="shared" ca="1" si="67"/>
        <v>2.2120460460514649E-2</v>
      </c>
      <c r="N79" s="711">
        <f t="shared" ca="1" si="67"/>
        <v>2.344127191576895E-2</v>
      </c>
      <c r="O79" s="711">
        <f t="shared" ca="1" si="67"/>
        <v>2.5494789322798663E-2</v>
      </c>
      <c r="P79" s="711">
        <f t="shared" ca="1" si="67"/>
        <v>2.6995814237002983E-2</v>
      </c>
      <c r="Q79" s="711">
        <f t="shared" ca="1" si="67"/>
        <v>2.8450629742745041E-2</v>
      </c>
      <c r="R79" s="711">
        <f t="shared" ca="1" si="67"/>
        <v>2.9500233923797924E-2</v>
      </c>
      <c r="S79" s="711">
        <f t="shared" ca="1" si="67"/>
        <v>3.0493795932188868E-2</v>
      </c>
      <c r="T79" s="310"/>
      <c r="U79" s="658">
        <f t="shared" si="58"/>
        <v>1.2082704731725845E-2</v>
      </c>
    </row>
    <row r="80" spans="2:21" ht="17.100000000000001" thickBot="1">
      <c r="B80" s="173" t="s">
        <v>206</v>
      </c>
      <c r="C80" s="712">
        <f t="shared" si="56"/>
        <v>3.044474180271832E-2</v>
      </c>
      <c r="D80" s="712">
        <f t="shared" ref="D80:S80" si="68">D14/D$3</f>
        <v>2.6554282423531479E-2</v>
      </c>
      <c r="E80" s="712">
        <f t="shared" si="68"/>
        <v>4.4436653150936679E-2</v>
      </c>
      <c r="F80" s="712">
        <f t="shared" si="68"/>
        <v>4.002659729249923E-2</v>
      </c>
      <c r="G80" s="712">
        <f t="shared" si="68"/>
        <v>4.0779966593917798E-2</v>
      </c>
      <c r="H80" s="712">
        <f t="shared" si="68"/>
        <v>3.7858923822327369E-2</v>
      </c>
      <c r="I80" s="715">
        <f t="shared" si="68"/>
        <v>4.9305182212353728E-2</v>
      </c>
      <c r="J80" s="713">
        <f t="shared" ca="1" si="68"/>
        <v>5.2751747659448581E-2</v>
      </c>
      <c r="K80" s="713">
        <f t="shared" ca="1" si="68"/>
        <v>5.5942602126725381E-2</v>
      </c>
      <c r="L80" s="713">
        <f t="shared" ca="1" si="68"/>
        <v>5.9883868859055368E-2</v>
      </c>
      <c r="M80" s="713">
        <f t="shared" ca="1" si="68"/>
        <v>6.6361381381543946E-2</v>
      </c>
      <c r="N80" s="713">
        <f t="shared" ca="1" si="68"/>
        <v>7.0323815747306853E-2</v>
      </c>
      <c r="O80" s="713">
        <f t="shared" ca="1" si="68"/>
        <v>7.6484367968395986E-2</v>
      </c>
      <c r="P80" s="713">
        <f t="shared" ca="1" si="68"/>
        <v>8.0987442711008939E-2</v>
      </c>
      <c r="Q80" s="713">
        <f t="shared" ca="1" si="68"/>
        <v>8.5351889228235125E-2</v>
      </c>
      <c r="R80" s="713">
        <f t="shared" ca="1" si="68"/>
        <v>8.8500701771393783E-2</v>
      </c>
      <c r="S80" s="713">
        <f t="shared" ca="1" si="68"/>
        <v>9.1481387796566602E-2</v>
      </c>
      <c r="T80" s="312"/>
      <c r="U80" s="714">
        <f t="shared" si="58"/>
        <v>3.8486621042612086E-2</v>
      </c>
    </row>
  </sheetData>
  <phoneticPr fontId="46" type="noConversion"/>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828A5-991D-A74B-81E8-24A93F7E04BF}">
  <dimension ref="B1:AJ194"/>
  <sheetViews>
    <sheetView showGridLines="0" tabSelected="1" zoomScaleNormal="120" workbookViewId="0">
      <pane xSplit="2" topLeftCell="S1" activePane="topRight" state="frozen"/>
      <selection pane="topRight" activeCell="U26" sqref="U26"/>
      <selection activeCell="A31" sqref="A31"/>
    </sheetView>
  </sheetViews>
  <sheetFormatPr defaultColWidth="10.6640625" defaultRowHeight="15"/>
  <cols>
    <col min="1" max="1" width="2.33203125" style="154" customWidth="1"/>
    <col min="2" max="2" width="30.88671875" style="154" customWidth="1"/>
    <col min="3" max="3" width="1.21875" style="154" customWidth="1"/>
    <col min="4" max="20" width="10.33203125" style="154" customWidth="1"/>
    <col min="21" max="21" width="20.5546875" style="154" customWidth="1"/>
    <col min="22" max="22" width="35.44140625" style="154" bestFit="1" customWidth="1"/>
    <col min="23" max="16384" width="10.6640625" style="154"/>
  </cols>
  <sheetData>
    <row r="1" spans="2:31">
      <c r="D1" s="154" t="s">
        <v>86</v>
      </c>
      <c r="E1" s="154" t="s">
        <v>87</v>
      </c>
      <c r="F1" s="154" t="s">
        <v>88</v>
      </c>
      <c r="G1" s="154" t="s">
        <v>89</v>
      </c>
      <c r="H1" s="154" t="s">
        <v>90</v>
      </c>
      <c r="I1" s="154" t="s">
        <v>91</v>
      </c>
      <c r="J1" s="154" t="s">
        <v>183</v>
      </c>
      <c r="K1" s="154" t="s">
        <v>184</v>
      </c>
      <c r="L1" s="154" t="s">
        <v>185</v>
      </c>
      <c r="M1" s="154" t="s">
        <v>186</v>
      </c>
      <c r="N1" s="154" t="s">
        <v>187</v>
      </c>
      <c r="O1" s="154" t="s">
        <v>188</v>
      </c>
      <c r="P1" s="154" t="s">
        <v>189</v>
      </c>
      <c r="Q1" s="154" t="s">
        <v>190</v>
      </c>
      <c r="R1" s="154" t="s">
        <v>191</v>
      </c>
      <c r="S1" s="154" t="s">
        <v>192</v>
      </c>
    </row>
    <row r="2" spans="2:31" ht="15.95">
      <c r="B2" s="478" t="s">
        <v>227</v>
      </c>
      <c r="C2" s="480"/>
      <c r="D2" s="425" t="s">
        <v>93</v>
      </c>
      <c r="E2" s="425" t="s">
        <v>94</v>
      </c>
      <c r="F2" s="425" t="s">
        <v>95</v>
      </c>
      <c r="G2" s="426" t="s">
        <v>96</v>
      </c>
      <c r="H2" s="426" t="s">
        <v>97</v>
      </c>
      <c r="I2" s="427" t="s">
        <v>98</v>
      </c>
      <c r="J2" s="426" t="s">
        <v>99</v>
      </c>
      <c r="K2" s="426" t="s">
        <v>100</v>
      </c>
      <c r="L2" s="426" t="s">
        <v>101</v>
      </c>
      <c r="M2" s="426" t="s">
        <v>102</v>
      </c>
      <c r="N2" s="426" t="s">
        <v>103</v>
      </c>
      <c r="O2" s="426" t="s">
        <v>104</v>
      </c>
      <c r="P2" s="426" t="s">
        <v>105</v>
      </c>
      <c r="Q2" s="426" t="s">
        <v>106</v>
      </c>
      <c r="R2" s="426" t="s">
        <v>107</v>
      </c>
      <c r="S2" s="426" t="s">
        <v>108</v>
      </c>
      <c r="T2" s="426"/>
      <c r="U2" s="427"/>
    </row>
    <row r="3" spans="2:31" ht="15.95">
      <c r="B3" s="188" t="s">
        <v>228</v>
      </c>
      <c r="C3" s="311"/>
      <c r="H3" s="154" t="s">
        <v>9</v>
      </c>
      <c r="I3" s="378" t="s">
        <v>9</v>
      </c>
      <c r="J3" s="311"/>
      <c r="K3" s="311"/>
      <c r="L3" s="311"/>
      <c r="M3" s="311"/>
      <c r="N3" s="311"/>
      <c r="U3" s="170"/>
    </row>
    <row r="4" spans="2:31" ht="15.95">
      <c r="B4" s="167" t="s">
        <v>229</v>
      </c>
      <c r="D4" s="313">
        <v>85314</v>
      </c>
      <c r="E4" s="310">
        <v>169697</v>
      </c>
      <c r="F4" s="313">
        <v>245287</v>
      </c>
      <c r="G4" s="313">
        <v>293233</v>
      </c>
      <c r="H4" s="313">
        <v>201794</v>
      </c>
      <c r="I4" s="432">
        <v>265159</v>
      </c>
      <c r="J4" s="310">
        <f ca="1">'Derived CF'!C46</f>
        <v>419225.96329428966</v>
      </c>
      <c r="K4" s="310">
        <f ca="1">'Derived CF'!D46</f>
        <v>688424.18934500311</v>
      </c>
      <c r="L4" s="310">
        <f ca="1">'Derived CF'!E46</f>
        <v>1070450.6347183497</v>
      </c>
      <c r="M4" s="310">
        <f ca="1">'Derived CF'!F46</f>
        <v>1635633.214387991</v>
      </c>
      <c r="N4" s="310">
        <f ca="1">'Derived CF'!G46</f>
        <v>2386357.6901848796</v>
      </c>
      <c r="O4" s="310">
        <f ca="1">'Derived CF'!H46</f>
        <v>3351641.1815390009</v>
      </c>
      <c r="P4" s="310">
        <f ca="1">'Derived CF'!I46</f>
        <v>4500383.8291401286</v>
      </c>
      <c r="Q4" s="310">
        <f ca="1">'Derived CF'!J46</f>
        <v>5825513.7630374264</v>
      </c>
      <c r="R4" s="310">
        <f ca="1">'Derived CF'!K46</f>
        <v>7281026.5694143856</v>
      </c>
      <c r="S4" s="310">
        <f ca="1">'Derived CF'!L46</f>
        <v>8879819.6148697473</v>
      </c>
      <c r="U4" s="170" t="s">
        <v>230</v>
      </c>
      <c r="Z4" s="155"/>
    </row>
    <row r="5" spans="2:31" ht="15.95">
      <c r="B5" s="167" t="s">
        <v>231</v>
      </c>
      <c r="D5" s="313">
        <v>15713</v>
      </c>
      <c r="E5" s="310">
        <v>14815</v>
      </c>
      <c r="F5" s="313">
        <v>21574</v>
      </c>
      <c r="G5" s="313">
        <v>16108</v>
      </c>
      <c r="H5" s="313">
        <v>30313</v>
      </c>
      <c r="I5" s="432">
        <v>30901</v>
      </c>
      <c r="J5" s="310">
        <f>J42*IS!J$3</f>
        <v>35140.857987012983</v>
      </c>
      <c r="K5" s="310">
        <f>K42*IS!K$3</f>
        <v>40268.4210768595</v>
      </c>
      <c r="L5" s="310">
        <f>L42*IS!L$3</f>
        <v>46184.859863547223</v>
      </c>
      <c r="M5" s="310">
        <f>M42*IS!M$3</f>
        <v>52516.446896098751</v>
      </c>
      <c r="N5" s="310">
        <f>N42*IS!N$3</f>
        <v>58705.207357129118</v>
      </c>
      <c r="O5" s="310">
        <f>O42*IS!O$3</f>
        <v>64196.954349475847</v>
      </c>
      <c r="P5" s="310">
        <f>P42*IS!P$3</f>
        <v>68985.693495843196</v>
      </c>
      <c r="Q5" s="310">
        <f>Q42*IS!Q$3</f>
        <v>73149.745193886323</v>
      </c>
      <c r="R5" s="310">
        <f>R42*IS!R$3</f>
        <v>76803.305301905944</v>
      </c>
      <c r="S5" s="310">
        <f>S42*IS!S$3</f>
        <v>80648.837674289971</v>
      </c>
      <c r="U5" s="170" t="s">
        <v>232</v>
      </c>
      <c r="Z5" s="155"/>
    </row>
    <row r="6" spans="2:31" ht="15.95">
      <c r="B6" s="167" t="s">
        <v>233</v>
      </c>
      <c r="D6" s="313">
        <v>275979</v>
      </c>
      <c r="E6" s="310">
        <v>254224</v>
      </c>
      <c r="F6" s="313">
        <v>265387</v>
      </c>
      <c r="G6" s="313">
        <v>310545</v>
      </c>
      <c r="H6" s="313">
        <v>323198</v>
      </c>
      <c r="I6" s="432">
        <v>343329</v>
      </c>
      <c r="J6" s="310">
        <f>J43*IS!J$4</f>
        <v>380194.09513627912</v>
      </c>
      <c r="K6" s="310">
        <f>K43*IS!K$4</f>
        <v>424604.67965025845</v>
      </c>
      <c r="L6" s="310">
        <f>L43*IS!L$4</f>
        <v>482951.67547555</v>
      </c>
      <c r="M6" s="310">
        <f>M43*IS!M$4</f>
        <v>544568.97046367207</v>
      </c>
      <c r="N6" s="310">
        <f>N43*IS!N$4</f>
        <v>608743.28369124781</v>
      </c>
      <c r="O6" s="310">
        <f>O43*IS!O$4</f>
        <v>665689.92007710331</v>
      </c>
      <c r="P6" s="310">
        <f>P43*IS!P$4</f>
        <v>715346.72096303827</v>
      </c>
      <c r="Q6" s="310">
        <f>Q43*IS!Q$4</f>
        <v>758525.82922691631</v>
      </c>
      <c r="R6" s="310">
        <f>R43*IS!R$4</f>
        <v>796411.39811332151</v>
      </c>
      <c r="S6" s="310">
        <f>S43*IS!S$4</f>
        <v>836287.6222047396</v>
      </c>
      <c r="U6" s="170" t="s">
        <v>234</v>
      </c>
      <c r="Y6" s="155"/>
      <c r="Z6" s="155"/>
      <c r="AA6" s="155"/>
      <c r="AB6" s="155"/>
      <c r="AC6" s="155"/>
      <c r="AD6" s="155"/>
      <c r="AE6" s="155"/>
    </row>
    <row r="7" spans="2:31" ht="15.95">
      <c r="B7" s="167" t="s">
        <v>235</v>
      </c>
      <c r="D7" s="313">
        <v>10833</v>
      </c>
      <c r="E7" s="310">
        <v>27224</v>
      </c>
      <c r="F7" s="313">
        <v>35468</v>
      </c>
      <c r="G7" s="313">
        <v>53918</v>
      </c>
      <c r="H7" s="313">
        <v>48467</v>
      </c>
      <c r="I7" s="432">
        <v>36131</v>
      </c>
      <c r="J7" s="310">
        <f>J44*IS!J$4</f>
        <v>40494.787590077176</v>
      </c>
      <c r="K7" s="310">
        <f>K44*IS!K$4</f>
        <v>45871.067052433522</v>
      </c>
      <c r="L7" s="310">
        <f>L44*IS!L$4</f>
        <v>52174.433656905603</v>
      </c>
      <c r="M7" s="310">
        <f>M44*IS!M$4</f>
        <v>58831.098562996223</v>
      </c>
      <c r="N7" s="310">
        <f>N44*IS!N$4</f>
        <v>65764.004313188911</v>
      </c>
      <c r="O7" s="310">
        <f>O44*IS!O$4</f>
        <v>71916.086711851502</v>
      </c>
      <c r="P7" s="310">
        <f>P44*IS!P$4</f>
        <v>77280.630609305168</v>
      </c>
      <c r="Q7" s="310">
        <f>Q44*IS!Q$4</f>
        <v>81945.37375831636</v>
      </c>
      <c r="R7" s="310">
        <f>R44*IS!R$4</f>
        <v>86038.243088299554</v>
      </c>
      <c r="S7" s="310">
        <f>S44*IS!S$4</f>
        <v>90346.167698555771</v>
      </c>
      <c r="U7" s="170" t="s">
        <v>234</v>
      </c>
      <c r="Z7" s="155"/>
    </row>
    <row r="8" spans="2:31" ht="15.95">
      <c r="B8" s="495" t="s">
        <v>236</v>
      </c>
      <c r="D8" s="586">
        <v>387839</v>
      </c>
      <c r="E8" s="497">
        <v>465960</v>
      </c>
      <c r="F8" s="586">
        <v>567716</v>
      </c>
      <c r="G8" s="586">
        <v>673804</v>
      </c>
      <c r="H8" s="586">
        <v>603772</v>
      </c>
      <c r="I8" s="587">
        <v>675520</v>
      </c>
      <c r="J8" s="310">
        <f ca="1">SUM(J4:J7)</f>
        <v>875055.70400765887</v>
      </c>
      <c r="K8" s="310">
        <f t="shared" ref="K8:N8" ca="1" si="0">SUM(K4:K7)</f>
        <v>1199168.3571245545</v>
      </c>
      <c r="L8" s="310">
        <f t="shared" ca="1" si="0"/>
        <v>1651761.6037143522</v>
      </c>
      <c r="M8" s="310">
        <f t="shared" ca="1" si="0"/>
        <v>2291549.7303107581</v>
      </c>
      <c r="N8" s="310">
        <f t="shared" ca="1" si="0"/>
        <v>3119570.1855464457</v>
      </c>
      <c r="O8" s="310">
        <f t="shared" ref="O8" ca="1" si="1">SUM(O4:O7)</f>
        <v>4153444.1426774315</v>
      </c>
      <c r="P8" s="310">
        <f t="shared" ref="P8" ca="1" si="2">SUM(P4:P7)</f>
        <v>5361996.8742083162</v>
      </c>
      <c r="Q8" s="310">
        <f t="shared" ref="Q8" ca="1" si="3">SUM(Q4:Q7)</f>
        <v>6739134.7112165457</v>
      </c>
      <c r="R8" s="310">
        <f t="shared" ref="R8" ca="1" si="4">SUM(R4:R7)</f>
        <v>8240279.5159179121</v>
      </c>
      <c r="S8" s="310">
        <f t="shared" ref="S8" ca="1" si="5">SUM(S4:S7)</f>
        <v>9887102.2424473334</v>
      </c>
      <c r="U8" s="170" t="s">
        <v>61</v>
      </c>
      <c r="Z8" s="155"/>
    </row>
    <row r="9" spans="2:31">
      <c r="B9" s="319" t="s">
        <v>237</v>
      </c>
      <c r="D9" s="313">
        <v>741508</v>
      </c>
      <c r="E9" s="310">
        <v>726500</v>
      </c>
      <c r="F9" s="313">
        <v>716029</v>
      </c>
      <c r="G9" s="313">
        <v>722241</v>
      </c>
      <c r="H9" s="313">
        <v>798707</v>
      </c>
      <c r="I9" s="432">
        <v>895189</v>
      </c>
      <c r="J9" s="310">
        <f>J75</f>
        <v>1018753.8944370826</v>
      </c>
      <c r="K9" s="310">
        <f t="shared" ref="K9:N9" si="6">K75</f>
        <v>1165695.9310649647</v>
      </c>
      <c r="L9" s="310">
        <f t="shared" si="6"/>
        <v>1325996.3346590179</v>
      </c>
      <c r="M9" s="310">
        <f t="shared" si="6"/>
        <v>1482957.1465115284</v>
      </c>
      <c r="N9" s="310">
        <f t="shared" si="6"/>
        <v>1613201.2244316966</v>
      </c>
      <c r="O9" s="310">
        <f t="shared" ref="O9:Q9" si="7">O75</f>
        <v>1706709.7931948942</v>
      </c>
      <c r="P9" s="310">
        <f t="shared" si="7"/>
        <v>1783520.4032503781</v>
      </c>
      <c r="Q9" s="310">
        <f t="shared" si="7"/>
        <v>1840293.4628566052</v>
      </c>
      <c r="R9" s="310">
        <f>R75</f>
        <v>1897066.5224628323</v>
      </c>
      <c r="S9" s="310">
        <f>S75</f>
        <v>1957179.1738106022</v>
      </c>
      <c r="U9" s="170" t="s">
        <v>238</v>
      </c>
      <c r="Z9" s="155"/>
    </row>
    <row r="10" spans="2:31" s="156" customFormat="1" ht="15.95">
      <c r="B10" s="167" t="s">
        <v>239</v>
      </c>
      <c r="D10" s="313">
        <v>1028436</v>
      </c>
      <c r="E10" s="310">
        <v>1045408</v>
      </c>
      <c r="F10" s="313">
        <v>1072019</v>
      </c>
      <c r="G10" s="313">
        <v>1106524</v>
      </c>
      <c r="H10" s="313">
        <v>1322854</v>
      </c>
      <c r="I10" s="432">
        <v>1466903</v>
      </c>
      <c r="J10" s="310">
        <f>J45*'Revenue Model'!J17</f>
        <v>1608200</v>
      </c>
      <c r="K10" s="310">
        <f>K45*'Revenue Model'!K17</f>
        <v>1799000</v>
      </c>
      <c r="L10" s="310">
        <f>L45*'Revenue Model'!L17</f>
        <v>1956500</v>
      </c>
      <c r="M10" s="310">
        <f>M45*'Revenue Model'!M17</f>
        <v>2050200</v>
      </c>
      <c r="N10" s="310">
        <f>N45*'Revenue Model'!N17</f>
        <v>2176000</v>
      </c>
      <c r="O10" s="310">
        <f>O45*'Revenue Model'!O17</f>
        <v>2201100</v>
      </c>
      <c r="P10" s="310">
        <f>P45*'Revenue Model'!P17</f>
        <v>2277000</v>
      </c>
      <c r="Q10" s="310">
        <f>Q45*'Revenue Model'!Q17</f>
        <v>2333100</v>
      </c>
      <c r="R10" s="310">
        <f>R45*'Revenue Model'!R17</f>
        <v>2389200</v>
      </c>
      <c r="S10" s="310">
        <f>S45*'Revenue Model'!S17</f>
        <v>2448600</v>
      </c>
      <c r="U10" s="170" t="s">
        <v>240</v>
      </c>
      <c r="Y10" s="157"/>
      <c r="Z10" s="155"/>
      <c r="AA10" s="157"/>
      <c r="AB10" s="157"/>
      <c r="AC10" s="157"/>
      <c r="AD10" s="157"/>
      <c r="AE10" s="157"/>
    </row>
    <row r="11" spans="2:31" ht="15.95">
      <c r="B11" s="167" t="s">
        <v>241</v>
      </c>
      <c r="D11" s="313">
        <v>185395</v>
      </c>
      <c r="E11" s="310">
        <v>184960</v>
      </c>
      <c r="F11" s="313">
        <v>184960</v>
      </c>
      <c r="G11" s="313">
        <v>184960</v>
      </c>
      <c r="H11" s="313">
        <v>208060</v>
      </c>
      <c r="I11" s="432">
        <v>208094</v>
      </c>
      <c r="J11" s="310">
        <f>I11</f>
        <v>208094</v>
      </c>
      <c r="K11" s="310">
        <f t="shared" ref="K11:N11" si="8">J11</f>
        <v>208094</v>
      </c>
      <c r="L11" s="310">
        <f t="shared" si="8"/>
        <v>208094</v>
      </c>
      <c r="M11" s="310">
        <f t="shared" si="8"/>
        <v>208094</v>
      </c>
      <c r="N11" s="310">
        <f t="shared" si="8"/>
        <v>208094</v>
      </c>
      <c r="O11" s="310">
        <f t="shared" ref="O11:S11" si="9">N11</f>
        <v>208094</v>
      </c>
      <c r="P11" s="310">
        <f t="shared" si="9"/>
        <v>208094</v>
      </c>
      <c r="Q11" s="310">
        <f t="shared" si="9"/>
        <v>208094</v>
      </c>
      <c r="R11" s="310">
        <f t="shared" si="9"/>
        <v>208094</v>
      </c>
      <c r="S11" s="310">
        <f t="shared" si="9"/>
        <v>208094</v>
      </c>
      <c r="U11" s="170" t="s">
        <v>242</v>
      </c>
      <c r="V11" s="154" t="s">
        <v>243</v>
      </c>
      <c r="Y11" s="158"/>
      <c r="Z11" s="155"/>
      <c r="AA11" s="158"/>
      <c r="AB11" s="158"/>
      <c r="AC11" s="158"/>
      <c r="AD11" s="158"/>
      <c r="AE11" s="158"/>
    </row>
    <row r="12" spans="2:31" s="156" customFormat="1" ht="15.95">
      <c r="B12" s="167" t="s">
        <v>244</v>
      </c>
      <c r="D12" s="313">
        <v>368078</v>
      </c>
      <c r="E12" s="310">
        <v>368878</v>
      </c>
      <c r="F12" s="313">
        <v>368878</v>
      </c>
      <c r="G12" s="313">
        <v>368878</v>
      </c>
      <c r="H12" s="313">
        <v>381741</v>
      </c>
      <c r="I12" s="432">
        <v>381750</v>
      </c>
      <c r="J12" s="310">
        <f>I12</f>
        <v>381750</v>
      </c>
      <c r="K12" s="310">
        <f t="shared" ref="K12:N12" si="10">J12</f>
        <v>381750</v>
      </c>
      <c r="L12" s="310">
        <f t="shared" si="10"/>
        <v>381750</v>
      </c>
      <c r="M12" s="310">
        <f t="shared" si="10"/>
        <v>381750</v>
      </c>
      <c r="N12" s="310">
        <f t="shared" si="10"/>
        <v>381750</v>
      </c>
      <c r="O12" s="310">
        <f t="shared" ref="O12:S12" si="11">N12</f>
        <v>381750</v>
      </c>
      <c r="P12" s="310">
        <f t="shared" si="11"/>
        <v>381750</v>
      </c>
      <c r="Q12" s="310">
        <f t="shared" si="11"/>
        <v>381750</v>
      </c>
      <c r="R12" s="310">
        <f t="shared" si="11"/>
        <v>381750</v>
      </c>
      <c r="S12" s="310">
        <f t="shared" si="11"/>
        <v>381750</v>
      </c>
      <c r="U12" s="170" t="s">
        <v>242</v>
      </c>
      <c r="Y12" s="159"/>
      <c r="Z12" s="155"/>
      <c r="AA12" s="159"/>
      <c r="AB12" s="159"/>
      <c r="AC12" s="159"/>
      <c r="AD12" s="159"/>
      <c r="AE12" s="159"/>
    </row>
    <row r="13" spans="2:31" ht="15.95">
      <c r="B13" s="167" t="s">
        <v>245</v>
      </c>
      <c r="D13" s="313">
        <v>11727</v>
      </c>
      <c r="E13" s="310">
        <v>14698</v>
      </c>
      <c r="F13" s="313">
        <v>13513</v>
      </c>
      <c r="G13" s="313">
        <v>13973</v>
      </c>
      <c r="H13" s="313">
        <v>12294</v>
      </c>
      <c r="I13" s="432">
        <v>13243</v>
      </c>
      <c r="J13" s="310">
        <f>J46*IS!J$3</f>
        <v>14045.4987812987</v>
      </c>
      <c r="K13" s="310">
        <f>K46*IS!K$3</f>
        <v>16094.941659332231</v>
      </c>
      <c r="L13" s="310">
        <f>L46*IS!L$3</f>
        <v>18459.691370302913</v>
      </c>
      <c r="M13" s="310">
        <f>M46*IS!M$3</f>
        <v>20990.37226552338</v>
      </c>
      <c r="N13" s="310">
        <f>N46*IS!N$3</f>
        <v>23463.966608190713</v>
      </c>
      <c r="O13" s="310">
        <f>O46*IS!O$3</f>
        <v>25658.970660644791</v>
      </c>
      <c r="P13" s="310">
        <f>P46*IS!P$3</f>
        <v>27572.988521822721</v>
      </c>
      <c r="Q13" s="310">
        <f>Q46*IS!Q$3</f>
        <v>29237.324181235028</v>
      </c>
      <c r="R13" s="310">
        <f>R46*IS!R$3</f>
        <v>30697.620741539737</v>
      </c>
      <c r="S13" s="310">
        <f>S46*IS!S$3</f>
        <v>32234.646965251344</v>
      </c>
      <c r="U13" s="170" t="s">
        <v>232</v>
      </c>
      <c r="Z13" s="155"/>
      <c r="AA13" s="160"/>
    </row>
    <row r="14" spans="2:31" ht="15.95">
      <c r="B14" s="495" t="s">
        <v>246</v>
      </c>
      <c r="D14" s="586">
        <v>2722983</v>
      </c>
      <c r="E14" s="497">
        <v>2806404</v>
      </c>
      <c r="F14" s="586">
        <v>2923115</v>
      </c>
      <c r="G14" s="586">
        <v>3070380</v>
      </c>
      <c r="H14" s="586">
        <v>3327428</v>
      </c>
      <c r="I14" s="587">
        <v>3640699</v>
      </c>
      <c r="J14" s="310">
        <f ca="1">SUM(J8:J13)</f>
        <v>4105899.09722604</v>
      </c>
      <c r="K14" s="310">
        <f t="shared" ref="K14:N14" ca="1" si="12">SUM(K8:K13)</f>
        <v>4769803.2298488514</v>
      </c>
      <c r="L14" s="310">
        <f ca="1">SUM(L8:L13)</f>
        <v>5542561.6297436729</v>
      </c>
      <c r="M14" s="310">
        <f t="shared" ca="1" si="12"/>
        <v>6435541.2490878096</v>
      </c>
      <c r="N14" s="310">
        <f t="shared" ca="1" si="12"/>
        <v>7522079.3765863329</v>
      </c>
      <c r="O14" s="310">
        <f t="shared" ref="O14" ca="1" si="13">SUM(O8:O13)</f>
        <v>8676756.9065329712</v>
      </c>
      <c r="P14" s="310">
        <f t="shared" ref="P14" ca="1" si="14">SUM(P8:P13)</f>
        <v>10039934.265980516</v>
      </c>
      <c r="Q14" s="310">
        <f t="shared" ref="Q14" ca="1" si="15">SUM(Q8:Q13)</f>
        <v>11531609.498254385</v>
      </c>
      <c r="R14" s="310">
        <f t="shared" ref="R14" ca="1" si="16">SUM(R8:R13)</f>
        <v>13147087.659122285</v>
      </c>
      <c r="S14" s="310">
        <f t="shared" ref="S14" ca="1" si="17">SUM(S8:S13)</f>
        <v>14914960.063223189</v>
      </c>
      <c r="U14" s="170" t="s">
        <v>61</v>
      </c>
      <c r="Z14" s="155"/>
    </row>
    <row r="15" spans="2:31">
      <c r="B15" s="495"/>
      <c r="D15" s="313"/>
      <c r="E15" s="310"/>
      <c r="F15" s="313"/>
      <c r="G15" s="313"/>
      <c r="H15" s="313"/>
      <c r="I15" s="432"/>
      <c r="J15" s="310"/>
      <c r="K15" s="310"/>
      <c r="L15" s="310"/>
      <c r="M15" s="310"/>
      <c r="N15" s="310"/>
      <c r="O15" s="310"/>
      <c r="P15" s="310"/>
      <c r="Q15" s="310"/>
      <c r="R15" s="310"/>
      <c r="S15" s="310"/>
      <c r="U15" s="170"/>
      <c r="Z15" s="155"/>
    </row>
    <row r="16" spans="2:31" ht="15.95">
      <c r="B16" s="188" t="s">
        <v>247</v>
      </c>
      <c r="D16" s="313"/>
      <c r="E16" s="310"/>
      <c r="F16" s="566" t="s">
        <v>9</v>
      </c>
      <c r="G16" s="566" t="s">
        <v>9</v>
      </c>
      <c r="H16" s="313" t="s">
        <v>9</v>
      </c>
      <c r="I16" s="432" t="s">
        <v>9</v>
      </c>
      <c r="J16" s="310"/>
      <c r="K16" s="310"/>
      <c r="L16" s="310"/>
      <c r="M16" s="310"/>
      <c r="N16" s="310"/>
      <c r="O16" s="310"/>
      <c r="P16" s="310"/>
      <c r="Q16" s="310"/>
      <c r="R16" s="310"/>
      <c r="S16" s="310"/>
      <c r="U16" s="170"/>
      <c r="Z16" s="155"/>
    </row>
    <row r="17" spans="2:31" ht="15.95">
      <c r="B17" s="167" t="s">
        <v>248</v>
      </c>
      <c r="D17" s="313">
        <v>122839</v>
      </c>
      <c r="E17" s="310">
        <v>139337</v>
      </c>
      <c r="F17" s="313">
        <v>145901</v>
      </c>
      <c r="G17" s="313">
        <v>172904</v>
      </c>
      <c r="H17" s="313">
        <v>179927</v>
      </c>
      <c r="I17" s="432">
        <v>213414</v>
      </c>
      <c r="J17" s="310">
        <f>J47*IS!J$4</f>
        <v>240968.08846665581</v>
      </c>
      <c r="K17" s="310">
        <f>K47*IS!K$4</f>
        <v>272960.15120373754</v>
      </c>
      <c r="L17" s="310">
        <f>L47*IS!L$4</f>
        <v>310468.93423428212</v>
      </c>
      <c r="M17" s="310">
        <f>M47*IS!M$4</f>
        <v>350080.05244093202</v>
      </c>
      <c r="N17" s="310">
        <f>N47*IS!N$4</f>
        <v>391334.96808723069</v>
      </c>
      <c r="O17" s="310">
        <f>O47*IS!O$4</f>
        <v>427943.52004956634</v>
      </c>
      <c r="P17" s="310">
        <f>P47*IS!P$4</f>
        <v>459865.74919052451</v>
      </c>
      <c r="Q17" s="310">
        <f>Q47*IS!Q$4</f>
        <v>487623.7473601604</v>
      </c>
      <c r="R17" s="310">
        <f>R47*IS!R$4</f>
        <v>511978.7559299923</v>
      </c>
      <c r="S17" s="310">
        <f>S47*IS!S$4</f>
        <v>537613.47141733253</v>
      </c>
      <c r="U17" s="170" t="s">
        <v>234</v>
      </c>
      <c r="Z17" s="155"/>
    </row>
    <row r="18" spans="2:31" ht="15.95">
      <c r="B18" s="167" t="s">
        <v>249</v>
      </c>
      <c r="D18" s="313">
        <v>136482</v>
      </c>
      <c r="E18" s="310">
        <v>143402</v>
      </c>
      <c r="F18" s="313">
        <v>155996</v>
      </c>
      <c r="G18" s="313">
        <v>151306</v>
      </c>
      <c r="H18" s="313">
        <v>164887</v>
      </c>
      <c r="I18" s="432">
        <v>216842</v>
      </c>
      <c r="J18" s="310">
        <f>J48*IS!J$6</f>
        <v>225095.81447867674</v>
      </c>
      <c r="K18" s="310">
        <f>K48*IS!K$6</f>
        <v>259660.17668204496</v>
      </c>
      <c r="L18" s="310">
        <f>L48*IS!L$6</f>
        <v>298796.88304494089</v>
      </c>
      <c r="M18" s="310">
        <f>M48*IS!M$6</f>
        <v>338638.30552796356</v>
      </c>
      <c r="N18" s="310">
        <f>N48*IS!N$6</f>
        <v>377291.41741425655</v>
      </c>
      <c r="O18" s="310">
        <f>O48*IS!O$6</f>
        <v>407103.35172719165</v>
      </c>
      <c r="P18" s="310">
        <f>P48*IS!P$6</f>
        <v>431579.15353827993</v>
      </c>
      <c r="Q18" s="310">
        <f>Q48*IS!Q$6</f>
        <v>451382.23693435005</v>
      </c>
      <c r="R18" s="310">
        <f>R48*IS!R$6</f>
        <v>467367.57080824126</v>
      </c>
      <c r="S18" s="310">
        <f>S48*IS!S$6</f>
        <v>483880.62907125679</v>
      </c>
      <c r="U18" s="170" t="s">
        <v>250</v>
      </c>
      <c r="Z18" s="155"/>
    </row>
    <row r="19" spans="2:31" s="156" customFormat="1" ht="15.95">
      <c r="B19" s="167" t="s">
        <v>251</v>
      </c>
      <c r="D19" s="313">
        <v>48579</v>
      </c>
      <c r="E19" s="310">
        <v>76695</v>
      </c>
      <c r="F19" s="313">
        <v>58743</v>
      </c>
      <c r="G19" s="313">
        <v>61574</v>
      </c>
      <c r="H19" s="313">
        <v>74752</v>
      </c>
      <c r="I19" s="432">
        <v>97991</v>
      </c>
      <c r="J19" s="310">
        <f>J49*IS!J$6</f>
        <v>113241.83392422076</v>
      </c>
      <c r="K19" s="310">
        <f>K49*IS!K$6</f>
        <v>130630.5702425552</v>
      </c>
      <c r="L19" s="310">
        <f>L49*IS!L$6</f>
        <v>150319.57428979789</v>
      </c>
      <c r="M19" s="310">
        <f>M49*IS!M$6</f>
        <v>170363.1089000541</v>
      </c>
      <c r="N19" s="310">
        <f>N49*IS!N$6</f>
        <v>189808.82488113272</v>
      </c>
      <c r="O19" s="310">
        <f>O49*IS!O$6</f>
        <v>204806.69644193412</v>
      </c>
      <c r="P19" s="310">
        <f>P49*IS!P$6</f>
        <v>217120.05149152773</v>
      </c>
      <c r="Q19" s="310">
        <f>Q49*IS!Q$6</f>
        <v>227082.64225012978</v>
      </c>
      <c r="R19" s="310">
        <f>R49*IS!R$6</f>
        <v>235124.58886723086</v>
      </c>
      <c r="S19" s="310">
        <f>S49*IS!S$6</f>
        <v>243432.02455070746</v>
      </c>
      <c r="U19" s="170" t="s">
        <v>250</v>
      </c>
      <c r="Z19" s="155"/>
    </row>
    <row r="20" spans="2:31" s="156" customFormat="1" ht="15.95">
      <c r="B20" s="167" t="s">
        <v>252</v>
      </c>
      <c r="D20" s="566">
        <v>2005</v>
      </c>
      <c r="E20" s="310">
        <v>0</v>
      </c>
      <c r="F20" s="313">
        <v>0</v>
      </c>
      <c r="G20" s="313">
        <v>0</v>
      </c>
      <c r="H20" s="313">
        <v>0</v>
      </c>
      <c r="I20" s="432">
        <v>0</v>
      </c>
      <c r="J20" s="313">
        <f>I20</f>
        <v>0</v>
      </c>
      <c r="K20" s="313">
        <f t="shared" ref="K20:N20" si="18">J20</f>
        <v>0</v>
      </c>
      <c r="L20" s="313">
        <f t="shared" si="18"/>
        <v>0</v>
      </c>
      <c r="M20" s="313">
        <f t="shared" si="18"/>
        <v>0</v>
      </c>
      <c r="N20" s="313">
        <f t="shared" si="18"/>
        <v>0</v>
      </c>
      <c r="O20" s="313">
        <f t="shared" ref="O20:S20" si="19">N20</f>
        <v>0</v>
      </c>
      <c r="P20" s="313">
        <f t="shared" si="19"/>
        <v>0</v>
      </c>
      <c r="Q20" s="313">
        <f t="shared" si="19"/>
        <v>0</v>
      </c>
      <c r="R20" s="313">
        <f t="shared" si="19"/>
        <v>0</v>
      </c>
      <c r="S20" s="313">
        <f t="shared" si="19"/>
        <v>0</v>
      </c>
      <c r="U20" s="170" t="s">
        <v>242</v>
      </c>
      <c r="Z20" s="155"/>
    </row>
    <row r="21" spans="2:31" ht="15.95">
      <c r="B21" s="167" t="s">
        <v>253</v>
      </c>
      <c r="D21" s="313">
        <v>106153</v>
      </c>
      <c r="E21" s="310">
        <v>135739</v>
      </c>
      <c r="F21" s="313">
        <v>151755</v>
      </c>
      <c r="G21" s="313">
        <v>135584</v>
      </c>
      <c r="H21" s="310">
        <v>126271</v>
      </c>
      <c r="I21" s="432">
        <v>150400</v>
      </c>
      <c r="J21" s="310">
        <f>J50*J24</f>
        <v>164887.03070346167</v>
      </c>
      <c r="K21" s="310">
        <f>K50*K24</f>
        <v>184449.55119731845</v>
      </c>
      <c r="L21" s="310">
        <f>L50*L24</f>
        <v>200597.85820875684</v>
      </c>
      <c r="M21" s="310">
        <f>M50*M24</f>
        <v>210204.81926889511</v>
      </c>
      <c r="N21" s="310">
        <f>N50*N24</f>
        <v>223102.95909136464</v>
      </c>
      <c r="O21" s="310">
        <f>O50*O24</f>
        <v>225676.43531985415</v>
      </c>
      <c r="P21" s="310">
        <f>P50*P24</f>
        <v>233458.3813653664</v>
      </c>
      <c r="Q21" s="310">
        <f>Q50*Q24</f>
        <v>239210.25452944063</v>
      </c>
      <c r="R21" s="310">
        <f>R50*R24</f>
        <v>244962.12769351486</v>
      </c>
      <c r="S21" s="310">
        <f>S50*S24</f>
        <v>251052.34633782876</v>
      </c>
      <c r="U21" s="170" t="s">
        <v>254</v>
      </c>
      <c r="Z21" s="155"/>
    </row>
    <row r="22" spans="2:31" ht="15.95">
      <c r="B22" s="167" t="s">
        <v>255</v>
      </c>
      <c r="D22" s="313">
        <v>754</v>
      </c>
      <c r="E22" s="310">
        <v>959</v>
      </c>
      <c r="F22" s="313">
        <v>1078</v>
      </c>
      <c r="G22" s="313">
        <v>1012</v>
      </c>
      <c r="H22" s="313">
        <v>1032</v>
      </c>
      <c r="I22" s="432">
        <v>1321</v>
      </c>
      <c r="J22" s="310">
        <f>J51*J26</f>
        <v>1513.6000000000001</v>
      </c>
      <c r="K22" s="310">
        <f>K51*K26</f>
        <v>1603.68</v>
      </c>
      <c r="L22" s="310">
        <f>L51*L26</f>
        <v>1699.36</v>
      </c>
      <c r="M22" s="310">
        <f>M51*M26</f>
        <v>1784.88</v>
      </c>
      <c r="N22" s="310">
        <f>N51*N26</f>
        <v>1894.4</v>
      </c>
      <c r="O22" s="310">
        <f>O51*O26</f>
        <v>1974.3200000000002</v>
      </c>
      <c r="P22" s="310">
        <f>P51*P26</f>
        <v>2042.4</v>
      </c>
      <c r="Q22" s="310">
        <f>Q51*Q26</f>
        <v>2092.7200000000003</v>
      </c>
      <c r="R22" s="310">
        <f>R51*R26</f>
        <v>2143.0400000000004</v>
      </c>
      <c r="S22" s="310">
        <f>S51*S26</f>
        <v>2196.3200000000002</v>
      </c>
      <c r="U22" s="170" t="s">
        <v>256</v>
      </c>
      <c r="Y22" s="158"/>
      <c r="Z22" s="155"/>
      <c r="AA22" s="158"/>
      <c r="AB22" s="158"/>
      <c r="AC22" s="158"/>
      <c r="AD22" s="158"/>
      <c r="AE22" s="158"/>
    </row>
    <row r="23" spans="2:31" ht="15.95">
      <c r="B23" s="495" t="s">
        <v>257</v>
      </c>
      <c r="D23" s="586">
        <v>416812</v>
      </c>
      <c r="E23" s="497">
        <v>496132</v>
      </c>
      <c r="F23" s="586">
        <v>513473</v>
      </c>
      <c r="G23" s="586">
        <v>522380</v>
      </c>
      <c r="H23" s="586">
        <v>546869</v>
      </c>
      <c r="I23" s="587">
        <v>679968</v>
      </c>
      <c r="J23" s="310">
        <f>SUM(J17:J22)</f>
        <v>745706.36757301504</v>
      </c>
      <c r="K23" s="310">
        <f t="shared" ref="K23:N23" si="20">SUM(K17:K22)</f>
        <v>849304.12932565622</v>
      </c>
      <c r="L23" s="310">
        <f t="shared" si="20"/>
        <v>961882.6097777778</v>
      </c>
      <c r="M23" s="310">
        <f t="shared" si="20"/>
        <v>1071071.1661378448</v>
      </c>
      <c r="N23" s="310">
        <f t="shared" si="20"/>
        <v>1183432.5694739844</v>
      </c>
      <c r="O23" s="310">
        <f t="shared" ref="O23" si="21">SUM(O17:O22)</f>
        <v>1267504.3235385462</v>
      </c>
      <c r="P23" s="310">
        <f t="shared" ref="P23" si="22">SUM(P17:P22)</f>
        <v>1344065.7355856984</v>
      </c>
      <c r="Q23" s="310">
        <f t="shared" ref="Q23" si="23">SUM(Q17:Q22)</f>
        <v>1407391.6010740807</v>
      </c>
      <c r="R23" s="310">
        <f t="shared" ref="R23" si="24">SUM(R17:R22)</f>
        <v>1461576.0832989793</v>
      </c>
      <c r="S23" s="310">
        <f t="shared" ref="S23" si="25">SUM(S17:S22)</f>
        <v>1518174.7913771258</v>
      </c>
      <c r="U23" s="170" t="s">
        <v>61</v>
      </c>
      <c r="Y23" s="158"/>
      <c r="Z23" s="155"/>
      <c r="AA23" s="158"/>
      <c r="AB23" s="158"/>
      <c r="AC23" s="158"/>
      <c r="AD23" s="158"/>
      <c r="AE23" s="158"/>
    </row>
    <row r="24" spans="2:31" ht="15.95">
      <c r="B24" s="167" t="s">
        <v>258</v>
      </c>
      <c r="D24" s="313">
        <v>1078927</v>
      </c>
      <c r="E24" s="310">
        <v>1069535</v>
      </c>
      <c r="F24" s="313">
        <v>1095909</v>
      </c>
      <c r="G24" s="313">
        <v>1145173</v>
      </c>
      <c r="H24" s="313">
        <v>1399676</v>
      </c>
      <c r="I24" s="432">
        <v>1520272</v>
      </c>
      <c r="J24" s="310">
        <f>J52*J10</f>
        <v>1666709.6804628528</v>
      </c>
      <c r="K24" s="310">
        <f>K52*K10</f>
        <v>1864451.3836293197</v>
      </c>
      <c r="L24" s="310">
        <f>L52*L10</f>
        <v>2027681.5631299412</v>
      </c>
      <c r="M24" s="310">
        <f>M52*M10</f>
        <v>2124790.56515666</v>
      </c>
      <c r="N24" s="310">
        <f>N52*N10</f>
        <v>2255167.4323387439</v>
      </c>
      <c r="O24" s="310">
        <f>O52*O10</f>
        <v>2281180.6228496362</v>
      </c>
      <c r="P24" s="310">
        <f>P52*P10</f>
        <v>2359842.0236375551</v>
      </c>
      <c r="Q24" s="310">
        <f>Q52*Q10</f>
        <v>2417983.0590025382</v>
      </c>
      <c r="R24" s="310">
        <f>R52*R10</f>
        <v>2476124.0943675213</v>
      </c>
      <c r="S24" s="310">
        <f>S52*S10</f>
        <v>2537685.190636327</v>
      </c>
      <c r="U24" s="170" t="s">
        <v>259</v>
      </c>
      <c r="Z24" s="155"/>
    </row>
    <row r="25" spans="2:31" ht="15.95">
      <c r="B25" s="167" t="s">
        <v>260</v>
      </c>
      <c r="D25" s="313">
        <v>538000</v>
      </c>
      <c r="E25" s="310">
        <v>250000</v>
      </c>
      <c r="F25" s="313">
        <v>250000</v>
      </c>
      <c r="G25" s="588">
        <v>250000</v>
      </c>
      <c r="H25" s="313">
        <v>125000</v>
      </c>
      <c r="I25" s="432">
        <v>0</v>
      </c>
      <c r="J25" s="310">
        <f ca="1">(J14-J4)*J85</f>
        <v>0</v>
      </c>
      <c r="K25" s="310">
        <f t="shared" ref="K25:S25" ca="1" si="26">(K14-K4)*K85</f>
        <v>0</v>
      </c>
      <c r="L25" s="310">
        <f t="shared" ca="1" si="26"/>
        <v>0</v>
      </c>
      <c r="M25" s="310">
        <f t="shared" ca="1" si="26"/>
        <v>0</v>
      </c>
      <c r="N25" s="310">
        <f t="shared" ca="1" si="26"/>
        <v>0</v>
      </c>
      <c r="O25" s="310">
        <f ca="1">(O14-O4)*O85</f>
        <v>0</v>
      </c>
      <c r="P25" s="310">
        <f t="shared" ca="1" si="26"/>
        <v>0</v>
      </c>
      <c r="Q25" s="310">
        <f t="shared" ca="1" si="26"/>
        <v>0</v>
      </c>
      <c r="R25" s="310">
        <f t="shared" ca="1" si="26"/>
        <v>0</v>
      </c>
      <c r="S25" s="310">
        <f t="shared" ca="1" si="26"/>
        <v>0</v>
      </c>
      <c r="U25" s="170" t="s">
        <v>261</v>
      </c>
      <c r="Z25" s="155"/>
    </row>
    <row r="26" spans="2:31" ht="15.95">
      <c r="B26" s="167" t="s">
        <v>262</v>
      </c>
      <c r="D26" s="313">
        <f t="shared" ref="D26:F26" si="27">D27-D25</f>
        <v>11419</v>
      </c>
      <c r="E26" s="313">
        <f t="shared" si="27"/>
        <v>10459</v>
      </c>
      <c r="F26" s="313">
        <f t="shared" si="27"/>
        <v>9656</v>
      </c>
      <c r="G26" s="313">
        <f>G27-G25</f>
        <v>8902</v>
      </c>
      <c r="H26" s="313">
        <v>8685</v>
      </c>
      <c r="I26" s="432">
        <v>7248</v>
      </c>
      <c r="J26" s="310">
        <f>J53*'Revenue Model'!J17</f>
        <v>7568</v>
      </c>
      <c r="K26" s="310">
        <f>K53*'Revenue Model'!K17</f>
        <v>8018.4</v>
      </c>
      <c r="L26" s="310">
        <f>L53*'Revenue Model'!L17</f>
        <v>8496.7999999999993</v>
      </c>
      <c r="M26" s="310">
        <f>M53*'Revenue Model'!M17</f>
        <v>8924.4</v>
      </c>
      <c r="N26" s="310">
        <f>N53*'Revenue Model'!N17</f>
        <v>9472</v>
      </c>
      <c r="O26" s="310">
        <f>O53*'Revenue Model'!O17</f>
        <v>9871.6</v>
      </c>
      <c r="P26" s="310">
        <f>P53*'Revenue Model'!P17</f>
        <v>10212</v>
      </c>
      <c r="Q26" s="310">
        <f>Q53*'Revenue Model'!Q17</f>
        <v>10463.6</v>
      </c>
      <c r="R26" s="310">
        <f>R53*'Revenue Model'!R17</f>
        <v>10715.2</v>
      </c>
      <c r="S26" s="310">
        <f>S53*'Revenue Model'!S17</f>
        <v>10981.6</v>
      </c>
      <c r="U26" s="170" t="s">
        <v>240</v>
      </c>
      <c r="Z26" s="155"/>
    </row>
    <row r="27" spans="2:31" s="156" customFormat="1" ht="15.95">
      <c r="B27" s="495" t="s">
        <v>263</v>
      </c>
      <c r="D27" s="313">
        <v>549419</v>
      </c>
      <c r="E27" s="310">
        <v>260459</v>
      </c>
      <c r="F27" s="313">
        <v>259656</v>
      </c>
      <c r="G27" s="313">
        <v>258902</v>
      </c>
      <c r="H27" s="313">
        <v>133685</v>
      </c>
      <c r="I27" s="432">
        <v>7248</v>
      </c>
      <c r="J27" s="310">
        <f ca="1">J25+J26</f>
        <v>7568</v>
      </c>
      <c r="K27" s="310">
        <f ca="1">K25+K26</f>
        <v>8018.4</v>
      </c>
      <c r="L27" s="310">
        <f ca="1">L25+L26</f>
        <v>8496.7999999999993</v>
      </c>
      <c r="M27" s="310">
        <f ca="1">M25+M26</f>
        <v>8924.4</v>
      </c>
      <c r="N27" s="310">
        <f ca="1">N25+N26</f>
        <v>9472</v>
      </c>
      <c r="O27" s="310">
        <f t="shared" ref="O27:S27" ca="1" si="28">O25+O26</f>
        <v>9871.6</v>
      </c>
      <c r="P27" s="310">
        <f t="shared" ca="1" si="28"/>
        <v>10212</v>
      </c>
      <c r="Q27" s="310">
        <f t="shared" ca="1" si="28"/>
        <v>10463.6</v>
      </c>
      <c r="R27" s="310">
        <f t="shared" ca="1" si="28"/>
        <v>10715.2</v>
      </c>
      <c r="S27" s="310">
        <f t="shared" ca="1" si="28"/>
        <v>10981.6</v>
      </c>
      <c r="U27" s="170" t="s">
        <v>264</v>
      </c>
      <c r="Y27" s="157"/>
      <c r="Z27" s="155"/>
      <c r="AA27" s="155"/>
      <c r="AB27" s="157"/>
      <c r="AC27" s="157"/>
      <c r="AD27" s="157"/>
      <c r="AE27" s="157"/>
    </row>
    <row r="28" spans="2:31" ht="15.95">
      <c r="B28" s="167" t="s">
        <v>265</v>
      </c>
      <c r="D28" s="313">
        <v>41517</v>
      </c>
      <c r="E28" s="310">
        <v>40912</v>
      </c>
      <c r="F28" s="313">
        <v>36306</v>
      </c>
      <c r="G28" s="313">
        <v>36340</v>
      </c>
      <c r="H28" s="313">
        <v>36270</v>
      </c>
      <c r="I28" s="432">
        <v>38259</v>
      </c>
      <c r="J28" s="310">
        <f>J54*IS!J3</f>
        <v>39502.96532240259</v>
      </c>
      <c r="K28" s="310">
        <f>K54*IS!K3</f>
        <v>45267.023416871896</v>
      </c>
      <c r="L28" s="310">
        <f>L54*IS!L3</f>
        <v>51917.88197897694</v>
      </c>
      <c r="M28" s="310">
        <f>M54*IS!M3</f>
        <v>59035.421996784491</v>
      </c>
      <c r="N28" s="310">
        <f>N54*IS!N3</f>
        <v>65992.406085536379</v>
      </c>
      <c r="O28" s="310">
        <f>O54*IS!O3</f>
        <v>72165.854983063473</v>
      </c>
      <c r="P28" s="310">
        <f>P54*IS!P3</f>
        <v>77549.030217626394</v>
      </c>
      <c r="Q28" s="310">
        <f>Q54*IS!Q3</f>
        <v>82229.974259723502</v>
      </c>
      <c r="R28" s="310">
        <f>R54*IS!R3</f>
        <v>86337.058335580499</v>
      </c>
      <c r="S28" s="310">
        <f>S54*IS!S3</f>
        <v>90659.944589769395</v>
      </c>
      <c r="U28" s="170" t="s">
        <v>232</v>
      </c>
      <c r="Y28" s="158"/>
      <c r="Z28" s="155"/>
      <c r="AA28" s="158"/>
      <c r="AB28" s="158"/>
      <c r="AC28" s="158"/>
      <c r="AD28" s="158"/>
      <c r="AE28" s="158"/>
    </row>
    <row r="29" spans="2:31" ht="15.95">
      <c r="B29" s="167" t="s">
        <v>266</v>
      </c>
      <c r="D29" s="313">
        <v>54356</v>
      </c>
      <c r="E29" s="310">
        <v>58073</v>
      </c>
      <c r="F29" s="313">
        <v>57895</v>
      </c>
      <c r="G29" s="313">
        <v>61123</v>
      </c>
      <c r="H29" s="313">
        <v>62381</v>
      </c>
      <c r="I29" s="432">
        <v>73059</v>
      </c>
      <c r="J29" s="310">
        <f ca="1">J55*IS!J12</f>
        <v>86441.204203918867</v>
      </c>
      <c r="K29" s="310">
        <f ca="1">K55*IS!K12</f>
        <v>105045.84037510269</v>
      </c>
      <c r="L29" s="310">
        <f ca="1">L55*IS!L12</f>
        <v>128967.7360064165</v>
      </c>
      <c r="M29" s="310">
        <f ca="1">M55*IS!M12</f>
        <v>162510.84491284762</v>
      </c>
      <c r="N29" s="310">
        <f ca="1">N55*IS!N12</f>
        <v>192508.82751979248</v>
      </c>
      <c r="O29" s="310">
        <f ca="1">O55*IS!O12</f>
        <v>228959.51793155386</v>
      </c>
      <c r="P29" s="310">
        <f ca="1">P55*IS!P12</f>
        <v>260524.34663294957</v>
      </c>
      <c r="Q29" s="310">
        <f ca="1">Q55*IS!Q12</f>
        <v>291137.09973212343</v>
      </c>
      <c r="R29" s="310">
        <f ca="1">R55*IS!R12</f>
        <v>316955.44747280871</v>
      </c>
      <c r="S29" s="310">
        <f ca="1">S55*IS!S12</f>
        <v>344034.86127658404</v>
      </c>
      <c r="U29" s="170" t="s">
        <v>267</v>
      </c>
      <c r="Y29" s="158"/>
      <c r="Z29" s="155"/>
      <c r="AA29" s="158"/>
      <c r="AB29" s="158"/>
      <c r="AC29" s="158"/>
      <c r="AD29" s="158"/>
      <c r="AE29" s="158"/>
    </row>
    <row r="30" spans="2:31" ht="15.95">
      <c r="B30" s="495" t="s">
        <v>268</v>
      </c>
      <c r="D30" s="586">
        <v>2141031</v>
      </c>
      <c r="E30" s="497">
        <v>1925111</v>
      </c>
      <c r="F30" s="586">
        <v>1963239</v>
      </c>
      <c r="G30" s="586">
        <v>2023918</v>
      </c>
      <c r="H30" s="586">
        <v>2178881</v>
      </c>
      <c r="I30" s="587">
        <v>2318806</v>
      </c>
      <c r="J30" s="310">
        <f ca="1">SUM(J23:J29)-J27</f>
        <v>2545928.2175621898</v>
      </c>
      <c r="K30" s="310">
        <f t="shared" ref="K30:N30" ca="1" si="29">SUM(K23:K29)-K27</f>
        <v>2872086.7767469501</v>
      </c>
      <c r="L30" s="310">
        <f ca="1">SUM(L23:L29)-L27</f>
        <v>3178946.5908931121</v>
      </c>
      <c r="M30" s="310">
        <f t="shared" ca="1" si="29"/>
        <v>3426332.3982041366</v>
      </c>
      <c r="N30" s="310">
        <f t="shared" ca="1" si="29"/>
        <v>3706573.2354180571</v>
      </c>
      <c r="O30" s="310">
        <f t="shared" ref="O30" ca="1" si="30">SUM(O23:O29)-O27</f>
        <v>3859681.9193027997</v>
      </c>
      <c r="P30" s="310">
        <f t="shared" ref="P30" ca="1" si="31">SUM(P23:P29)-P27</f>
        <v>4052193.1360738296</v>
      </c>
      <c r="Q30" s="310">
        <f t="shared" ref="Q30" ca="1" si="32">SUM(Q23:Q29)-Q27</f>
        <v>4209205.3340684669</v>
      </c>
      <c r="R30" s="310">
        <f t="shared" ref="R30" ca="1" si="33">SUM(R23:R29)-R27</f>
        <v>4351707.8834748901</v>
      </c>
      <c r="S30" s="310">
        <f t="shared" ref="S30" ca="1" si="34">SUM(S23:S29)-S27</f>
        <v>4501536.3878798066</v>
      </c>
      <c r="U30" s="170" t="s">
        <v>61</v>
      </c>
      <c r="Y30" s="158"/>
      <c r="Z30" s="155"/>
      <c r="AA30" s="158"/>
      <c r="AB30" s="158"/>
      <c r="AC30" s="158"/>
      <c r="AD30" s="158"/>
      <c r="AE30" s="158"/>
    </row>
    <row r="31" spans="2:31" s="156" customFormat="1" ht="15.95">
      <c r="B31" s="167"/>
      <c r="D31" s="310"/>
      <c r="E31" s="310"/>
      <c r="F31" s="566" t="s">
        <v>72</v>
      </c>
      <c r="G31" s="566" t="s">
        <v>72</v>
      </c>
      <c r="H31" s="313" t="s">
        <v>72</v>
      </c>
      <c r="I31" s="432" t="s">
        <v>72</v>
      </c>
      <c r="J31" s="497"/>
      <c r="K31" s="497"/>
      <c r="L31" s="497"/>
      <c r="M31" s="736"/>
      <c r="N31" s="497"/>
      <c r="O31" s="497"/>
      <c r="P31" s="497"/>
      <c r="Q31" s="497"/>
      <c r="R31" s="497"/>
      <c r="S31" s="497"/>
      <c r="U31" s="496"/>
      <c r="Y31" s="157"/>
      <c r="Z31" s="155"/>
      <c r="AA31" s="161"/>
      <c r="AB31" s="162"/>
      <c r="AC31" s="162"/>
      <c r="AD31" s="162"/>
      <c r="AE31" s="162"/>
    </row>
    <row r="32" spans="2:31" ht="15.95">
      <c r="B32" s="188" t="s">
        <v>269</v>
      </c>
      <c r="D32" s="566" t="s">
        <v>72</v>
      </c>
      <c r="E32" s="310" t="s">
        <v>72</v>
      </c>
      <c r="F32" s="566" t="s">
        <v>9</v>
      </c>
      <c r="G32" s="566" t="s">
        <v>9</v>
      </c>
      <c r="H32" s="310" t="s">
        <v>9</v>
      </c>
      <c r="I32" s="432" t="s">
        <v>9</v>
      </c>
      <c r="J32" s="566"/>
      <c r="K32" s="566"/>
      <c r="L32" s="566"/>
      <c r="M32" s="566"/>
      <c r="N32" s="566"/>
      <c r="O32" s="566"/>
      <c r="P32" s="566"/>
      <c r="Q32" s="566"/>
      <c r="R32" s="566"/>
      <c r="S32" s="566"/>
      <c r="U32" s="170"/>
      <c r="Z32" s="155"/>
    </row>
    <row r="33" spans="2:26">
      <c r="B33" s="319" t="s">
        <v>270</v>
      </c>
      <c r="D33" s="313">
        <v>117</v>
      </c>
      <c r="E33" s="310">
        <v>118</v>
      </c>
      <c r="F33" s="313">
        <v>111</v>
      </c>
      <c r="G33" s="313">
        <v>105</v>
      </c>
      <c r="H33" s="313">
        <v>101</v>
      </c>
      <c r="I33" s="432">
        <v>99</v>
      </c>
      <c r="J33" s="310">
        <f>I33</f>
        <v>99</v>
      </c>
      <c r="K33" s="310">
        <f t="shared" ref="K33:N33" si="35">J33</f>
        <v>99</v>
      </c>
      <c r="L33" s="310">
        <f t="shared" si="35"/>
        <v>99</v>
      </c>
      <c r="M33" s="310">
        <f t="shared" si="35"/>
        <v>99</v>
      </c>
      <c r="N33" s="310">
        <f t="shared" si="35"/>
        <v>99</v>
      </c>
      <c r="O33" s="310">
        <f t="shared" ref="O33:S33" si="36">N33</f>
        <v>99</v>
      </c>
      <c r="P33" s="310">
        <f t="shared" si="36"/>
        <v>99</v>
      </c>
      <c r="Q33" s="310">
        <f t="shared" si="36"/>
        <v>99</v>
      </c>
      <c r="R33" s="310">
        <f t="shared" si="36"/>
        <v>99</v>
      </c>
      <c r="S33" s="310">
        <f t="shared" si="36"/>
        <v>99</v>
      </c>
      <c r="U33" s="170" t="s">
        <v>242</v>
      </c>
      <c r="V33" s="154" t="s">
        <v>271</v>
      </c>
      <c r="W33" s="154" t="s">
        <v>200</v>
      </c>
      <c r="Z33" s="155"/>
    </row>
    <row r="34" spans="2:26" ht="15.95">
      <c r="B34" s="167" t="s">
        <v>272</v>
      </c>
      <c r="D34" s="313">
        <v>670966</v>
      </c>
      <c r="E34" s="310">
        <v>686648</v>
      </c>
      <c r="F34" s="313">
        <v>704701</v>
      </c>
      <c r="G34" s="313">
        <v>726345</v>
      </c>
      <c r="H34" s="313">
        <v>774834</v>
      </c>
      <c r="I34" s="432">
        <v>808140</v>
      </c>
      <c r="J34" s="310">
        <f>I34</f>
        <v>808140</v>
      </c>
      <c r="K34" s="310">
        <f t="shared" ref="K34:N34" si="37">J34</f>
        <v>808140</v>
      </c>
      <c r="L34" s="310">
        <f t="shared" si="37"/>
        <v>808140</v>
      </c>
      <c r="M34" s="310">
        <f t="shared" si="37"/>
        <v>808140</v>
      </c>
      <c r="N34" s="310">
        <f t="shared" si="37"/>
        <v>808140</v>
      </c>
      <c r="O34" s="310">
        <f t="shared" ref="O34:S34" si="38">N34</f>
        <v>808140</v>
      </c>
      <c r="P34" s="310">
        <f t="shared" si="38"/>
        <v>808140</v>
      </c>
      <c r="Q34" s="310">
        <f t="shared" si="38"/>
        <v>808140</v>
      </c>
      <c r="R34" s="310">
        <f t="shared" si="38"/>
        <v>808140</v>
      </c>
      <c r="S34" s="310">
        <f t="shared" si="38"/>
        <v>808140</v>
      </c>
      <c r="U34" s="170" t="s">
        <v>242</v>
      </c>
      <c r="Z34" s="155"/>
    </row>
    <row r="35" spans="2:26" ht="15.95">
      <c r="B35" s="167" t="s">
        <v>273</v>
      </c>
      <c r="D35" s="313">
        <v>-4682</v>
      </c>
      <c r="E35" s="310">
        <v>-8474</v>
      </c>
      <c r="F35" s="313">
        <v>-3758</v>
      </c>
      <c r="G35" s="313">
        <v>0</v>
      </c>
      <c r="H35" s="588">
        <v>0</v>
      </c>
      <c r="I35" s="432">
        <v>0</v>
      </c>
      <c r="J35" s="310">
        <f>I35</f>
        <v>0</v>
      </c>
      <c r="K35" s="310">
        <f t="shared" ref="K35:N35" si="39">J35</f>
        <v>0</v>
      </c>
      <c r="L35" s="310">
        <f t="shared" si="39"/>
        <v>0</v>
      </c>
      <c r="M35" s="310">
        <f t="shared" si="39"/>
        <v>0</v>
      </c>
      <c r="N35" s="310">
        <f t="shared" si="39"/>
        <v>0</v>
      </c>
      <c r="O35" s="310">
        <f t="shared" ref="O35:S35" si="40">N35</f>
        <v>0</v>
      </c>
      <c r="P35" s="310">
        <f t="shared" si="40"/>
        <v>0</v>
      </c>
      <c r="Q35" s="310">
        <f t="shared" si="40"/>
        <v>0</v>
      </c>
      <c r="R35" s="310">
        <f t="shared" si="40"/>
        <v>0</v>
      </c>
      <c r="S35" s="310">
        <f t="shared" si="40"/>
        <v>0</v>
      </c>
      <c r="U35" s="170" t="s">
        <v>242</v>
      </c>
      <c r="Z35" s="155"/>
    </row>
    <row r="36" spans="2:26" ht="15.95">
      <c r="B36" s="167" t="s">
        <v>274</v>
      </c>
      <c r="D36" s="313">
        <v>-84449</v>
      </c>
      <c r="E36" s="310">
        <v>203001</v>
      </c>
      <c r="F36" s="313">
        <v>258822</v>
      </c>
      <c r="G36" s="313">
        <v>320012</v>
      </c>
      <c r="H36" s="313">
        <v>373612</v>
      </c>
      <c r="I36" s="432">
        <v>513654</v>
      </c>
      <c r="J36" s="310">
        <f ca="1">J63</f>
        <v>751731.879663851</v>
      </c>
      <c r="K36" s="310">
        <f t="shared" ref="K36:N36" ca="1" si="41">K63</f>
        <v>1089477.4531019011</v>
      </c>
      <c r="L36" s="310">
        <f t="shared" ca="1" si="41"/>
        <v>1555376.0388505608</v>
      </c>
      <c r="M36" s="310">
        <f t="shared" ca="1" si="41"/>
        <v>2200969.8508836729</v>
      </c>
      <c r="N36" s="310">
        <f t="shared" ca="1" si="41"/>
        <v>3007267.1411682754</v>
      </c>
      <c r="O36" s="310">
        <f t="shared" ref="O36:S36" ca="1" si="42">O63</f>
        <v>4008835.9872301705</v>
      </c>
      <c r="P36" s="310">
        <f t="shared" ca="1" si="42"/>
        <v>5179502.129906686</v>
      </c>
      <c r="Q36" s="310">
        <f t="shared" ca="1" si="42"/>
        <v>6514165.1641859189</v>
      </c>
      <c r="R36" s="310">
        <f t="shared" ca="1" si="42"/>
        <v>7987140.7756473944</v>
      </c>
      <c r="S36" s="310">
        <f t="shared" ca="1" si="42"/>
        <v>9605184.6753433794</v>
      </c>
      <c r="U36" s="170" t="s">
        <v>238</v>
      </c>
      <c r="Z36" s="155"/>
    </row>
    <row r="37" spans="2:26" ht="15.95">
      <c r="B37" s="495" t="s">
        <v>275</v>
      </c>
      <c r="D37" s="586">
        <v>581952</v>
      </c>
      <c r="E37" s="497">
        <v>881293</v>
      </c>
      <c r="F37" s="586">
        <v>959876</v>
      </c>
      <c r="G37" s="586">
        <v>1046462</v>
      </c>
      <c r="H37" s="586">
        <v>1148547</v>
      </c>
      <c r="I37" s="587">
        <v>1321893</v>
      </c>
      <c r="J37" s="310">
        <f ca="1">SUM(J33:J36)</f>
        <v>1559970.8796638511</v>
      </c>
      <c r="K37" s="310">
        <f t="shared" ref="K37:N37" ca="1" si="43">SUM(K33:K36)</f>
        <v>1897716.4531019011</v>
      </c>
      <c r="L37" s="310">
        <f t="shared" ca="1" si="43"/>
        <v>2363615.0388505608</v>
      </c>
      <c r="M37" s="310">
        <f t="shared" ca="1" si="43"/>
        <v>3009208.8508836729</v>
      </c>
      <c r="N37" s="310">
        <f t="shared" ca="1" si="43"/>
        <v>3815506.1411682754</v>
      </c>
      <c r="O37" s="310">
        <f t="shared" ref="O37" ca="1" si="44">SUM(O33:O36)</f>
        <v>4817074.9872301705</v>
      </c>
      <c r="P37" s="310">
        <f t="shared" ref="P37" ca="1" si="45">SUM(P33:P36)</f>
        <v>5987741.129906686</v>
      </c>
      <c r="Q37" s="310">
        <f t="shared" ref="Q37" ca="1" si="46">SUM(Q33:Q36)</f>
        <v>7322404.1641859189</v>
      </c>
      <c r="R37" s="310">
        <f t="shared" ref="R37" ca="1" si="47">SUM(R33:R36)</f>
        <v>8795379.7756473944</v>
      </c>
      <c r="S37" s="310">
        <f t="shared" ref="S37" ca="1" si="48">SUM(S33:S36)</f>
        <v>10413423.675343379</v>
      </c>
      <c r="U37" s="170" t="s">
        <v>61</v>
      </c>
      <c r="Z37" s="155"/>
    </row>
    <row r="38" spans="2:26" ht="15.95">
      <c r="B38" s="498" t="s">
        <v>276</v>
      </c>
      <c r="C38" s="174"/>
      <c r="D38" s="589">
        <v>2722983</v>
      </c>
      <c r="E38" s="590">
        <v>2806404</v>
      </c>
      <c r="F38" s="589">
        <v>2923115</v>
      </c>
      <c r="G38" s="589">
        <v>3070380</v>
      </c>
      <c r="H38" s="589">
        <v>3327428</v>
      </c>
      <c r="I38" s="591">
        <v>3640699</v>
      </c>
      <c r="J38" s="312">
        <f ca="1">J37+J30</f>
        <v>4105899.0972260409</v>
      </c>
      <c r="K38" s="312">
        <f t="shared" ref="K38:N38" ca="1" si="49">K37+K30</f>
        <v>4769803.2298488514</v>
      </c>
      <c r="L38" s="312">
        <f t="shared" ca="1" si="49"/>
        <v>5542561.6297436729</v>
      </c>
      <c r="M38" s="312">
        <f t="shared" ca="1" si="49"/>
        <v>6435541.2490878096</v>
      </c>
      <c r="N38" s="312">
        <f t="shared" ca="1" si="49"/>
        <v>7522079.3765863329</v>
      </c>
      <c r="O38" s="312">
        <f t="shared" ref="O38" ca="1" si="50">O37+O30</f>
        <v>8676756.9065329693</v>
      </c>
      <c r="P38" s="312">
        <f t="shared" ref="P38" ca="1" si="51">P37+P30</f>
        <v>10039934.265980516</v>
      </c>
      <c r="Q38" s="312">
        <f t="shared" ref="Q38" ca="1" si="52">Q37+Q30</f>
        <v>11531609.498254385</v>
      </c>
      <c r="R38" s="312">
        <f t="shared" ref="R38" ca="1" si="53">R37+R30</f>
        <v>13147087.659122285</v>
      </c>
      <c r="S38" s="312">
        <f t="shared" ref="S38" ca="1" si="54">S37+S30</f>
        <v>14914960.063223187</v>
      </c>
      <c r="T38" s="174"/>
      <c r="U38" s="178" t="s">
        <v>61</v>
      </c>
      <c r="Z38" s="155"/>
    </row>
    <row r="39" spans="2:26">
      <c r="D39" s="160"/>
      <c r="E39" s="160"/>
      <c r="F39" s="765"/>
      <c r="G39" s="769"/>
      <c r="H39" s="769"/>
      <c r="I39" s="769"/>
      <c r="J39" s="160"/>
      <c r="K39" s="160"/>
      <c r="L39" s="160"/>
      <c r="M39" s="160"/>
      <c r="N39" s="160"/>
      <c r="O39" s="160"/>
      <c r="P39" s="160"/>
      <c r="Q39" s="160"/>
      <c r="R39" s="160"/>
      <c r="S39" s="160"/>
      <c r="Z39" s="155"/>
    </row>
    <row r="40" spans="2:26">
      <c r="D40" s="164"/>
      <c r="E40" s="164"/>
      <c r="F40" s="165"/>
      <c r="G40" s="165"/>
      <c r="H40" s="166"/>
      <c r="I40" s="166"/>
    </row>
    <row r="41" spans="2:26" ht="15.95">
      <c r="B41" s="623"/>
      <c r="C41" s="624"/>
      <c r="D41" s="624" t="s">
        <v>86</v>
      </c>
      <c r="E41" s="624" t="s">
        <v>87</v>
      </c>
      <c r="F41" s="625" t="s">
        <v>88</v>
      </c>
      <c r="G41" s="625" t="s">
        <v>89</v>
      </c>
      <c r="H41" s="625" t="s">
        <v>90</v>
      </c>
      <c r="I41" s="626" t="s">
        <v>91</v>
      </c>
      <c r="J41" s="627" t="s">
        <v>183</v>
      </c>
      <c r="K41" s="628" t="s">
        <v>184</v>
      </c>
      <c r="L41" s="628" t="s">
        <v>185</v>
      </c>
      <c r="M41" s="628" t="s">
        <v>186</v>
      </c>
      <c r="N41" s="628" t="s">
        <v>187</v>
      </c>
      <c r="O41" s="628" t="s">
        <v>188</v>
      </c>
      <c r="P41" s="628" t="s">
        <v>189</v>
      </c>
      <c r="Q41" s="628" t="s">
        <v>190</v>
      </c>
      <c r="R41" s="628" t="s">
        <v>191</v>
      </c>
      <c r="S41" s="628" t="s">
        <v>192</v>
      </c>
      <c r="T41" s="628" t="s">
        <v>214</v>
      </c>
      <c r="U41" s="629"/>
    </row>
    <row r="42" spans="2:26" ht="15.95">
      <c r="B42" s="630" t="s">
        <v>231</v>
      </c>
      <c r="D42" s="171">
        <f>D5/IS!D3</f>
        <v>2.7885466034054235E-3</v>
      </c>
      <c r="E42" s="171">
        <f>E5/IS!E3</f>
        <v>2.2902383594751328E-3</v>
      </c>
      <c r="F42" s="171">
        <f>F5/IS!F3</f>
        <v>3.5367972656461968E-3</v>
      </c>
      <c r="G42" s="171">
        <f>G5/IS!G3</f>
        <v>2.5152153508708236E-3</v>
      </c>
      <c r="H42" s="171">
        <f>H5/IS!H3</f>
        <v>4.4334207351817596E-3</v>
      </c>
      <c r="I42" s="379">
        <f>I5/IS!I3</f>
        <v>4.0030883669353009E-3</v>
      </c>
      <c r="J42" s="169">
        <f>I42</f>
        <v>4.0030883669353009E-3</v>
      </c>
      <c r="K42" s="631">
        <f t="shared" ref="K42:N42" si="55">J42</f>
        <v>4.0030883669353009E-3</v>
      </c>
      <c r="L42" s="631">
        <f t="shared" si="55"/>
        <v>4.0030883669353009E-3</v>
      </c>
      <c r="M42" s="631">
        <f t="shared" si="55"/>
        <v>4.0030883669353009E-3</v>
      </c>
      <c r="N42" s="631">
        <f t="shared" si="55"/>
        <v>4.0030883669353009E-3</v>
      </c>
      <c r="O42" s="631">
        <f t="shared" ref="O42:S42" si="56">N42</f>
        <v>4.0030883669353009E-3</v>
      </c>
      <c r="P42" s="631">
        <f t="shared" si="56"/>
        <v>4.0030883669353009E-3</v>
      </c>
      <c r="Q42" s="631">
        <f t="shared" si="56"/>
        <v>4.0030883669353009E-3</v>
      </c>
      <c r="R42" s="631">
        <f t="shared" si="56"/>
        <v>4.0030883669353009E-3</v>
      </c>
      <c r="S42" s="631">
        <f t="shared" si="56"/>
        <v>4.0030883669353009E-3</v>
      </c>
      <c r="T42" s="168">
        <f>AVERAGE(D42:I42)</f>
        <v>3.2612177802524393E-3</v>
      </c>
      <c r="U42" s="632"/>
    </row>
    <row r="43" spans="2:26" ht="15.95">
      <c r="B43" s="630" t="s">
        <v>233</v>
      </c>
      <c r="D43" s="171">
        <f>D6/IS!D4</f>
        <v>7.3790841057674333E-2</v>
      </c>
      <c r="E43" s="171">
        <f>E6/IS!E4</f>
        <v>6.2165512890423456E-2</v>
      </c>
      <c r="F43" s="171">
        <f>F6/IS!F4</f>
        <v>6.8211358647138523E-2</v>
      </c>
      <c r="G43" s="171">
        <f>G6/IS!G4</f>
        <v>7.6570786646510472E-2</v>
      </c>
      <c r="H43" s="171">
        <f>H6/IS!H4</f>
        <v>7.4891618505481233E-2</v>
      </c>
      <c r="I43" s="379">
        <f>I6/IS!I4</f>
        <v>7.1859238950822329E-2</v>
      </c>
      <c r="J43" s="169">
        <v>7.0999999999999994E-2</v>
      </c>
      <c r="K43" s="631">
        <v>7.0000000000000007E-2</v>
      </c>
      <c r="L43" s="631">
        <f t="shared" ref="K43:N55" si="57">K43</f>
        <v>7.0000000000000007E-2</v>
      </c>
      <c r="M43" s="631">
        <f t="shared" si="57"/>
        <v>7.0000000000000007E-2</v>
      </c>
      <c r="N43" s="631">
        <f t="shared" si="57"/>
        <v>7.0000000000000007E-2</v>
      </c>
      <c r="O43" s="631">
        <f t="shared" ref="O43:S43" si="58">N43</f>
        <v>7.0000000000000007E-2</v>
      </c>
      <c r="P43" s="631">
        <f t="shared" si="58"/>
        <v>7.0000000000000007E-2</v>
      </c>
      <c r="Q43" s="631">
        <f t="shared" si="58"/>
        <v>7.0000000000000007E-2</v>
      </c>
      <c r="R43" s="631">
        <f t="shared" si="58"/>
        <v>7.0000000000000007E-2</v>
      </c>
      <c r="S43" s="631">
        <f t="shared" si="58"/>
        <v>7.0000000000000007E-2</v>
      </c>
      <c r="T43" s="168">
        <f t="shared" ref="T43:T55" si="59">AVERAGE(D43:I43)</f>
        <v>7.1248226116341726E-2</v>
      </c>
      <c r="U43" s="632"/>
    </row>
    <row r="44" spans="2:26" ht="15.95">
      <c r="B44" s="630" t="s">
        <v>235</v>
      </c>
      <c r="D44" s="171">
        <f>D7/IS!D4</f>
        <v>2.8965108982124945E-3</v>
      </c>
      <c r="E44" s="171">
        <f>E7/IS!E4</f>
        <v>6.6570973744763994E-3</v>
      </c>
      <c r="F44" s="171">
        <f>F7/IS!F4</f>
        <v>9.1161981125552835E-3</v>
      </c>
      <c r="G44" s="171">
        <f>G7/IS!G4</f>
        <v>1.3294510213999747E-2</v>
      </c>
      <c r="H44" s="171">
        <f>H7/IS!H4</f>
        <v>1.1230799924829853E-2</v>
      </c>
      <c r="I44" s="379">
        <f>I7/IS!I4</f>
        <v>7.5622687350388748E-3</v>
      </c>
      <c r="J44" s="169">
        <f>I44</f>
        <v>7.5622687350388748E-3</v>
      </c>
      <c r="K44" s="631">
        <f t="shared" si="57"/>
        <v>7.5622687350388748E-3</v>
      </c>
      <c r="L44" s="631">
        <f t="shared" si="57"/>
        <v>7.5622687350388748E-3</v>
      </c>
      <c r="M44" s="631">
        <f t="shared" si="57"/>
        <v>7.5622687350388748E-3</v>
      </c>
      <c r="N44" s="631">
        <f t="shared" si="57"/>
        <v>7.5622687350388748E-3</v>
      </c>
      <c r="O44" s="631">
        <f t="shared" ref="O44:S45" si="60">N44</f>
        <v>7.5622687350388748E-3</v>
      </c>
      <c r="P44" s="631">
        <f t="shared" si="60"/>
        <v>7.5622687350388748E-3</v>
      </c>
      <c r="Q44" s="631">
        <f t="shared" si="60"/>
        <v>7.5622687350388748E-3</v>
      </c>
      <c r="R44" s="631">
        <f t="shared" si="60"/>
        <v>7.5622687350388748E-3</v>
      </c>
      <c r="S44" s="631">
        <f t="shared" si="60"/>
        <v>7.5622687350388748E-3</v>
      </c>
      <c r="T44" s="168">
        <f t="shared" si="59"/>
        <v>8.4595642098521089E-3</v>
      </c>
      <c r="U44" s="632"/>
    </row>
    <row r="45" spans="2:26" ht="15.95">
      <c r="B45" s="630" t="s">
        <v>239</v>
      </c>
      <c r="D45" s="700">
        <f>D10/'Revenue Model'!D17</f>
        <v>3024.8117647058825</v>
      </c>
      <c r="E45" s="700">
        <f>E10/'Revenue Model'!E17</f>
        <v>2887.8674033149173</v>
      </c>
      <c r="F45" s="700">
        <f>F10/'Revenue Model'!F17</f>
        <v>2866.360962566845</v>
      </c>
      <c r="G45" s="700">
        <f>G10/'Revenue Model'!G17</f>
        <v>2866.6424870466321</v>
      </c>
      <c r="H45" s="700">
        <f>H10/'Revenue Model'!H17</f>
        <v>3250.2555282555281</v>
      </c>
      <c r="I45" s="686">
        <f>I10/'Revenue Model'!I17</f>
        <v>3333.8704545454543</v>
      </c>
      <c r="J45" s="716">
        <v>3400</v>
      </c>
      <c r="K45" s="717">
        <v>3500</v>
      </c>
      <c r="L45" s="717">
        <f t="shared" si="57"/>
        <v>3500</v>
      </c>
      <c r="M45" s="717">
        <v>3400</v>
      </c>
      <c r="N45" s="717">
        <f t="shared" si="57"/>
        <v>3400</v>
      </c>
      <c r="O45" s="717">
        <v>3300</v>
      </c>
      <c r="P45" s="717">
        <f t="shared" si="60"/>
        <v>3300</v>
      </c>
      <c r="Q45" s="717">
        <f t="shared" si="60"/>
        <v>3300</v>
      </c>
      <c r="R45" s="717">
        <f t="shared" si="60"/>
        <v>3300</v>
      </c>
      <c r="S45" s="717">
        <f t="shared" si="60"/>
        <v>3300</v>
      </c>
      <c r="T45" s="244">
        <f t="shared" si="59"/>
        <v>3038.3014334058767</v>
      </c>
      <c r="U45" s="632"/>
    </row>
    <row r="46" spans="2:26" ht="15.95">
      <c r="B46" s="630" t="s">
        <v>245</v>
      </c>
      <c r="D46" s="171">
        <f>D13/IS!D3</f>
        <v>2.0811612052526827E-3</v>
      </c>
      <c r="E46" s="171">
        <f>E13/IS!E3</f>
        <v>2.2721514281178199E-3</v>
      </c>
      <c r="F46" s="171">
        <f>F13/IS!F3</f>
        <v>2.2152934759746478E-3</v>
      </c>
      <c r="G46" s="171">
        <f>G13/IS!G3</f>
        <v>2.181841575472934E-3</v>
      </c>
      <c r="H46" s="171">
        <f>H13/IS!H3</f>
        <v>1.7980560986482548E-3</v>
      </c>
      <c r="I46" s="379">
        <f>I13/IS!I3</f>
        <v>1.7155722870885793E-3</v>
      </c>
      <c r="J46" s="169">
        <v>1.6000000000000001E-3</v>
      </c>
      <c r="K46" s="631">
        <f t="shared" si="57"/>
        <v>1.6000000000000001E-3</v>
      </c>
      <c r="L46" s="631">
        <f t="shared" si="57"/>
        <v>1.6000000000000001E-3</v>
      </c>
      <c r="M46" s="631">
        <f t="shared" si="57"/>
        <v>1.6000000000000001E-3</v>
      </c>
      <c r="N46" s="631">
        <f t="shared" si="57"/>
        <v>1.6000000000000001E-3</v>
      </c>
      <c r="O46" s="631">
        <f t="shared" ref="O46:S46" si="61">N46</f>
        <v>1.6000000000000001E-3</v>
      </c>
      <c r="P46" s="631">
        <f t="shared" si="61"/>
        <v>1.6000000000000001E-3</v>
      </c>
      <c r="Q46" s="631">
        <f t="shared" si="61"/>
        <v>1.6000000000000001E-3</v>
      </c>
      <c r="R46" s="631">
        <f t="shared" si="61"/>
        <v>1.6000000000000001E-3</v>
      </c>
      <c r="S46" s="631">
        <f t="shared" si="61"/>
        <v>1.6000000000000001E-3</v>
      </c>
      <c r="T46" s="168">
        <f t="shared" si="59"/>
        <v>2.0440126784258199E-3</v>
      </c>
      <c r="U46" s="632"/>
    </row>
    <row r="47" spans="2:26" ht="15.95">
      <c r="B47" s="630" t="s">
        <v>248</v>
      </c>
      <c r="D47" s="171">
        <f>D17/IS!D4</f>
        <v>3.2844503113221145E-2</v>
      </c>
      <c r="E47" s="171">
        <f>E17/IS!E4</f>
        <v>3.4072141377733546E-2</v>
      </c>
      <c r="F47" s="171">
        <f>F17/IS!F4</f>
        <v>3.7500350197922867E-2</v>
      </c>
      <c r="G47" s="171">
        <f>G17/IS!G4</f>
        <v>4.2632775585915876E-2</v>
      </c>
      <c r="H47" s="171">
        <f>H17/IS!H4</f>
        <v>4.1692783503721319E-2</v>
      </c>
      <c r="I47" s="379">
        <f>I17/IS!I4</f>
        <v>4.4667848103279353E-2</v>
      </c>
      <c r="J47" s="169">
        <v>4.4999999999999998E-2</v>
      </c>
      <c r="K47" s="631">
        <f t="shared" si="57"/>
        <v>4.4999999999999998E-2</v>
      </c>
      <c r="L47" s="631">
        <f t="shared" si="57"/>
        <v>4.4999999999999998E-2</v>
      </c>
      <c r="M47" s="631">
        <f t="shared" si="57"/>
        <v>4.4999999999999998E-2</v>
      </c>
      <c r="N47" s="631">
        <f t="shared" si="57"/>
        <v>4.4999999999999998E-2</v>
      </c>
      <c r="O47" s="631">
        <f t="shared" ref="O47:S47" si="62">N47</f>
        <v>4.4999999999999998E-2</v>
      </c>
      <c r="P47" s="631">
        <f t="shared" si="62"/>
        <v>4.4999999999999998E-2</v>
      </c>
      <c r="Q47" s="631">
        <f t="shared" si="62"/>
        <v>4.4999999999999998E-2</v>
      </c>
      <c r="R47" s="631">
        <f t="shared" si="62"/>
        <v>4.4999999999999998E-2</v>
      </c>
      <c r="S47" s="631">
        <f t="shared" si="62"/>
        <v>4.4999999999999998E-2</v>
      </c>
      <c r="T47" s="168">
        <f t="shared" si="59"/>
        <v>3.890173364696569E-2</v>
      </c>
      <c r="U47" s="632"/>
    </row>
    <row r="48" spans="2:26" ht="15.95">
      <c r="B48" s="630" t="s">
        <v>249</v>
      </c>
      <c r="D48" s="171">
        <f>D18/IS!D$6</f>
        <v>8.8069551211938768E-2</v>
      </c>
      <c r="E48" s="171">
        <f>E18/IS!E$6</f>
        <v>7.6937810543552143E-2</v>
      </c>
      <c r="F48" s="171">
        <f>F18/IS!F$6</f>
        <v>8.9232098066302293E-2</v>
      </c>
      <c r="G48" s="171">
        <f>G18/IS!G$6</f>
        <v>8.1538049491040598E-2</v>
      </c>
      <c r="H48" s="171">
        <f>H18/IS!H$6</f>
        <v>8.2425490030428358E-2</v>
      </c>
      <c r="I48" s="379">
        <f>I18/IS!I$6</f>
        <v>9.4635040478320637E-2</v>
      </c>
      <c r="J48" s="169">
        <f>AVERAGE(D48:I48)</f>
        <v>8.5473006636930471E-2</v>
      </c>
      <c r="K48" s="631">
        <f t="shared" si="57"/>
        <v>8.5473006636930471E-2</v>
      </c>
      <c r="L48" s="631">
        <f t="shared" si="57"/>
        <v>8.5473006636930471E-2</v>
      </c>
      <c r="M48" s="631">
        <f t="shared" si="57"/>
        <v>8.5473006636930471E-2</v>
      </c>
      <c r="N48" s="631">
        <f t="shared" si="57"/>
        <v>8.5473006636930471E-2</v>
      </c>
      <c r="O48" s="631">
        <f t="shared" ref="O48:S48" si="63">N48</f>
        <v>8.5473006636930471E-2</v>
      </c>
      <c r="P48" s="631">
        <f t="shared" si="63"/>
        <v>8.5473006636930471E-2</v>
      </c>
      <c r="Q48" s="631">
        <f t="shared" si="63"/>
        <v>8.5473006636930471E-2</v>
      </c>
      <c r="R48" s="631">
        <f t="shared" si="63"/>
        <v>8.5473006636930471E-2</v>
      </c>
      <c r="S48" s="631">
        <f t="shared" si="63"/>
        <v>8.5473006636930471E-2</v>
      </c>
      <c r="T48" s="168">
        <f t="shared" si="59"/>
        <v>8.5473006636930471E-2</v>
      </c>
      <c r="U48" s="632"/>
    </row>
    <row r="49" spans="2:22" ht="15.95">
      <c r="B49" s="630" t="s">
        <v>251</v>
      </c>
      <c r="D49" s="171">
        <f>D19/IS!D$6</f>
        <v>3.1347215957597145E-2</v>
      </c>
      <c r="E49" s="171">
        <f>E19/IS!E$6</f>
        <v>4.1148278124696534E-2</v>
      </c>
      <c r="F49" s="171">
        <f>F19/IS!F$6</f>
        <v>3.3601894514659322E-2</v>
      </c>
      <c r="G49" s="171">
        <f>G19/IS!G$6</f>
        <v>3.3181921796632874E-2</v>
      </c>
      <c r="H49" s="171">
        <f>H19/IS!H$6</f>
        <v>3.7367835128024524E-2</v>
      </c>
      <c r="I49" s="379">
        <f>I19/IS!I$6</f>
        <v>4.2765618521832111E-2</v>
      </c>
      <c r="J49" s="169">
        <v>4.2999999999999997E-2</v>
      </c>
      <c r="K49" s="631">
        <f t="shared" si="57"/>
        <v>4.2999999999999997E-2</v>
      </c>
      <c r="L49" s="631">
        <f t="shared" si="57"/>
        <v>4.2999999999999997E-2</v>
      </c>
      <c r="M49" s="631">
        <f t="shared" si="57"/>
        <v>4.2999999999999997E-2</v>
      </c>
      <c r="N49" s="631">
        <f t="shared" si="57"/>
        <v>4.2999999999999997E-2</v>
      </c>
      <c r="O49" s="631">
        <f t="shared" ref="O49:S49" si="64">N49</f>
        <v>4.2999999999999997E-2</v>
      </c>
      <c r="P49" s="631">
        <f t="shared" si="64"/>
        <v>4.2999999999999997E-2</v>
      </c>
      <c r="Q49" s="631">
        <f t="shared" si="64"/>
        <v>4.2999999999999997E-2</v>
      </c>
      <c r="R49" s="631">
        <f t="shared" si="64"/>
        <v>4.2999999999999997E-2</v>
      </c>
      <c r="S49" s="631">
        <f t="shared" si="64"/>
        <v>4.2999999999999997E-2</v>
      </c>
      <c r="T49" s="168">
        <f t="shared" si="59"/>
        <v>3.6568794007240418E-2</v>
      </c>
      <c r="U49" s="632"/>
    </row>
    <row r="50" spans="2:22" ht="15.95">
      <c r="B50" s="630" t="s">
        <v>253</v>
      </c>
      <c r="D50" s="171">
        <f>D21/D24</f>
        <v>9.8387564682318643E-2</v>
      </c>
      <c r="E50" s="171">
        <f>E21/E24</f>
        <v>0.12691403273385163</v>
      </c>
      <c r="F50" s="171">
        <f>F21/F24</f>
        <v>0.13847408863327157</v>
      </c>
      <c r="G50" s="171">
        <f>G21/G24</f>
        <v>0.11839608513298865</v>
      </c>
      <c r="H50" s="171">
        <f>H21/H24</f>
        <v>9.0214449629771459E-2</v>
      </c>
      <c r="I50" s="379">
        <f>I21/I24</f>
        <v>9.8929665217803137E-2</v>
      </c>
      <c r="J50" s="169">
        <f>I50</f>
        <v>9.8929665217803137E-2</v>
      </c>
      <c r="K50" s="631">
        <f t="shared" si="57"/>
        <v>9.8929665217803137E-2</v>
      </c>
      <c r="L50" s="631">
        <f t="shared" si="57"/>
        <v>9.8929665217803137E-2</v>
      </c>
      <c r="M50" s="631">
        <f t="shared" si="57"/>
        <v>9.8929665217803137E-2</v>
      </c>
      <c r="N50" s="631">
        <f t="shared" si="57"/>
        <v>9.8929665217803137E-2</v>
      </c>
      <c r="O50" s="631">
        <f t="shared" ref="O50:S50" si="65">N50</f>
        <v>9.8929665217803137E-2</v>
      </c>
      <c r="P50" s="631">
        <f t="shared" si="65"/>
        <v>9.8929665217803137E-2</v>
      </c>
      <c r="Q50" s="631">
        <f t="shared" si="65"/>
        <v>9.8929665217803137E-2</v>
      </c>
      <c r="R50" s="631">
        <f t="shared" si="65"/>
        <v>9.8929665217803137E-2</v>
      </c>
      <c r="S50" s="631">
        <f t="shared" si="65"/>
        <v>9.8929665217803137E-2</v>
      </c>
      <c r="T50" s="168">
        <f t="shared" si="59"/>
        <v>0.11188598100500086</v>
      </c>
      <c r="U50" s="632"/>
    </row>
    <row r="51" spans="2:22" ht="15.95">
      <c r="B51" s="630" t="s">
        <v>255</v>
      </c>
      <c r="D51" s="171">
        <f>D22/D26</f>
        <v>6.6030300376565376E-2</v>
      </c>
      <c r="E51" s="171">
        <f>E22/E26</f>
        <v>9.1691366287407969E-2</v>
      </c>
      <c r="F51" s="171">
        <f>F22/F26</f>
        <v>0.11164043082021541</v>
      </c>
      <c r="G51" s="171">
        <f>G22/G26</f>
        <v>0.11368231858009437</v>
      </c>
      <c r="H51" s="171">
        <f>H22/H26</f>
        <v>0.11882556131260795</v>
      </c>
      <c r="I51" s="171">
        <f>I22/I26</f>
        <v>0.18225717439293598</v>
      </c>
      <c r="J51" s="169">
        <v>0.2</v>
      </c>
      <c r="K51" s="631">
        <f t="shared" si="57"/>
        <v>0.2</v>
      </c>
      <c r="L51" s="631">
        <f t="shared" si="57"/>
        <v>0.2</v>
      </c>
      <c r="M51" s="631">
        <f t="shared" si="57"/>
        <v>0.2</v>
      </c>
      <c r="N51" s="631">
        <f t="shared" si="57"/>
        <v>0.2</v>
      </c>
      <c r="O51" s="631">
        <f t="shared" ref="O51:S51" si="66">N51</f>
        <v>0.2</v>
      </c>
      <c r="P51" s="631">
        <f t="shared" si="66"/>
        <v>0.2</v>
      </c>
      <c r="Q51" s="631">
        <f t="shared" si="66"/>
        <v>0.2</v>
      </c>
      <c r="R51" s="631">
        <f t="shared" si="66"/>
        <v>0.2</v>
      </c>
      <c r="S51" s="631">
        <f t="shared" si="66"/>
        <v>0.2</v>
      </c>
      <c r="T51" s="168">
        <f t="shared" si="59"/>
        <v>0.11402119196163785</v>
      </c>
      <c r="U51" s="632"/>
    </row>
    <row r="52" spans="2:22" ht="15.95">
      <c r="B52" s="630" t="s">
        <v>258</v>
      </c>
      <c r="D52" s="171">
        <f>D24/D10</f>
        <v>1.0490949363888467</v>
      </c>
      <c r="E52" s="171">
        <f>E24/E10</f>
        <v>1.0230790275184425</v>
      </c>
      <c r="F52" s="171">
        <f>F24/F10</f>
        <v>1.0222850527835794</v>
      </c>
      <c r="G52" s="171">
        <f>G24/G10</f>
        <v>1.0349282979854029</v>
      </c>
      <c r="H52" s="171">
        <f>H24/H10</f>
        <v>1.0580729241473359</v>
      </c>
      <c r="I52" s="379">
        <f>I24/I10</f>
        <v>1.0363820920674374</v>
      </c>
      <c r="J52" s="169">
        <f>I52</f>
        <v>1.0363820920674374</v>
      </c>
      <c r="K52" s="631">
        <f>J52</f>
        <v>1.0363820920674374</v>
      </c>
      <c r="L52" s="631">
        <f t="shared" si="57"/>
        <v>1.0363820920674374</v>
      </c>
      <c r="M52" s="631">
        <f t="shared" si="57"/>
        <v>1.0363820920674374</v>
      </c>
      <c r="N52" s="631">
        <f t="shared" si="57"/>
        <v>1.0363820920674374</v>
      </c>
      <c r="O52" s="631">
        <f t="shared" ref="O52:S53" si="67">N52</f>
        <v>1.0363820920674374</v>
      </c>
      <c r="P52" s="631">
        <f t="shared" si="67"/>
        <v>1.0363820920674374</v>
      </c>
      <c r="Q52" s="631">
        <f t="shared" si="67"/>
        <v>1.0363820920674374</v>
      </c>
      <c r="R52" s="631">
        <f t="shared" si="67"/>
        <v>1.0363820920674374</v>
      </c>
      <c r="S52" s="631">
        <f t="shared" si="67"/>
        <v>1.0363820920674374</v>
      </c>
      <c r="T52" s="168">
        <f t="shared" si="59"/>
        <v>1.0373070551485075</v>
      </c>
      <c r="U52" s="632"/>
    </row>
    <row r="53" spans="2:22" ht="15.95">
      <c r="B53" s="630" t="s">
        <v>262</v>
      </c>
      <c r="D53" s="700">
        <f>D26/'Revenue Model'!D17</f>
        <v>33.585294117647059</v>
      </c>
      <c r="E53" s="700">
        <f>E26/'Revenue Model'!E17</f>
        <v>28.892265193370164</v>
      </c>
      <c r="F53" s="700">
        <f>F26/'Revenue Model'!F17</f>
        <v>25.818181818181817</v>
      </c>
      <c r="G53" s="700">
        <f>G26/'Revenue Model'!G17</f>
        <v>23.062176165803109</v>
      </c>
      <c r="H53" s="700">
        <f>H26/'Revenue Model'!H17</f>
        <v>21.339066339066338</v>
      </c>
      <c r="I53" s="700">
        <f>I26/'Revenue Model'!I17</f>
        <v>16.472727272727273</v>
      </c>
      <c r="J53" s="716">
        <v>16</v>
      </c>
      <c r="K53" s="717">
        <v>15.6</v>
      </c>
      <c r="L53" s="717">
        <v>15.2</v>
      </c>
      <c r="M53" s="717">
        <v>14.8</v>
      </c>
      <c r="N53" s="717">
        <f>M53</f>
        <v>14.8</v>
      </c>
      <c r="O53" s="717">
        <f t="shared" si="67"/>
        <v>14.8</v>
      </c>
      <c r="P53" s="717">
        <f t="shared" si="67"/>
        <v>14.8</v>
      </c>
      <c r="Q53" s="717">
        <f t="shared" si="67"/>
        <v>14.8</v>
      </c>
      <c r="R53" s="717">
        <f t="shared" si="67"/>
        <v>14.8</v>
      </c>
      <c r="S53" s="717">
        <f t="shared" si="67"/>
        <v>14.8</v>
      </c>
      <c r="T53" s="244">
        <f t="shared" si="59"/>
        <v>24.861618484465961</v>
      </c>
      <c r="U53" s="632"/>
    </row>
    <row r="54" spans="2:22" ht="15.95">
      <c r="B54" s="630" t="s">
        <v>265</v>
      </c>
      <c r="D54" s="171">
        <f>D28/IS!D3</f>
        <v>7.3679176053957213E-3</v>
      </c>
      <c r="E54" s="171">
        <f>E28/IS!E3</f>
        <v>6.3245515870973086E-3</v>
      </c>
      <c r="F54" s="171">
        <f>F28/IS!F3</f>
        <v>5.951931098848188E-3</v>
      </c>
      <c r="G54" s="171">
        <f>G28/IS!G3</f>
        <v>5.674380795297103E-3</v>
      </c>
      <c r="H54" s="171">
        <f>H28/IS!H3</f>
        <v>5.3046603788817481E-3</v>
      </c>
      <c r="I54" s="379">
        <f>I28/IS!I3</f>
        <v>4.9562848396678969E-3</v>
      </c>
      <c r="J54" s="169">
        <v>4.4999999999999997E-3</v>
      </c>
      <c r="K54" s="631">
        <f t="shared" si="57"/>
        <v>4.4999999999999997E-3</v>
      </c>
      <c r="L54" s="631">
        <f t="shared" si="57"/>
        <v>4.4999999999999997E-3</v>
      </c>
      <c r="M54" s="631">
        <f t="shared" si="57"/>
        <v>4.4999999999999997E-3</v>
      </c>
      <c r="N54" s="631">
        <f t="shared" si="57"/>
        <v>4.4999999999999997E-3</v>
      </c>
      <c r="O54" s="631">
        <f t="shared" ref="O54:S54" si="68">N54</f>
        <v>4.4999999999999997E-3</v>
      </c>
      <c r="P54" s="631">
        <f t="shared" si="68"/>
        <v>4.4999999999999997E-3</v>
      </c>
      <c r="Q54" s="631">
        <f t="shared" si="68"/>
        <v>4.4999999999999997E-3</v>
      </c>
      <c r="R54" s="631">
        <f t="shared" si="68"/>
        <v>4.4999999999999997E-3</v>
      </c>
      <c r="S54" s="631">
        <f t="shared" si="68"/>
        <v>4.4999999999999997E-3</v>
      </c>
      <c r="T54" s="168">
        <f t="shared" si="59"/>
        <v>5.929954384197994E-3</v>
      </c>
      <c r="U54" s="632"/>
    </row>
    <row r="55" spans="2:22" ht="15.95">
      <c r="B55" s="633" t="s">
        <v>266</v>
      </c>
      <c r="C55" s="634"/>
      <c r="D55" s="635">
        <f>D29/IS!D12</f>
        <v>0.27708902573304517</v>
      </c>
      <c r="E55" s="635">
        <f>E29/IS!E12</f>
        <v>0.15408965235434277</v>
      </c>
      <c r="F55" s="635">
        <f>F29/IS!F12</f>
        <v>0.17957951810218617</v>
      </c>
      <c r="G55" s="635">
        <f>G29/IS!G12</f>
        <v>0.17498060478711069</v>
      </c>
      <c r="H55" s="635">
        <f>H29/IS!H12</f>
        <v>0.18147727933903532</v>
      </c>
      <c r="I55" s="636">
        <f>I29/IS!I12</f>
        <v>0.14418647794149572</v>
      </c>
      <c r="J55" s="637">
        <v>0.14000000000000001</v>
      </c>
      <c r="K55" s="638">
        <f t="shared" si="57"/>
        <v>0.14000000000000001</v>
      </c>
      <c r="L55" s="638">
        <f t="shared" si="57"/>
        <v>0.14000000000000001</v>
      </c>
      <c r="M55" s="638">
        <f t="shared" si="57"/>
        <v>0.14000000000000001</v>
      </c>
      <c r="N55" s="638">
        <f t="shared" si="57"/>
        <v>0.14000000000000001</v>
      </c>
      <c r="O55" s="638">
        <f t="shared" ref="O55:S55" si="69">N55</f>
        <v>0.14000000000000001</v>
      </c>
      <c r="P55" s="638">
        <f t="shared" si="69"/>
        <v>0.14000000000000001</v>
      </c>
      <c r="Q55" s="638">
        <f t="shared" si="69"/>
        <v>0.14000000000000001</v>
      </c>
      <c r="R55" s="638">
        <f t="shared" si="69"/>
        <v>0.14000000000000001</v>
      </c>
      <c r="S55" s="638">
        <f t="shared" si="69"/>
        <v>0.14000000000000001</v>
      </c>
      <c r="T55" s="639">
        <f t="shared" si="59"/>
        <v>0.18523375970953596</v>
      </c>
      <c r="U55" s="640"/>
    </row>
    <row r="56" spans="2:22">
      <c r="D56" s="171"/>
      <c r="E56" s="171"/>
      <c r="F56" s="171"/>
      <c r="G56" s="171"/>
      <c r="H56" s="171"/>
      <c r="I56" s="171"/>
      <c r="J56" s="179"/>
      <c r="K56" s="179"/>
      <c r="L56" s="179"/>
      <c r="M56" s="179"/>
      <c r="N56" s="179"/>
      <c r="O56" s="179"/>
      <c r="P56" s="179"/>
      <c r="Q56" s="179"/>
      <c r="R56" s="179"/>
      <c r="S56" s="179"/>
    </row>
    <row r="57" spans="2:22">
      <c r="D57" s="171"/>
      <c r="E57" s="171"/>
      <c r="F57" s="171"/>
      <c r="G57" s="171"/>
      <c r="H57" s="171"/>
      <c r="I57" s="171"/>
      <c r="J57" s="180"/>
      <c r="K57" s="180"/>
      <c r="L57" s="180"/>
      <c r="M57" s="180"/>
      <c r="N57" s="180"/>
      <c r="O57" s="180"/>
      <c r="P57" s="180"/>
      <c r="Q57" s="180"/>
      <c r="R57" s="180"/>
      <c r="S57" s="180"/>
    </row>
    <row r="58" spans="2:22" ht="15.95">
      <c r="B58" s="409" t="s">
        <v>277</v>
      </c>
      <c r="C58" s="490"/>
      <c r="D58" s="480" t="s">
        <v>86</v>
      </c>
      <c r="E58" s="480" t="s">
        <v>87</v>
      </c>
      <c r="F58" s="479" t="s">
        <v>88</v>
      </c>
      <c r="G58" s="479" t="s">
        <v>89</v>
      </c>
      <c r="H58" s="479" t="s">
        <v>90</v>
      </c>
      <c r="I58" s="482" t="s">
        <v>91</v>
      </c>
      <c r="J58" s="478" t="s">
        <v>183</v>
      </c>
      <c r="K58" s="499" t="s">
        <v>184</v>
      </c>
      <c r="L58" s="499" t="s">
        <v>185</v>
      </c>
      <c r="M58" s="499" t="s">
        <v>186</v>
      </c>
      <c r="N58" s="499" t="s">
        <v>187</v>
      </c>
      <c r="O58" s="499" t="s">
        <v>188</v>
      </c>
      <c r="P58" s="499" t="s">
        <v>189</v>
      </c>
      <c r="Q58" s="499" t="s">
        <v>190</v>
      </c>
      <c r="R58" s="499" t="s">
        <v>191</v>
      </c>
      <c r="S58" s="499" t="s">
        <v>192</v>
      </c>
      <c r="T58" s="480"/>
      <c r="U58" s="481"/>
    </row>
    <row r="59" spans="2:22">
      <c r="B59" s="181" t="s">
        <v>278</v>
      </c>
      <c r="E59" s="183">
        <f>D36</f>
        <v>-84449</v>
      </c>
      <c r="F59" s="183">
        <f>E36</f>
        <v>203001</v>
      </c>
      <c r="G59" s="183">
        <f>F36</f>
        <v>258822</v>
      </c>
      <c r="H59" s="183">
        <f>G36</f>
        <v>320012</v>
      </c>
      <c r="I59" s="183">
        <f>H36</f>
        <v>373612</v>
      </c>
      <c r="J59" s="183">
        <f>I36</f>
        <v>513654</v>
      </c>
      <c r="K59" s="183">
        <f ca="1">J36</f>
        <v>751731.879663851</v>
      </c>
      <c r="L59" s="183">
        <f ca="1">K36</f>
        <v>1089477.4531019011</v>
      </c>
      <c r="M59" s="183">
        <f ca="1">L36</f>
        <v>1555376.0388505608</v>
      </c>
      <c r="N59" s="183">
        <f ca="1">M36</f>
        <v>2200969.8508836729</v>
      </c>
      <c r="O59" s="183">
        <f ca="1">N36</f>
        <v>3007267.1411682754</v>
      </c>
      <c r="P59" s="183">
        <f ca="1">O36</f>
        <v>4008835.9872301705</v>
      </c>
      <c r="Q59" s="183">
        <f ca="1">P36</f>
        <v>5179502.129906686</v>
      </c>
      <c r="R59" s="183">
        <f ca="1">Q36</f>
        <v>6514165.1641859189</v>
      </c>
      <c r="S59" s="183">
        <f ca="1">R36</f>
        <v>7987140.7756473944</v>
      </c>
      <c r="T59" s="183"/>
      <c r="U59" s="170"/>
    </row>
    <row r="60" spans="2:22">
      <c r="B60" s="184" t="s">
        <v>279</v>
      </c>
      <c r="D60" s="182"/>
      <c r="E60" s="182">
        <f>IS!E14</f>
        <v>287450</v>
      </c>
      <c r="F60" s="182">
        <f>IS!F14</f>
        <v>244157</v>
      </c>
      <c r="G60" s="182">
        <f>IS!G14</f>
        <v>261164</v>
      </c>
      <c r="H60" s="182">
        <f>IS!H14</f>
        <v>258856</v>
      </c>
      <c r="I60" s="182">
        <f>IS!I14</f>
        <v>380601</v>
      </c>
      <c r="J60" s="182">
        <f ca="1">IS!J14</f>
        <v>463077.879663851</v>
      </c>
      <c r="K60" s="182">
        <f ca="1">IS!K14</f>
        <v>562745.57343805011</v>
      </c>
      <c r="L60" s="182">
        <f ca="1">IS!L14</f>
        <v>690898.5857486598</v>
      </c>
      <c r="M60" s="182">
        <f ca="1">IS!M14</f>
        <v>870593.81203311216</v>
      </c>
      <c r="N60" s="182">
        <f ca="1">IS!N14</f>
        <v>1031297.2902846026</v>
      </c>
      <c r="O60" s="182">
        <f ca="1">IS!O14</f>
        <v>1226568.8460618956</v>
      </c>
      <c r="P60" s="182">
        <f ca="1">IS!P14</f>
        <v>1395666.1426765155</v>
      </c>
      <c r="Q60" s="182">
        <f ca="1">IS!Q14</f>
        <v>1559663.0342792326</v>
      </c>
      <c r="R60" s="182">
        <f ca="1">IS!R14</f>
        <v>1697975.611461475</v>
      </c>
      <c r="S60" s="182">
        <f ca="1">IS!S14</f>
        <v>1843043.8996959855</v>
      </c>
      <c r="T60" s="182"/>
      <c r="U60" s="170"/>
    </row>
    <row r="61" spans="2:22">
      <c r="B61" s="184" t="s">
        <v>280</v>
      </c>
      <c r="E61" s="154">
        <v>0</v>
      </c>
      <c r="F61" s="154">
        <v>0</v>
      </c>
      <c r="G61" s="154">
        <v>0</v>
      </c>
      <c r="H61" s="154">
        <v>0</v>
      </c>
      <c r="I61" s="154">
        <v>0</v>
      </c>
      <c r="J61" s="274">
        <v>0</v>
      </c>
      <c r="K61" s="274">
        <v>0</v>
      </c>
      <c r="L61" s="274">
        <v>0</v>
      </c>
      <c r="M61" s="274">
        <v>0</v>
      </c>
      <c r="N61" s="274">
        <v>0</v>
      </c>
      <c r="O61" s="274">
        <v>0</v>
      </c>
      <c r="P61" s="274">
        <v>0</v>
      </c>
      <c r="Q61" s="274">
        <v>0</v>
      </c>
      <c r="R61" s="274">
        <v>0</v>
      </c>
      <c r="S61" s="274">
        <v>0</v>
      </c>
      <c r="U61" s="170"/>
    </row>
    <row r="62" spans="2:22">
      <c r="B62" s="187" t="s">
        <v>281</v>
      </c>
      <c r="E62" s="160">
        <f>'Historical CF'!C33</f>
        <v>0</v>
      </c>
      <c r="F62" s="160">
        <f>'Historical CF'!D33</f>
        <v>-188343</v>
      </c>
      <c r="G62" s="160">
        <f>'Historical CF'!E33</f>
        <v>-199980</v>
      </c>
      <c r="H62" s="160">
        <f>'Historical CF'!F33</f>
        <v>-203496</v>
      </c>
      <c r="I62" s="160">
        <f>'Historical CF'!G33</f>
        <v>-228472</v>
      </c>
      <c r="J62" s="320">
        <v>-225000</v>
      </c>
      <c r="K62" s="320">
        <v>-225000</v>
      </c>
      <c r="L62" s="320">
        <v>-225000</v>
      </c>
      <c r="M62" s="320">
        <v>-225000</v>
      </c>
      <c r="N62" s="320">
        <v>-225000</v>
      </c>
      <c r="O62" s="320">
        <v>-225000</v>
      </c>
      <c r="P62" s="320">
        <v>-225000</v>
      </c>
      <c r="Q62" s="320">
        <v>-225000</v>
      </c>
      <c r="R62" s="320">
        <v>-225000</v>
      </c>
      <c r="S62" s="274">
        <v>-225000</v>
      </c>
      <c r="U62" s="170"/>
      <c r="V62" s="154" t="s">
        <v>282</v>
      </c>
    </row>
    <row r="63" spans="2:22">
      <c r="B63" s="185" t="s">
        <v>283</v>
      </c>
      <c r="C63" s="174"/>
      <c r="D63" s="174"/>
      <c r="E63" s="394"/>
      <c r="F63" s="394"/>
      <c r="G63" s="394"/>
      <c r="H63" s="394"/>
      <c r="I63" s="394"/>
      <c r="J63" s="394">
        <f ca="1">J59+J60+J61+J62</f>
        <v>751731.879663851</v>
      </c>
      <c r="K63" s="394">
        <f ca="1">K59+K60+K61+K62</f>
        <v>1089477.4531019011</v>
      </c>
      <c r="L63" s="394">
        <f ca="1">L59+L60+L61+L62</f>
        <v>1555376.0388505608</v>
      </c>
      <c r="M63" s="394">
        <f ca="1">M59+M60+M61+M62</f>
        <v>2200969.8508836729</v>
      </c>
      <c r="N63" s="394">
        <f ca="1">N59+N60+N61+N62</f>
        <v>3007267.1411682754</v>
      </c>
      <c r="O63" s="394">
        <f t="shared" ref="O63:S63" ca="1" si="70">O59+O60+O61+O62</f>
        <v>4008835.9872301705</v>
      </c>
      <c r="P63" s="394">
        <f t="shared" ca="1" si="70"/>
        <v>5179502.129906686</v>
      </c>
      <c r="Q63" s="394">
        <f t="shared" ca="1" si="70"/>
        <v>6514165.1641859189</v>
      </c>
      <c r="R63" s="394">
        <f t="shared" ca="1" si="70"/>
        <v>7987140.7756473944</v>
      </c>
      <c r="S63" s="394">
        <f t="shared" ca="1" si="70"/>
        <v>9605184.6753433794</v>
      </c>
      <c r="T63" s="394"/>
      <c r="U63" s="178"/>
    </row>
    <row r="64" spans="2:22">
      <c r="B64" s="186"/>
      <c r="E64" s="183"/>
      <c r="F64" s="183"/>
      <c r="G64" s="183"/>
      <c r="H64" s="183"/>
      <c r="I64" s="183"/>
      <c r="J64" s="183"/>
      <c r="K64" s="183"/>
      <c r="L64" s="183"/>
      <c r="M64" s="183"/>
      <c r="N64" s="183"/>
      <c r="O64" s="183"/>
      <c r="P64" s="183"/>
      <c r="Q64" s="183"/>
      <c r="R64" s="183"/>
      <c r="S64" s="183"/>
      <c r="T64" s="183"/>
    </row>
    <row r="65" spans="2:36">
      <c r="B65" s="386" t="s">
        <v>284</v>
      </c>
      <c r="C65" s="484"/>
      <c r="D65" s="484"/>
      <c r="E65" s="492"/>
      <c r="F65" s="492"/>
      <c r="G65" s="492"/>
      <c r="H65" s="492"/>
      <c r="I65" s="492">
        <f>DCF!M4</f>
        <v>98585382</v>
      </c>
      <c r="J65" s="492">
        <f>I65+J62/J66</f>
        <v>98584175.840375021</v>
      </c>
      <c r="K65" s="493">
        <f t="shared" ref="K65" si="71">J65+K62/K66</f>
        <v>98583078.194064319</v>
      </c>
      <c r="L65" s="183"/>
      <c r="M65" s="183"/>
      <c r="N65" s="183"/>
      <c r="O65" s="183"/>
      <c r="P65" s="183"/>
      <c r="Q65" s="183"/>
      <c r="R65" s="183"/>
      <c r="S65" s="183"/>
      <c r="T65" s="183"/>
    </row>
    <row r="66" spans="2:36">
      <c r="B66" s="185" t="s">
        <v>285</v>
      </c>
      <c r="C66" s="174"/>
      <c r="D66" s="174"/>
      <c r="E66" s="394"/>
      <c r="F66" s="394"/>
      <c r="G66" s="394"/>
      <c r="H66" s="394"/>
      <c r="I66" s="394">
        <f>Cover!E16</f>
        <v>169.76</v>
      </c>
      <c r="J66" s="394">
        <f>I66*(1+DCF!$D$4)</f>
        <v>186.54247359999999</v>
      </c>
      <c r="K66" s="494">
        <f>J66*(1+DCF!$D$4)</f>
        <v>204.98406254009598</v>
      </c>
      <c r="L66" s="183"/>
      <c r="M66" s="183"/>
      <c r="N66" s="183"/>
      <c r="O66" s="183"/>
      <c r="P66" s="183"/>
      <c r="Q66" s="183"/>
      <c r="R66" s="183"/>
      <c r="S66" s="183"/>
      <c r="T66" s="183"/>
    </row>
    <row r="67" spans="2:36">
      <c r="B67" s="186"/>
      <c r="D67" s="168"/>
      <c r="E67" s="168"/>
      <c r="F67" s="168"/>
      <c r="G67" s="168"/>
      <c r="H67" s="168"/>
      <c r="I67" s="168"/>
      <c r="J67" s="155"/>
      <c r="K67" s="155"/>
      <c r="L67" s="155"/>
      <c r="M67" s="155"/>
      <c r="N67" s="155"/>
      <c r="O67" s="155"/>
      <c r="P67" s="155"/>
      <c r="Q67" s="155"/>
      <c r="R67" s="155"/>
      <c r="S67" s="155"/>
    </row>
    <row r="68" spans="2:36" ht="15.95">
      <c r="B68" s="491" t="s">
        <v>286</v>
      </c>
      <c r="C68" s="480"/>
      <c r="D68" s="480" t="s">
        <v>86</v>
      </c>
      <c r="E68" s="480" t="s">
        <v>87</v>
      </c>
      <c r="F68" s="479" t="s">
        <v>88</v>
      </c>
      <c r="G68" s="479" t="s">
        <v>89</v>
      </c>
      <c r="H68" s="479" t="s">
        <v>90</v>
      </c>
      <c r="I68" s="482" t="s">
        <v>91</v>
      </c>
      <c r="J68" s="499" t="s">
        <v>183</v>
      </c>
      <c r="K68" s="499" t="s">
        <v>184</v>
      </c>
      <c r="L68" s="499" t="s">
        <v>185</v>
      </c>
      <c r="M68" s="499" t="s">
        <v>186</v>
      </c>
      <c r="N68" s="499" t="s">
        <v>187</v>
      </c>
      <c r="O68" s="499" t="s">
        <v>188</v>
      </c>
      <c r="P68" s="499" t="s">
        <v>189</v>
      </c>
      <c r="Q68" s="499" t="s">
        <v>190</v>
      </c>
      <c r="R68" s="499" t="s">
        <v>191</v>
      </c>
      <c r="S68" s="499" t="s">
        <v>192</v>
      </c>
      <c r="T68" s="480"/>
      <c r="U68" s="481"/>
    </row>
    <row r="69" spans="2:36">
      <c r="B69" s="428" t="s">
        <v>287</v>
      </c>
      <c r="D69" s="502">
        <v>15753</v>
      </c>
      <c r="E69" s="502">
        <v>15753</v>
      </c>
      <c r="F69" s="502">
        <v>15753</v>
      </c>
      <c r="G69" s="502">
        <v>15753</v>
      </c>
      <c r="H69" s="502">
        <v>16562</v>
      </c>
      <c r="I69" s="503">
        <v>16859</v>
      </c>
      <c r="J69" s="592"/>
      <c r="K69" s="592"/>
      <c r="L69" s="592"/>
      <c r="M69" s="592"/>
      <c r="N69" s="592"/>
      <c r="O69" s="592"/>
      <c r="P69" s="592"/>
      <c r="Q69" s="592"/>
      <c r="R69" s="592"/>
      <c r="S69" s="592"/>
      <c r="T69" s="484"/>
      <c r="U69" s="485"/>
    </row>
    <row r="70" spans="2:36">
      <c r="B70" s="428" t="s">
        <v>288</v>
      </c>
      <c r="D70" s="502">
        <v>666050</v>
      </c>
      <c r="E70" s="502">
        <v>745514</v>
      </c>
      <c r="F70" s="502">
        <v>797169</v>
      </c>
      <c r="G70" s="502">
        <v>850357</v>
      </c>
      <c r="H70" s="502">
        <v>1002824</v>
      </c>
      <c r="I70" s="503">
        <v>1129303</v>
      </c>
      <c r="J70" s="310"/>
      <c r="K70" s="310"/>
      <c r="L70" s="310"/>
      <c r="M70" s="310"/>
      <c r="N70" s="310"/>
      <c r="O70" s="310"/>
      <c r="P70" s="310"/>
      <c r="Q70" s="310"/>
      <c r="R70" s="310"/>
      <c r="S70" s="310"/>
      <c r="U70" s="170"/>
    </row>
    <row r="71" spans="2:36">
      <c r="B71" s="428" t="s">
        <v>289</v>
      </c>
      <c r="D71" s="502">
        <v>589211</v>
      </c>
      <c r="E71" s="502">
        <v>638149</v>
      </c>
      <c r="F71" s="502">
        <v>665237</v>
      </c>
      <c r="G71" s="502">
        <v>679880</v>
      </c>
      <c r="H71" s="502">
        <v>715489</v>
      </c>
      <c r="I71" s="503">
        <v>831020</v>
      </c>
      <c r="J71" s="310"/>
      <c r="K71" s="310"/>
      <c r="L71" s="310"/>
      <c r="M71" s="310"/>
      <c r="N71" s="310"/>
      <c r="O71" s="310"/>
      <c r="P71" s="310"/>
      <c r="Q71" s="310"/>
      <c r="R71" s="310"/>
      <c r="S71" s="310"/>
      <c r="U71" s="170"/>
    </row>
    <row r="72" spans="2:36">
      <c r="B72" s="428" t="s">
        <v>290</v>
      </c>
      <c r="D72" s="502">
        <v>48311</v>
      </c>
      <c r="E72" s="502">
        <v>27140</v>
      </c>
      <c r="F72" s="502">
        <v>58621</v>
      </c>
      <c r="G72" s="502">
        <v>110106</v>
      </c>
      <c r="H72" s="502">
        <v>92066</v>
      </c>
      <c r="I72" s="503">
        <v>79994</v>
      </c>
      <c r="J72" s="310"/>
      <c r="K72" s="593"/>
      <c r="L72" s="310"/>
      <c r="M72" s="310"/>
      <c r="N72" s="310"/>
      <c r="O72" s="310"/>
      <c r="P72" s="310"/>
      <c r="Q72" s="310"/>
      <c r="R72" s="310"/>
      <c r="S72" s="310"/>
      <c r="U72" s="170"/>
    </row>
    <row r="73" spans="2:36">
      <c r="B73" s="501" t="s">
        <v>291</v>
      </c>
      <c r="D73" s="502">
        <v>1319325</v>
      </c>
      <c r="E73" s="502">
        <v>1426556</v>
      </c>
      <c r="F73" s="502">
        <v>1536780</v>
      </c>
      <c r="G73" s="502">
        <v>1656096</v>
      </c>
      <c r="H73" s="502">
        <v>1826941</v>
      </c>
      <c r="I73" s="503">
        <v>2057176</v>
      </c>
      <c r="J73" s="310">
        <f>I73+J78</f>
        <v>2341132.5</v>
      </c>
      <c r="K73" s="310">
        <f t="shared" ref="K73:N73" si="72">J73+K78</f>
        <v>2678810.5</v>
      </c>
      <c r="L73" s="310">
        <f t="shared" si="72"/>
        <v>3047186.5</v>
      </c>
      <c r="M73" s="310">
        <f t="shared" si="72"/>
        <v>3407888</v>
      </c>
      <c r="N73" s="310">
        <f t="shared" si="72"/>
        <v>3707193.5</v>
      </c>
      <c r="O73" s="310">
        <f t="shared" ref="O73:S73" si="73">N73+O78</f>
        <v>3922079.5</v>
      </c>
      <c r="P73" s="310">
        <f t="shared" si="73"/>
        <v>4098593</v>
      </c>
      <c r="Q73" s="310">
        <f t="shared" si="73"/>
        <v>4229059.5</v>
      </c>
      <c r="R73" s="310">
        <f t="shared" si="73"/>
        <v>4359526</v>
      </c>
      <c r="S73" s="310">
        <f t="shared" si="73"/>
        <v>4497667</v>
      </c>
      <c r="U73" s="170"/>
    </row>
    <row r="74" spans="2:36">
      <c r="B74" s="428" t="s">
        <v>292</v>
      </c>
      <c r="D74" s="502">
        <v>-577817</v>
      </c>
      <c r="E74" s="502">
        <v>-700056</v>
      </c>
      <c r="F74" s="502">
        <v>-820751</v>
      </c>
      <c r="G74" s="502">
        <v>-933855</v>
      </c>
      <c r="H74" s="502">
        <v>-1028234</v>
      </c>
      <c r="I74" s="503">
        <v>-1161987</v>
      </c>
      <c r="J74" s="310">
        <f>J81*J73</f>
        <v>-1322378.6055629174</v>
      </c>
      <c r="K74" s="310">
        <f>K81*K73</f>
        <v>-1513114.5689350353</v>
      </c>
      <c r="L74" s="310">
        <f>L81*L73</f>
        <v>-1721190.1653409821</v>
      </c>
      <c r="M74" s="310">
        <f>M81*M73</f>
        <v>-1924930.8534884716</v>
      </c>
      <c r="N74" s="310">
        <f>N81*N73</f>
        <v>-2093992.2755683034</v>
      </c>
      <c r="O74" s="310">
        <f t="shared" ref="O74:S74" si="74">O81*O73</f>
        <v>-2215369.7068051058</v>
      </c>
      <c r="P74" s="310">
        <f t="shared" si="74"/>
        <v>-2315072.5967496219</v>
      </c>
      <c r="Q74" s="310">
        <f t="shared" si="74"/>
        <v>-2388766.0371433948</v>
      </c>
      <c r="R74" s="310">
        <f t="shared" si="74"/>
        <v>-2462459.4775371677</v>
      </c>
      <c r="S74" s="310">
        <f t="shared" si="74"/>
        <v>-2540487.8261893978</v>
      </c>
      <c r="U74" s="170"/>
    </row>
    <row r="75" spans="2:36">
      <c r="B75" s="504" t="s">
        <v>293</v>
      </c>
      <c r="C75" s="453"/>
      <c r="D75" s="594">
        <v>741508</v>
      </c>
      <c r="E75" s="594">
        <v>726500</v>
      </c>
      <c r="F75" s="594">
        <v>716029</v>
      </c>
      <c r="G75" s="594">
        <v>722241</v>
      </c>
      <c r="H75" s="594">
        <v>798707</v>
      </c>
      <c r="I75" s="595">
        <v>895189</v>
      </c>
      <c r="J75" s="596">
        <f>J73+J74</f>
        <v>1018753.8944370826</v>
      </c>
      <c r="K75" s="596">
        <f>K73+K74</f>
        <v>1165695.9310649647</v>
      </c>
      <c r="L75" s="596">
        <f>L73+L74</f>
        <v>1325996.3346590179</v>
      </c>
      <c r="M75" s="596">
        <f>M73+M74</f>
        <v>1482957.1465115284</v>
      </c>
      <c r="N75" s="596">
        <f>N73+N74</f>
        <v>1613201.2244316966</v>
      </c>
      <c r="O75" s="596">
        <f t="shared" ref="O75:S75" si="75">O73+O74</f>
        <v>1706709.7931948942</v>
      </c>
      <c r="P75" s="596">
        <f t="shared" si="75"/>
        <v>1783520.4032503781</v>
      </c>
      <c r="Q75" s="596">
        <f t="shared" si="75"/>
        <v>1840293.4628566052</v>
      </c>
      <c r="R75" s="596">
        <f t="shared" si="75"/>
        <v>1897066.5224628323</v>
      </c>
      <c r="S75" s="596">
        <f t="shared" si="75"/>
        <v>1957179.1738106022</v>
      </c>
      <c r="T75" s="453"/>
      <c r="U75" s="454"/>
    </row>
    <row r="76" spans="2:36">
      <c r="B76" s="506"/>
      <c r="D76" s="502"/>
      <c r="E76" s="502"/>
      <c r="F76" s="502"/>
      <c r="G76" s="502"/>
      <c r="H76" s="502"/>
      <c r="I76" s="503"/>
      <c r="J76" s="310"/>
      <c r="K76" s="310"/>
      <c r="L76" s="310"/>
      <c r="M76" s="310"/>
      <c r="N76" s="310"/>
      <c r="O76" s="310"/>
      <c r="P76" s="310"/>
      <c r="Q76" s="310"/>
      <c r="R76" s="310"/>
      <c r="S76" s="310"/>
      <c r="U76" s="170"/>
    </row>
    <row r="77" spans="2:36">
      <c r="B77" s="507" t="s">
        <v>294</v>
      </c>
      <c r="C77" s="442"/>
      <c r="D77" s="597"/>
      <c r="E77" s="597">
        <f t="shared" ref="E77:H77" si="76">E74-D74</f>
        <v>-122239</v>
      </c>
      <c r="F77" s="597">
        <f t="shared" si="76"/>
        <v>-120695</v>
      </c>
      <c r="G77" s="597">
        <f t="shared" si="76"/>
        <v>-113104</v>
      </c>
      <c r="H77" s="597">
        <f t="shared" si="76"/>
        <v>-94379</v>
      </c>
      <c r="I77" s="598">
        <f t="shared" ref="I77:N77" si="77">I74-H74</f>
        <v>-133753</v>
      </c>
      <c r="J77" s="597">
        <f>J74-I74</f>
        <v>-160391.60556291742</v>
      </c>
      <c r="K77" s="597">
        <f t="shared" si="77"/>
        <v>-190735.96337211784</v>
      </c>
      <c r="L77" s="597">
        <f t="shared" si="77"/>
        <v>-208075.59640594688</v>
      </c>
      <c r="M77" s="597">
        <f t="shared" si="77"/>
        <v>-203740.68814748945</v>
      </c>
      <c r="N77" s="597">
        <f t="shared" si="77"/>
        <v>-169061.42207983183</v>
      </c>
      <c r="O77" s="597">
        <f t="shared" ref="O77:R77" si="78">O74-N74</f>
        <v>-121377.43123680237</v>
      </c>
      <c r="P77" s="597">
        <f t="shared" si="78"/>
        <v>-99702.889944516122</v>
      </c>
      <c r="Q77" s="597">
        <f t="shared" si="78"/>
        <v>-73693.440393772908</v>
      </c>
      <c r="R77" s="597">
        <f t="shared" si="78"/>
        <v>-73693.440393772908</v>
      </c>
      <c r="S77" s="597">
        <f>S74-R74</f>
        <v>-78028.34865223011</v>
      </c>
      <c r="T77" s="442"/>
      <c r="U77" s="452"/>
    </row>
    <row r="78" spans="2:36">
      <c r="B78" s="506" t="s">
        <v>295</v>
      </c>
      <c r="D78" s="502"/>
      <c r="E78" s="502">
        <f>E73-D73</f>
        <v>107231</v>
      </c>
      <c r="F78" s="502">
        <f>F73-E73</f>
        <v>110224</v>
      </c>
      <c r="G78" s="502">
        <f>G73-F73</f>
        <v>119316</v>
      </c>
      <c r="H78" s="502">
        <f>H73-G73</f>
        <v>170845</v>
      </c>
      <c r="I78" s="503">
        <f>I73-H73</f>
        <v>230235</v>
      </c>
      <c r="J78" s="310">
        <f>J79*'Revenue Model'!J14</f>
        <v>283956.5</v>
      </c>
      <c r="K78" s="310">
        <f>K79*'Revenue Model'!K14</f>
        <v>337678</v>
      </c>
      <c r="L78" s="310">
        <f>L79*'Revenue Model'!L14</f>
        <v>368376</v>
      </c>
      <c r="M78" s="310">
        <f>M79*'Revenue Model'!M14</f>
        <v>360701.5</v>
      </c>
      <c r="N78" s="310">
        <f>N79*'Revenue Model'!N14</f>
        <v>299305.5</v>
      </c>
      <c r="O78" s="310">
        <f>O79*'Revenue Model'!O14</f>
        <v>214886</v>
      </c>
      <c r="P78" s="310">
        <f>P79*'Revenue Model'!P14</f>
        <v>176513.5</v>
      </c>
      <c r="Q78" s="310">
        <f>Q79*'Revenue Model'!Q14</f>
        <v>130466.5</v>
      </c>
      <c r="R78" s="310">
        <f>R79*'Revenue Model'!R14</f>
        <v>130466.5</v>
      </c>
      <c r="S78" s="310">
        <f>S79*'Revenue Model'!S14</f>
        <v>138141</v>
      </c>
      <c r="U78" s="170"/>
      <c r="Y78" s="393"/>
      <c r="Z78" s="393"/>
      <c r="AA78" s="393"/>
      <c r="AB78" s="393"/>
      <c r="AC78" s="393"/>
      <c r="AD78" s="393"/>
      <c r="AE78" s="393"/>
      <c r="AF78" s="393"/>
      <c r="AG78" s="393"/>
      <c r="AH78" s="393"/>
      <c r="AI78" s="393"/>
      <c r="AJ78" s="393"/>
    </row>
    <row r="79" spans="2:36">
      <c r="B79" s="488" t="s">
        <v>296</v>
      </c>
      <c r="C79" s="453"/>
      <c r="D79" s="505"/>
      <c r="E79" s="594">
        <f>E78/'Revenue Model'!D14</f>
        <v>3829.6785714285716</v>
      </c>
      <c r="F79" s="594">
        <f>F78/'Revenue Model'!E14</f>
        <v>5010.181818181818</v>
      </c>
      <c r="G79" s="594">
        <f>G78/'Revenue Model'!F14</f>
        <v>9943</v>
      </c>
      <c r="H79" s="594">
        <f>H78/'Revenue Model'!G14</f>
        <v>10677.8125</v>
      </c>
      <c r="I79" s="595">
        <f>I78/'Revenue Model'!H14</f>
        <v>7674.5</v>
      </c>
      <c r="J79" s="691">
        <f>I79</f>
        <v>7674.5</v>
      </c>
      <c r="K79" s="691">
        <f>J79</f>
        <v>7674.5</v>
      </c>
      <c r="L79" s="691">
        <f>K79</f>
        <v>7674.5</v>
      </c>
      <c r="M79" s="691">
        <f>L79</f>
        <v>7674.5</v>
      </c>
      <c r="N79" s="691">
        <f>M79</f>
        <v>7674.5</v>
      </c>
      <c r="O79" s="691">
        <f>N79</f>
        <v>7674.5</v>
      </c>
      <c r="P79" s="691">
        <f>O79</f>
        <v>7674.5</v>
      </c>
      <c r="Q79" s="691">
        <f t="shared" ref="Q79:S79" si="79">P79</f>
        <v>7674.5</v>
      </c>
      <c r="R79" s="691">
        <f t="shared" si="79"/>
        <v>7674.5</v>
      </c>
      <c r="S79" s="691">
        <f t="shared" si="79"/>
        <v>7674.5</v>
      </c>
      <c r="T79" s="453"/>
      <c r="U79" s="454"/>
      <c r="Y79" s="393"/>
      <c r="Z79" s="393"/>
      <c r="AA79" s="393"/>
      <c r="AB79" s="393"/>
      <c r="AC79" s="393"/>
      <c r="AD79" s="393"/>
      <c r="AE79" s="393"/>
      <c r="AF79" s="393"/>
      <c r="AG79" s="393"/>
      <c r="AH79" s="393"/>
    </row>
    <row r="80" spans="2:36">
      <c r="B80" s="506"/>
      <c r="D80" s="199"/>
      <c r="E80" s="199"/>
      <c r="F80" s="199"/>
      <c r="G80" s="199"/>
      <c r="H80" s="199"/>
      <c r="I80" s="500"/>
      <c r="J80" s="155"/>
      <c r="K80" s="155"/>
      <c r="L80" s="155"/>
      <c r="M80" s="155"/>
      <c r="N80" s="155"/>
      <c r="O80" s="155"/>
      <c r="P80" s="155"/>
      <c r="Q80" s="155"/>
      <c r="R80" s="155"/>
      <c r="S80" s="155"/>
      <c r="U80" s="170"/>
    </row>
    <row r="81" spans="2:21">
      <c r="B81" s="508" t="s">
        <v>292</v>
      </c>
      <c r="C81" s="174"/>
      <c r="D81" s="509">
        <f t="shared" ref="D81:I81" si="80">D74/D73</f>
        <v>-0.43796411043526046</v>
      </c>
      <c r="E81" s="509">
        <f t="shared" si="80"/>
        <v>-0.4907315240341073</v>
      </c>
      <c r="F81" s="509">
        <f t="shared" si="80"/>
        <v>-0.53407189057640003</v>
      </c>
      <c r="G81" s="509">
        <f t="shared" si="80"/>
        <v>-0.56388941220798794</v>
      </c>
      <c r="H81" s="509">
        <f t="shared" si="80"/>
        <v>-0.56281729951870363</v>
      </c>
      <c r="I81" s="510">
        <f t="shared" si="80"/>
        <v>-0.56484569137497231</v>
      </c>
      <c r="J81" s="176">
        <f>I81</f>
        <v>-0.56484569137497231</v>
      </c>
      <c r="K81" s="176">
        <f>J81</f>
        <v>-0.56484569137497231</v>
      </c>
      <c r="L81" s="176">
        <f>K81</f>
        <v>-0.56484569137497231</v>
      </c>
      <c r="M81" s="176">
        <f>L81</f>
        <v>-0.56484569137497231</v>
      </c>
      <c r="N81" s="176">
        <f>M81</f>
        <v>-0.56484569137497231</v>
      </c>
      <c r="O81" s="176">
        <f t="shared" ref="O81:S81" si="81">N81</f>
        <v>-0.56484569137497231</v>
      </c>
      <c r="P81" s="176">
        <f t="shared" si="81"/>
        <v>-0.56484569137497231</v>
      </c>
      <c r="Q81" s="176">
        <f t="shared" si="81"/>
        <v>-0.56484569137497231</v>
      </c>
      <c r="R81" s="176">
        <f t="shared" si="81"/>
        <v>-0.56484569137497231</v>
      </c>
      <c r="S81" s="176">
        <f t="shared" si="81"/>
        <v>-0.56484569137497231</v>
      </c>
      <c r="T81" s="174"/>
      <c r="U81" s="178"/>
    </row>
    <row r="82" spans="2:21" ht="15.95" thickBot="1">
      <c r="B82" s="516"/>
      <c r="D82" s="515"/>
      <c r="E82" s="515"/>
      <c r="F82" s="515"/>
      <c r="G82" s="515"/>
      <c r="H82" s="515"/>
      <c r="I82" s="515"/>
      <c r="J82" s="631"/>
      <c r="K82" s="631"/>
      <c r="L82" s="631"/>
      <c r="M82" s="631"/>
      <c r="N82" s="631"/>
      <c r="O82" s="631"/>
      <c r="P82" s="631"/>
      <c r="Q82" s="631"/>
      <c r="R82" s="631"/>
      <c r="S82" s="631"/>
    </row>
    <row r="83" spans="2:21" ht="17.100000000000001" thickBot="1">
      <c r="B83" s="491" t="s">
        <v>297</v>
      </c>
      <c r="C83" s="480"/>
      <c r="D83" s="480" t="s">
        <v>86</v>
      </c>
      <c r="E83" s="480" t="s">
        <v>87</v>
      </c>
      <c r="F83" s="479" t="s">
        <v>88</v>
      </c>
      <c r="G83" s="479" t="s">
        <v>89</v>
      </c>
      <c r="H83" s="479" t="s">
        <v>90</v>
      </c>
      <c r="I83" s="482" t="s">
        <v>91</v>
      </c>
      <c r="J83" s="499" t="s">
        <v>183</v>
      </c>
      <c r="K83" s="499" t="s">
        <v>184</v>
      </c>
      <c r="L83" s="499" t="s">
        <v>185</v>
      </c>
      <c r="M83" s="499" t="s">
        <v>186</v>
      </c>
      <c r="N83" s="499" t="s">
        <v>187</v>
      </c>
      <c r="O83" s="499" t="s">
        <v>188</v>
      </c>
      <c r="P83" s="499" t="s">
        <v>189</v>
      </c>
      <c r="Q83" s="499" t="s">
        <v>190</v>
      </c>
      <c r="R83" s="499" t="s">
        <v>191</v>
      </c>
      <c r="S83" s="499" t="s">
        <v>192</v>
      </c>
      <c r="T83" s="480"/>
      <c r="U83" s="481"/>
    </row>
    <row r="84" spans="2:21">
      <c r="B84" s="732" t="s">
        <v>298</v>
      </c>
      <c r="C84" s="484"/>
      <c r="D84" s="733">
        <f>D$25/IS!D9</f>
        <v>2.4751564225248437</v>
      </c>
      <c r="E84" s="733">
        <f>E$25/IS!E9</f>
        <v>0.63830058851314264</v>
      </c>
      <c r="F84" s="733">
        <f>F$25/IS!F9</f>
        <v>0.74833271471162255</v>
      </c>
      <c r="G84" s="733">
        <f>G$25/IS!G9</f>
        <v>0.69762250251144098</v>
      </c>
      <c r="H84" s="733">
        <f>H$25/IS!H9</f>
        <v>0.35690729832596202</v>
      </c>
      <c r="I84" s="733">
        <f>I$25/IS!I9</f>
        <v>0</v>
      </c>
      <c r="J84" s="733">
        <f ca="1">J$25/IS!J9</f>
        <v>0</v>
      </c>
      <c r="K84" s="733">
        <f ca="1">K$25/IS!K9</f>
        <v>0</v>
      </c>
      <c r="L84" s="738">
        <f ca="1">L$25/IS!L9</f>
        <v>0</v>
      </c>
      <c r="M84" s="733">
        <f ca="1">M$25/IS!M9</f>
        <v>0</v>
      </c>
      <c r="N84" s="733">
        <f ca="1">N$25/IS!N9</f>
        <v>0</v>
      </c>
      <c r="O84" s="733">
        <f ca="1">O$25/IS!O9</f>
        <v>0</v>
      </c>
      <c r="P84" s="733">
        <f ca="1">P$25/IS!P9</f>
        <v>0</v>
      </c>
      <c r="Q84" s="733">
        <f ca="1">Q$25/IS!Q9</f>
        <v>0</v>
      </c>
      <c r="R84" s="733">
        <f ca="1">R$25/IS!R9</f>
        <v>0</v>
      </c>
      <c r="S84" s="733">
        <f ca="1">S$25/IS!S9</f>
        <v>0</v>
      </c>
      <c r="T84" s="697">
        <f>AVERAGE(D84:I84)</f>
        <v>0.81938658776450202</v>
      </c>
      <c r="U84" s="485"/>
    </row>
    <row r="85" spans="2:21">
      <c r="B85" s="506" t="s">
        <v>299</v>
      </c>
      <c r="D85" s="734">
        <f>D25/(D14-D4)</f>
        <v>0.20396797323697552</v>
      </c>
      <c r="E85" s="734">
        <f t="shared" ref="E85:I85" si="82">E25/(E14-E4)</f>
        <v>9.4815237339605798E-2</v>
      </c>
      <c r="F85" s="734">
        <f t="shared" si="82"/>
        <v>9.3359244880552444E-2</v>
      </c>
      <c r="G85" s="734">
        <f t="shared" si="82"/>
        <v>9.002044184193346E-2</v>
      </c>
      <c r="H85" s="734">
        <f t="shared" si="82"/>
        <v>3.9991886446077818E-2</v>
      </c>
      <c r="I85" s="734">
        <f t="shared" si="82"/>
        <v>0</v>
      </c>
      <c r="J85" s="735">
        <f>CHOOSE(Cover!$I$28,BS!J88,BS!J89,BS!J90)</f>
        <v>0</v>
      </c>
      <c r="K85" s="735">
        <f>CHOOSE(Cover!$I$28,BS!K88,BS!K89,BS!K90)</f>
        <v>0</v>
      </c>
      <c r="L85" s="735">
        <f>CHOOSE(Cover!$I$28,BS!L88,BS!L89,BS!L90)</f>
        <v>0</v>
      </c>
      <c r="M85" s="735">
        <f>CHOOSE(Cover!$I$28,BS!M88,BS!M89,BS!M90)</f>
        <v>0</v>
      </c>
      <c r="N85" s="735">
        <f>CHOOSE(Cover!$I$28,BS!N88,BS!N89,BS!N90)</f>
        <v>0</v>
      </c>
      <c r="O85" s="735">
        <f>CHOOSE(Cover!$I$28,BS!O88,BS!O89,BS!O90)</f>
        <v>0</v>
      </c>
      <c r="P85" s="735">
        <f>CHOOSE(Cover!$I$28,BS!P88,BS!P89,BS!P90)</f>
        <v>0</v>
      </c>
      <c r="Q85" s="735">
        <f>CHOOSE(Cover!$I$28,BS!Q88,BS!Q89,BS!Q90)</f>
        <v>0</v>
      </c>
      <c r="R85" s="735">
        <f>CHOOSE(Cover!$I$28,BS!R88,BS!R89,BS!R90)</f>
        <v>0</v>
      </c>
      <c r="S85" s="735">
        <f>CHOOSE(Cover!$I$28,BS!S88,BS!S89,BS!S90)</f>
        <v>0</v>
      </c>
      <c r="T85" s="736">
        <f>AVERAGE(D85:I85)</f>
        <v>8.7025797290857507E-2</v>
      </c>
      <c r="U85" s="496"/>
    </row>
    <row r="86" spans="2:21" ht="15.95" thickBot="1">
      <c r="B86" s="468" t="s">
        <v>300</v>
      </c>
      <c r="C86" s="174"/>
      <c r="D86" s="737">
        <f>D$25/(D73)</f>
        <v>0.4077842836298865</v>
      </c>
      <c r="E86" s="737">
        <f t="shared" ref="E86:I86" si="83">E$25/(E73)</f>
        <v>0.17524723880450541</v>
      </c>
      <c r="F86" s="737">
        <f t="shared" si="83"/>
        <v>0.16267780684287927</v>
      </c>
      <c r="G86" s="737">
        <f t="shared" si="83"/>
        <v>0.15095743241937665</v>
      </c>
      <c r="H86" s="737">
        <f t="shared" si="83"/>
        <v>6.8420381391626775E-2</v>
      </c>
      <c r="I86" s="737">
        <f t="shared" si="83"/>
        <v>0</v>
      </c>
      <c r="J86" s="315">
        <v>0</v>
      </c>
      <c r="K86" s="175">
        <v>0.04</v>
      </c>
      <c r="L86" s="175">
        <v>0.08</v>
      </c>
      <c r="M86" s="175">
        <v>0.12</v>
      </c>
      <c r="N86" s="175">
        <v>0.14000000000000001</v>
      </c>
      <c r="O86" s="175">
        <v>0.16</v>
      </c>
      <c r="P86" s="175">
        <f>O86</f>
        <v>0.16</v>
      </c>
      <c r="Q86" s="175">
        <f t="shared" ref="Q86:R86" si="84">P86</f>
        <v>0.16</v>
      </c>
      <c r="R86" s="175">
        <f t="shared" si="84"/>
        <v>0.16</v>
      </c>
      <c r="S86" s="175">
        <f>R86</f>
        <v>0.16</v>
      </c>
      <c r="T86" s="175">
        <f>AVERAGE(D86:I86)</f>
        <v>0.16084785718137909</v>
      </c>
      <c r="U86" s="178"/>
    </row>
    <row r="87" spans="2:21">
      <c r="B87" s="273"/>
      <c r="D87" s="719"/>
      <c r="E87" s="719"/>
      <c r="F87" s="719"/>
      <c r="G87" s="719"/>
      <c r="H87" s="719"/>
      <c r="I87" s="718"/>
      <c r="J87" s="689"/>
      <c r="K87" s="700"/>
      <c r="L87" s="700"/>
      <c r="M87" s="700"/>
      <c r="N87" s="700"/>
      <c r="O87" s="700"/>
      <c r="P87" s="700"/>
      <c r="Q87" s="700"/>
      <c r="R87" s="700"/>
      <c r="S87" s="700"/>
      <c r="T87" s="700"/>
    </row>
    <row r="88" spans="2:21">
      <c r="B88" s="299" t="s">
        <v>125</v>
      </c>
      <c r="C88" s="300"/>
      <c r="D88" s="300"/>
      <c r="E88" s="300"/>
      <c r="F88" s="300"/>
      <c r="G88" s="300"/>
      <c r="H88" s="300"/>
      <c r="I88" s="300"/>
      <c r="J88" s="301">
        <v>0</v>
      </c>
      <c r="K88" s="301">
        <v>0</v>
      </c>
      <c r="L88" s="301">
        <v>0</v>
      </c>
      <c r="M88" s="301">
        <v>0</v>
      </c>
      <c r="N88" s="301">
        <v>0</v>
      </c>
      <c r="O88" s="301">
        <v>0</v>
      </c>
      <c r="P88" s="301">
        <v>0</v>
      </c>
      <c r="Q88" s="301">
        <v>0</v>
      </c>
      <c r="R88" s="301">
        <v>0</v>
      </c>
      <c r="S88" s="302">
        <v>0</v>
      </c>
      <c r="T88" s="186"/>
      <c r="U88" s="303"/>
    </row>
    <row r="89" spans="2:21">
      <c r="B89" s="304" t="s">
        <v>126</v>
      </c>
      <c r="C89" s="305"/>
      <c r="D89" s="305"/>
      <c r="E89" s="305"/>
      <c r="F89" s="305"/>
      <c r="G89" s="305"/>
      <c r="H89" s="305"/>
      <c r="I89" s="305"/>
      <c r="J89" s="152">
        <v>0</v>
      </c>
      <c r="K89" s="152">
        <v>0</v>
      </c>
      <c r="L89" s="152">
        <v>0</v>
      </c>
      <c r="M89" s="152">
        <v>0.01</v>
      </c>
      <c r="N89" s="152">
        <v>0.02</v>
      </c>
      <c r="O89" s="152">
        <v>0.03</v>
      </c>
      <c r="P89" s="152">
        <v>0.04</v>
      </c>
      <c r="Q89" s="152">
        <v>0.06</v>
      </c>
      <c r="R89" s="152">
        <v>0.08</v>
      </c>
      <c r="S89" s="153">
        <v>0.09</v>
      </c>
      <c r="T89" s="186"/>
      <c r="U89" s="306"/>
    </row>
    <row r="90" spans="2:21">
      <c r="B90" s="307" t="s">
        <v>127</v>
      </c>
      <c r="C90" s="308"/>
      <c r="D90" s="308"/>
      <c r="E90" s="308"/>
      <c r="F90" s="308"/>
      <c r="G90" s="308"/>
      <c r="H90" s="308"/>
      <c r="I90" s="308"/>
      <c r="J90" s="317">
        <v>0</v>
      </c>
      <c r="K90" s="317">
        <v>0</v>
      </c>
      <c r="L90" s="317">
        <f>L89+$U90</f>
        <v>0.01</v>
      </c>
      <c r="M90" s="317">
        <f>M89+$U90</f>
        <v>0.02</v>
      </c>
      <c r="N90" s="317">
        <f>N89+$U90</f>
        <v>0.03</v>
      </c>
      <c r="O90" s="317">
        <f>O89+$U90</f>
        <v>0.04</v>
      </c>
      <c r="P90" s="317">
        <f>P89+$U90</f>
        <v>0.05</v>
      </c>
      <c r="Q90" s="317">
        <f>Q89+$U90</f>
        <v>6.9999999999999993E-2</v>
      </c>
      <c r="R90" s="317">
        <f>R89+$U90</f>
        <v>0.09</v>
      </c>
      <c r="S90" s="318">
        <f>S89+$U90</f>
        <v>9.9999999999999992E-2</v>
      </c>
      <c r="T90" s="186"/>
      <c r="U90" s="309">
        <v>0.01</v>
      </c>
    </row>
    <row r="91" spans="2:21" ht="15.95" thickBot="1"/>
    <row r="92" spans="2:21" ht="15.95">
      <c r="B92" s="478" t="s">
        <v>226</v>
      </c>
      <c r="C92" s="480"/>
      <c r="D92" s="480" t="s">
        <v>86</v>
      </c>
      <c r="E92" s="480" t="s">
        <v>87</v>
      </c>
      <c r="F92" s="479" t="s">
        <v>88</v>
      </c>
      <c r="G92" s="479" t="s">
        <v>89</v>
      </c>
      <c r="H92" s="479" t="s">
        <v>90</v>
      </c>
      <c r="I92" s="482" t="s">
        <v>91</v>
      </c>
      <c r="J92" s="499" t="s">
        <v>183</v>
      </c>
      <c r="K92" s="499" t="s">
        <v>184</v>
      </c>
      <c r="L92" s="499" t="s">
        <v>185</v>
      </c>
      <c r="M92" s="499" t="s">
        <v>186</v>
      </c>
      <c r="N92" s="499" t="s">
        <v>187</v>
      </c>
      <c r="O92" s="499" t="s">
        <v>188</v>
      </c>
      <c r="P92" s="499" t="s">
        <v>189</v>
      </c>
      <c r="Q92" s="499" t="s">
        <v>190</v>
      </c>
      <c r="R92" s="499" t="s">
        <v>191</v>
      </c>
      <c r="S92" s="499" t="s">
        <v>192</v>
      </c>
      <c r="T92" s="426"/>
      <c r="U92" s="427"/>
    </row>
    <row r="93" spans="2:21" ht="15.95">
      <c r="B93" s="188" t="s">
        <v>228</v>
      </c>
      <c r="C93" s="311"/>
      <c r="I93" s="378"/>
      <c r="J93" s="311"/>
      <c r="K93" s="311"/>
      <c r="L93" s="311"/>
      <c r="M93" s="311"/>
      <c r="N93" s="311"/>
      <c r="U93" s="170"/>
    </row>
    <row r="94" spans="2:21" ht="15.95">
      <c r="B94" s="167" t="s">
        <v>229</v>
      </c>
      <c r="D94" s="511">
        <f>D4/D$14</f>
        <v>3.1331080656765029E-2</v>
      </c>
      <c r="E94" s="511">
        <f>E4/E$14</f>
        <v>6.046777299348205E-2</v>
      </c>
      <c r="F94" s="511">
        <f>F4/F$14</f>
        <v>8.3912880608528917E-2</v>
      </c>
      <c r="G94" s="511">
        <f>G4/G$14</f>
        <v>9.5503813860173661E-2</v>
      </c>
      <c r="H94" s="511">
        <f>H4/H$14</f>
        <v>6.0645639815497136E-2</v>
      </c>
      <c r="I94" s="512">
        <f>I4/I$14</f>
        <v>7.2831892996372397E-2</v>
      </c>
      <c r="J94" s="511">
        <f ca="1">J4/J$14</f>
        <v>0.10210332825215315</v>
      </c>
      <c r="K94" s="511">
        <f ca="1">K4/K$14</f>
        <v>0.14432968325337361</v>
      </c>
      <c r="L94" s="511">
        <f ca="1">L4/L$14</f>
        <v>0.19313283391814171</v>
      </c>
      <c r="M94" s="511">
        <f ca="1">M4/M$14</f>
        <v>0.25415627856007139</v>
      </c>
      <c r="N94" s="511">
        <f ca="1">N4/N$14</f>
        <v>0.31724707633540761</v>
      </c>
      <c r="O94" s="511">
        <f ca="1">O4/O$14</f>
        <v>0.38627810109736477</v>
      </c>
      <c r="P94" s="511">
        <f ca="1">P4/P$14</f>
        <v>0.44824833608615405</v>
      </c>
      <c r="Q94" s="511">
        <f ca="1">Q4/Q$14</f>
        <v>0.50517785604162824</v>
      </c>
      <c r="R94" s="511">
        <f ca="1">R4/R$14</f>
        <v>0.55381288679263863</v>
      </c>
      <c r="S94" s="511">
        <f ca="1">S4/S$14</f>
        <v>0.59536328473083278</v>
      </c>
      <c r="U94" s="170"/>
    </row>
    <row r="95" spans="2:21" ht="15.95">
      <c r="B95" s="167" t="s">
        <v>231</v>
      </c>
      <c r="D95" s="511">
        <f>D5/D$14</f>
        <v>5.7705097681476532E-3</v>
      </c>
      <c r="E95" s="511">
        <f>E5/E$14</f>
        <v>5.2789976069019286E-3</v>
      </c>
      <c r="F95" s="511">
        <f>F5/F$14</f>
        <v>7.3804828068687002E-3</v>
      </c>
      <c r="G95" s="511">
        <f>G5/G$14</f>
        <v>5.2462561637321766E-3</v>
      </c>
      <c r="H95" s="511">
        <f>H5/H$14</f>
        <v>9.1100393457048505E-3</v>
      </c>
      <c r="I95" s="512">
        <f>I5/I$14</f>
        <v>8.4876558045584097E-3</v>
      </c>
      <c r="J95" s="511">
        <f ca="1">J5/J$14</f>
        <v>8.5586267842661483E-3</v>
      </c>
      <c r="K95" s="511">
        <f ca="1">K5/K$14</f>
        <v>8.4423652583537605E-3</v>
      </c>
      <c r="L95" s="511">
        <f ca="1">L5/L$14</f>
        <v>8.332764333318407E-3</v>
      </c>
      <c r="M95" s="511">
        <f ca="1">M5/M$14</f>
        <v>8.1603776377849446E-3</v>
      </c>
      <c r="N95" s="511">
        <f ca="1">N5/N$14</f>
        <v>7.8043855186982472E-3</v>
      </c>
      <c r="O95" s="511">
        <f ca="1">O5/O$14</f>
        <v>7.398726856245123E-3</v>
      </c>
      <c r="P95" s="511">
        <f ca="1">P5/P$14</f>
        <v>6.8711299962984319E-3</v>
      </c>
      <c r="Q95" s="511">
        <f ca="1">Q5/Q$14</f>
        <v>6.3434115771054747E-3</v>
      </c>
      <c r="R95" s="511">
        <f ca="1">R5/R$14</f>
        <v>5.8418493352491597E-3</v>
      </c>
      <c r="S95" s="511">
        <f ca="1">S5/S$14</f>
        <v>5.4072446277044469E-3</v>
      </c>
      <c r="U95" s="170"/>
    </row>
    <row r="96" spans="2:21" ht="15.95">
      <c r="B96" s="167" t="s">
        <v>233</v>
      </c>
      <c r="D96" s="511">
        <f>D6/D$14</f>
        <v>0.10135171611427614</v>
      </c>
      <c r="E96" s="511">
        <f>E6/E$14</f>
        <v>9.0587100075398982E-2</v>
      </c>
      <c r="F96" s="511">
        <f>F6/F$14</f>
        <v>9.0789106826108454E-2</v>
      </c>
      <c r="G96" s="511">
        <f>G6/G$14</f>
        <v>0.1011422038965861</v>
      </c>
      <c r="H96" s="511">
        <f>H6/H$14</f>
        <v>9.7131478126649171E-2</v>
      </c>
      <c r="I96" s="512">
        <f>I6/I$14</f>
        <v>9.4303044552708146E-2</v>
      </c>
      <c r="J96" s="511">
        <f ca="1">J6/J$14</f>
        <v>9.25970380989488E-2</v>
      </c>
      <c r="K96" s="511">
        <f ca="1">K6/K$14</f>
        <v>8.9019328301245995E-2</v>
      </c>
      <c r="L96" s="511">
        <f ca="1">L6/L$14</f>
        <v>8.7135102455844965E-2</v>
      </c>
      <c r="M96" s="511">
        <f ca="1">M6/M$14</f>
        <v>8.4618985317025303E-2</v>
      </c>
      <c r="N96" s="511">
        <f ca="1">N6/N$14</f>
        <v>8.0927527245465924E-2</v>
      </c>
      <c r="O96" s="511">
        <f ca="1">O6/O$14</f>
        <v>7.6721052260423112E-2</v>
      </c>
      <c r="P96" s="511">
        <f ca="1">P6/P$14</f>
        <v>7.1250139892542058E-2</v>
      </c>
      <c r="Q96" s="511">
        <f ca="1">Q6/Q$14</f>
        <v>6.577796701681056E-2</v>
      </c>
      <c r="R96" s="511">
        <f ca="1">R6/R$14</f>
        <v>6.0577020459791388E-2</v>
      </c>
      <c r="S96" s="511">
        <f ca="1">S6/S$14</f>
        <v>5.6070389639649776E-2</v>
      </c>
      <c r="U96" s="170"/>
    </row>
    <row r="97" spans="2:21" ht="15.95">
      <c r="B97" s="167" t="s">
        <v>235</v>
      </c>
      <c r="D97" s="511">
        <f>D7/D$14</f>
        <v>3.9783575586039279E-3</v>
      </c>
      <c r="E97" s="511">
        <f>E7/E$14</f>
        <v>9.7006703240160724E-3</v>
      </c>
      <c r="F97" s="511">
        <f>F7/F$14</f>
        <v>1.2133631417169697E-2</v>
      </c>
      <c r="G97" s="511">
        <f>G7/G$14</f>
        <v>1.7560692813267414E-2</v>
      </c>
      <c r="H97" s="511">
        <f>H7/H$14</f>
        <v>1.4565904957222216E-2</v>
      </c>
      <c r="I97" s="512">
        <f>I7/I$14</f>
        <v>9.9241931288469604E-3</v>
      </c>
      <c r="J97" s="511">
        <f ca="1">J7/J$14</f>
        <v>9.8625871291955509E-3</v>
      </c>
      <c r="K97" s="511">
        <f ca="1">K7/K$14</f>
        <v>9.6169726175239119E-3</v>
      </c>
      <c r="L97" s="511">
        <f ca="1">L7/L$14</f>
        <v>9.4134151575177918E-3</v>
      </c>
      <c r="M97" s="511">
        <f ca="1">M7/M$14</f>
        <v>9.1415929579093443E-3</v>
      </c>
      <c r="N97" s="511">
        <f ca="1">N7/N$14</f>
        <v>8.742795844177054E-3</v>
      </c>
      <c r="O97" s="511">
        <f ca="1">O7/O$14</f>
        <v>8.2883602118325895E-3</v>
      </c>
      <c r="P97" s="511">
        <f ca="1">P7/P$14</f>
        <v>7.6973243610930974E-3</v>
      </c>
      <c r="Q97" s="511">
        <f ca="1">Q7/Q$14</f>
        <v>7.1061523346520683E-3</v>
      </c>
      <c r="R97" s="511">
        <f ca="1">R7/R$14</f>
        <v>6.544281541212723E-3</v>
      </c>
      <c r="S97" s="511">
        <f ca="1">S7/S$14</f>
        <v>6.0574193504767298E-3</v>
      </c>
      <c r="U97" s="170"/>
    </row>
    <row r="98" spans="2:21" ht="15.95">
      <c r="B98" s="495" t="s">
        <v>236</v>
      </c>
      <c r="D98" s="511">
        <f>D8/D$14</f>
        <v>0.14243166409779276</v>
      </c>
      <c r="E98" s="511">
        <f>E8/E$14</f>
        <v>0.16603454099979903</v>
      </c>
      <c r="F98" s="511">
        <f>F8/F$14</f>
        <v>0.19421610165867575</v>
      </c>
      <c r="G98" s="511">
        <f>G8/G$14</f>
        <v>0.21945296673375933</v>
      </c>
      <c r="H98" s="511">
        <f>H8/H$14</f>
        <v>0.18145306224507338</v>
      </c>
      <c r="I98" s="512">
        <f>I8/I$14</f>
        <v>0.18554678648248593</v>
      </c>
      <c r="J98" s="511">
        <f ca="1">J8/J$14</f>
        <v>0.21312158026456365</v>
      </c>
      <c r="K98" s="511">
        <f ca="1">K8/K$14</f>
        <v>0.25140834943049728</v>
      </c>
      <c r="L98" s="511">
        <f ca="1">L8/L$14</f>
        <v>0.29801411586482285</v>
      </c>
      <c r="M98" s="511">
        <f ca="1">M8/M$14</f>
        <v>0.35607723447279099</v>
      </c>
      <c r="N98" s="511">
        <f ca="1">N8/N$14</f>
        <v>0.41472178494374884</v>
      </c>
      <c r="O98" s="511">
        <f ca="1">O8/O$14</f>
        <v>0.47868624042586555</v>
      </c>
      <c r="P98" s="511">
        <f ca="1">P8/P$14</f>
        <v>0.53406693033608776</v>
      </c>
      <c r="Q98" s="511">
        <f ca="1">Q8/Q$14</f>
        <v>0.58440538697019639</v>
      </c>
      <c r="R98" s="511">
        <f ca="1">R8/R$14</f>
        <v>0.62677603812889182</v>
      </c>
      <c r="S98" s="511">
        <f ca="1">S8/S$14</f>
        <v>0.66289833834866385</v>
      </c>
      <c r="U98" s="170"/>
    </row>
    <row r="99" spans="2:21" ht="32.1">
      <c r="B99" s="167" t="s">
        <v>237</v>
      </c>
      <c r="D99" s="511">
        <f>D9/D$14</f>
        <v>0.27231459028572708</v>
      </c>
      <c r="E99" s="511">
        <f>E9/E$14</f>
        <v>0.25887220799286204</v>
      </c>
      <c r="F99" s="511">
        <f>F9/F$14</f>
        <v>0.24495409862424161</v>
      </c>
      <c r="G99" s="511">
        <f>G9/G$14</f>
        <v>0.2352285384870928</v>
      </c>
      <c r="H99" s="511">
        <f>H9/H$14</f>
        <v>0.2400373501695604</v>
      </c>
      <c r="I99" s="512">
        <f>I9/I$14</f>
        <v>0.24588382615536192</v>
      </c>
      <c r="J99" s="511">
        <f ca="1">J9/J$14</f>
        <v>0.2481195641474376</v>
      </c>
      <c r="K99" s="511">
        <f ca="1">K9/K$14</f>
        <v>0.24439077984814567</v>
      </c>
      <c r="L99" s="511">
        <f ca="1">L9/L$14</f>
        <v>0.23923889768643697</v>
      </c>
      <c r="M99" s="511">
        <f ca="1">M9/M$14</f>
        <v>0.23043238930707291</v>
      </c>
      <c r="N99" s="511">
        <f ca="1">N9/N$14</f>
        <v>0.21446213788344773</v>
      </c>
      <c r="O99" s="511">
        <f ca="1">O9/O$14</f>
        <v>0.19669904453700496</v>
      </c>
      <c r="P99" s="511">
        <f ca="1">P9/P$14</f>
        <v>0.17764263749153109</v>
      </c>
      <c r="Q99" s="511">
        <f ca="1">Q9/Q$14</f>
        <v>0.15958686973706337</v>
      </c>
      <c r="R99" s="511">
        <f ca="1">R9/R$14</f>
        <v>0.14429557112951377</v>
      </c>
      <c r="S99" s="511">
        <f ca="1">S9/S$14</f>
        <v>0.13122255544193842</v>
      </c>
      <c r="U99" s="170"/>
    </row>
    <row r="100" spans="2:21" ht="15.95">
      <c r="B100" s="167" t="s">
        <v>239</v>
      </c>
      <c r="C100" s="156"/>
      <c r="D100" s="511">
        <f>D10/D$14</f>
        <v>0.37768726429801436</v>
      </c>
      <c r="E100" s="511">
        <f>E10/E$14</f>
        <v>0.37250802094067709</v>
      </c>
      <c r="F100" s="511">
        <f>F10/F$14</f>
        <v>0.36673856485290518</v>
      </c>
      <c r="G100" s="511">
        <f>G10/G$14</f>
        <v>0.36038666223724752</v>
      </c>
      <c r="H100" s="511">
        <f>H10/H$14</f>
        <v>0.39756051821406807</v>
      </c>
      <c r="I100" s="512">
        <f>I10/I$14</f>
        <v>0.4029179561397413</v>
      </c>
      <c r="J100" s="511">
        <f ca="1">J10/J$14</f>
        <v>0.39168035110422117</v>
      </c>
      <c r="K100" s="511">
        <f ca="1">K10/K$14</f>
        <v>0.3771644055968757</v>
      </c>
      <c r="L100" s="511">
        <f ca="1">L10/L$14</f>
        <v>0.35299562381058852</v>
      </c>
      <c r="M100" s="511">
        <f ca="1">M10/M$14</f>
        <v>0.31857460323024123</v>
      </c>
      <c r="N100" s="511">
        <f ca="1">N10/N$14</f>
        <v>0.28928171201877312</v>
      </c>
      <c r="O100" s="511">
        <f ca="1">O10/O$14</f>
        <v>0.25367773048277181</v>
      </c>
      <c r="P100" s="511">
        <f ca="1">P10/P$14</f>
        <v>0.22679431355595878</v>
      </c>
      <c r="Q100" s="511">
        <f ca="1">Q10/Q$14</f>
        <v>0.20232214768919957</v>
      </c>
      <c r="R100" s="511">
        <f ca="1">R10/R$14</f>
        <v>0.18172846047331412</v>
      </c>
      <c r="S100" s="511">
        <f ca="1">S10/S$14</f>
        <v>0.16417073794502984</v>
      </c>
      <c r="T100" s="156"/>
      <c r="U100" s="170"/>
    </row>
    <row r="101" spans="2:21" ht="15.95">
      <c r="B101" s="167" t="s">
        <v>241</v>
      </c>
      <c r="D101" s="511">
        <f>D11/D$14</f>
        <v>6.8085257968925991E-2</v>
      </c>
      <c r="E101" s="511">
        <f>E11/E$14</f>
        <v>6.5906405492580547E-2</v>
      </c>
      <c r="F101" s="511">
        <f>F11/F$14</f>
        <v>6.3274965234005498E-2</v>
      </c>
      <c r="G101" s="511">
        <f>G11/G$14</f>
        <v>6.0240100573870338E-2</v>
      </c>
      <c r="H101" s="511">
        <f>H11/H$14</f>
        <v>6.2528775979525331E-2</v>
      </c>
      <c r="I101" s="512">
        <f>I11/I$14</f>
        <v>5.7157705154971615E-2</v>
      </c>
      <c r="J101" s="511">
        <f ca="1">J11/J$14</f>
        <v>5.0681713084617455E-2</v>
      </c>
      <c r="K101" s="511">
        <f ca="1">K11/K$14</f>
        <v>4.362737621916412E-2</v>
      </c>
      <c r="L101" s="511">
        <f ca="1">L11/L$14</f>
        <v>3.754473362700772E-2</v>
      </c>
      <c r="M101" s="511">
        <f ca="1">M11/M$14</f>
        <v>3.2335120224657996E-2</v>
      </c>
      <c r="N101" s="511">
        <f ca="1">N11/N$14</f>
        <v>2.7664424899280594E-2</v>
      </c>
      <c r="O101" s="511">
        <f ca="1">O11/O$14</f>
        <v>2.3982923832212039E-2</v>
      </c>
      <c r="P101" s="511">
        <f ca="1">P11/P$14</f>
        <v>2.0726629725565958E-2</v>
      </c>
      <c r="Q101" s="511">
        <f ca="1">Q11/Q$14</f>
        <v>1.8045529553485189E-2</v>
      </c>
      <c r="R101" s="511">
        <f ca="1">R11/R$14</f>
        <v>1.582814425486934E-2</v>
      </c>
      <c r="S101" s="511">
        <f ca="1">S11/S$14</f>
        <v>1.395203199458182E-2</v>
      </c>
      <c r="U101" s="170"/>
    </row>
    <row r="102" spans="2:21" ht="15.95">
      <c r="B102" s="167" t="s">
        <v>244</v>
      </c>
      <c r="C102" s="156"/>
      <c r="D102" s="511">
        <f>D12/D$14</f>
        <v>0.13517454938205636</v>
      </c>
      <c r="E102" s="511">
        <f>E12/E$14</f>
        <v>0.13144151732965031</v>
      </c>
      <c r="F102" s="511">
        <f>F12/F$14</f>
        <v>0.12619346142727877</v>
      </c>
      <c r="G102" s="511">
        <f>G12/G$14</f>
        <v>0.12014082947387619</v>
      </c>
      <c r="H102" s="511">
        <f>H12/H$14</f>
        <v>0.11472554778044784</v>
      </c>
      <c r="I102" s="512">
        <f>I12/I$14</f>
        <v>0.10485623777192236</v>
      </c>
      <c r="J102" s="511">
        <f ca="1">J12/J$14</f>
        <v>9.297598186421864E-2</v>
      </c>
      <c r="K102" s="511">
        <f ca="1">K12/K$14</f>
        <v>8.0034748102616626E-2</v>
      </c>
      <c r="L102" s="511">
        <f ca="1">L12/L$14</f>
        <v>6.8876094755784392E-2</v>
      </c>
      <c r="M102" s="511">
        <f ca="1">M12/M$14</f>
        <v>5.9319019989827623E-2</v>
      </c>
      <c r="N102" s="511">
        <f ca="1">N12/N$14</f>
        <v>5.0750594468367022E-2</v>
      </c>
      <c r="O102" s="511">
        <f ca="1">O12/O$14</f>
        <v>4.399685321511887E-2</v>
      </c>
      <c r="P102" s="511">
        <f ca="1">P12/P$14</f>
        <v>3.8023157312247376E-2</v>
      </c>
      <c r="Q102" s="511">
        <f ca="1">Q12/Q$14</f>
        <v>3.3104658986049432E-2</v>
      </c>
      <c r="R102" s="511">
        <f ca="1">R12/R$14</f>
        <v>2.9036849064828254E-2</v>
      </c>
      <c r="S102" s="511">
        <f ca="1">S12/S$14</f>
        <v>2.5595107085891997E-2</v>
      </c>
      <c r="T102" s="156"/>
      <c r="U102" s="170"/>
    </row>
    <row r="103" spans="2:21" ht="15.95">
      <c r="B103" s="167" t="s">
        <v>245</v>
      </c>
      <c r="D103" s="511">
        <f>D13/D$14</f>
        <v>4.3066739674834549E-3</v>
      </c>
      <c r="E103" s="511">
        <f>E13/E$14</f>
        <v>5.2373072444309512E-3</v>
      </c>
      <c r="F103" s="511">
        <f>F13/F$14</f>
        <v>4.6228082028931467E-3</v>
      </c>
      <c r="G103" s="511">
        <f>G13/G$14</f>
        <v>4.5509024941538185E-3</v>
      </c>
      <c r="H103" s="511">
        <f>H13/H$14</f>
        <v>3.6947456113250233E-3</v>
      </c>
      <c r="I103" s="512">
        <f>I13/I$14</f>
        <v>3.6374882955168774E-3</v>
      </c>
      <c r="J103" s="511">
        <f ca="1">J13/J$14</f>
        <v>3.4208095349415402E-3</v>
      </c>
      <c r="K103" s="511">
        <f ca="1">K13/K$14</f>
        <v>3.3743408027006299E-3</v>
      </c>
      <c r="L103" s="511">
        <f ca="1">L13/L$14</f>
        <v>3.3305342553595781E-3</v>
      </c>
      <c r="M103" s="511">
        <f ca="1">M13/M$14</f>
        <v>3.2616327754093114E-3</v>
      </c>
      <c r="N103" s="511">
        <f ca="1">N13/N$14</f>
        <v>3.1193457863826902E-3</v>
      </c>
      <c r="O103" s="511">
        <f ca="1">O13/O$14</f>
        <v>2.9572075070266679E-3</v>
      </c>
      <c r="P103" s="511">
        <f ca="1">P13/P$14</f>
        <v>2.7463315786091852E-3</v>
      </c>
      <c r="Q103" s="511">
        <f ca="1">Q13/Q$14</f>
        <v>2.5354070640061887E-3</v>
      </c>
      <c r="R103" s="511">
        <f ca="1">R13/R$14</f>
        <v>2.33493694858266E-3</v>
      </c>
      <c r="S103" s="511">
        <f ca="1">S13/S$14</f>
        <v>2.1612291838939927E-3</v>
      </c>
      <c r="U103" s="170"/>
    </row>
    <row r="104" spans="2:21" ht="15.95">
      <c r="B104" s="495" t="s">
        <v>246</v>
      </c>
      <c r="D104" s="511">
        <f>D14/D$14</f>
        <v>1</v>
      </c>
      <c r="E104" s="511">
        <f>E14/E$14</f>
        <v>1</v>
      </c>
      <c r="F104" s="511">
        <f>F14/F$14</f>
        <v>1</v>
      </c>
      <c r="G104" s="511">
        <f>G14/G$14</f>
        <v>1</v>
      </c>
      <c r="H104" s="511">
        <f>H14/H$14</f>
        <v>1</v>
      </c>
      <c r="I104" s="512">
        <f>I14/I$14</f>
        <v>1</v>
      </c>
      <c r="J104" s="511">
        <f ca="1">J14/J$14</f>
        <v>1</v>
      </c>
      <c r="K104" s="511">
        <f ca="1">K14/K$14</f>
        <v>1</v>
      </c>
      <c r="L104" s="511">
        <f ca="1">L14/L$14</f>
        <v>1</v>
      </c>
      <c r="M104" s="511">
        <f ca="1">M14/M$14</f>
        <v>1</v>
      </c>
      <c r="N104" s="511">
        <f ca="1">N14/N$14</f>
        <v>1</v>
      </c>
      <c r="O104" s="511">
        <f ca="1">O14/O$14</f>
        <v>1</v>
      </c>
      <c r="P104" s="511">
        <f ca="1">P14/P$14</f>
        <v>1</v>
      </c>
      <c r="Q104" s="511">
        <f ca="1">Q14/Q$14</f>
        <v>1</v>
      </c>
      <c r="R104" s="511">
        <f ca="1">R14/R$14</f>
        <v>1</v>
      </c>
      <c r="S104" s="511">
        <f ca="1">S14/S$14</f>
        <v>1</v>
      </c>
      <c r="U104" s="170"/>
    </row>
    <row r="105" spans="2:21">
      <c r="B105" s="495"/>
      <c r="D105" s="511"/>
      <c r="I105" s="170"/>
      <c r="U105" s="170"/>
    </row>
    <row r="106" spans="2:21" ht="15.95">
      <c r="B106" s="188" t="s">
        <v>247</v>
      </c>
      <c r="D106" s="511"/>
      <c r="E106" s="511"/>
      <c r="F106" s="511"/>
      <c r="G106" s="511"/>
      <c r="H106" s="511"/>
      <c r="I106" s="512"/>
      <c r="J106" s="511"/>
      <c r="K106" s="511"/>
      <c r="L106" s="511"/>
      <c r="M106" s="511"/>
      <c r="N106" s="511"/>
      <c r="O106" s="511"/>
      <c r="P106" s="511"/>
      <c r="Q106" s="511"/>
      <c r="R106" s="511"/>
      <c r="S106" s="511"/>
      <c r="U106" s="170"/>
    </row>
    <row r="107" spans="2:21" ht="15.95">
      <c r="B107" s="167" t="s">
        <v>248</v>
      </c>
      <c r="D107" s="511">
        <f>D17/D$14</f>
        <v>4.5111923210684753E-2</v>
      </c>
      <c r="E107" s="511">
        <f>E17/E$14</f>
        <v>4.9649658424090047E-2</v>
      </c>
      <c r="F107" s="511">
        <f>F17/F$14</f>
        <v>4.9912849819456297E-2</v>
      </c>
      <c r="G107" s="511">
        <f>G17/G$14</f>
        <v>5.6313550765703269E-2</v>
      </c>
      <c r="H107" s="511">
        <f>H17/H$14</f>
        <v>5.4073897316485889E-2</v>
      </c>
      <c r="I107" s="512">
        <f>I17/I$14</f>
        <v>5.8618963006829186E-2</v>
      </c>
      <c r="J107" s="511">
        <f ca="1">J17/J$14</f>
        <v>5.86882635838408E-2</v>
      </c>
      <c r="K107" s="511">
        <f ca="1">K17/K$14</f>
        <v>5.7226711050800995E-2</v>
      </c>
      <c r="L107" s="511">
        <f ca="1">L17/L$14</f>
        <v>5.6015423007328903E-2</v>
      </c>
      <c r="M107" s="511">
        <f ca="1">M17/M$14</f>
        <v>5.4397919132373407E-2</v>
      </c>
      <c r="N107" s="511">
        <f ca="1">N17/N$14</f>
        <v>5.2024838943513806E-2</v>
      </c>
      <c r="O107" s="511">
        <f ca="1">O17/O$14</f>
        <v>4.9320676453129139E-2</v>
      </c>
      <c r="P107" s="511">
        <f ca="1">P17/P$14</f>
        <v>4.5803661359491314E-2</v>
      </c>
      <c r="Q107" s="511">
        <f ca="1">Q17/Q$14</f>
        <v>4.2285835939378208E-2</v>
      </c>
      <c r="R107" s="511">
        <f ca="1">R17/R$14</f>
        <v>3.8942370295580168E-2</v>
      </c>
      <c r="S107" s="511">
        <f ca="1">S17/S$14</f>
        <v>3.6045250482631991E-2</v>
      </c>
      <c r="U107" s="170"/>
    </row>
    <row r="108" spans="2:21" ht="15.95">
      <c r="B108" s="167" t="s">
        <v>249</v>
      </c>
      <c r="D108" s="511">
        <f>D18/D$14</f>
        <v>5.0122237266997258E-2</v>
      </c>
      <c r="E108" s="511">
        <f>E18/E$14</f>
        <v>5.1098131274043224E-2</v>
      </c>
      <c r="F108" s="511">
        <f>F18/F$14</f>
        <v>5.3366357464554079E-2</v>
      </c>
      <c r="G108" s="511">
        <f>G18/G$14</f>
        <v>4.9279242308769601E-2</v>
      </c>
      <c r="H108" s="511">
        <f>H18/H$14</f>
        <v>4.9553889670941043E-2</v>
      </c>
      <c r="I108" s="512">
        <f>I18/I$14</f>
        <v>5.9560540434680266E-2</v>
      </c>
      <c r="J108" s="511">
        <f ca="1">J18/J$14</f>
        <v>5.4822539265699993E-2</v>
      </c>
      <c r="K108" s="511">
        <f ca="1">K18/K$14</f>
        <v>5.4438341409373661E-2</v>
      </c>
      <c r="L108" s="511">
        <f ca="1">L18/L$14</f>
        <v>5.3909528302125413E-2</v>
      </c>
      <c r="M108" s="511">
        <f ca="1">M18/M$14</f>
        <v>5.2620019423535364E-2</v>
      </c>
      <c r="N108" s="511">
        <f ca="1">N18/N$14</f>
        <v>5.0157861746133126E-2</v>
      </c>
      <c r="O108" s="511">
        <f ca="1">O18/O$14</f>
        <v>4.6918838007397927E-2</v>
      </c>
      <c r="P108" s="511">
        <f ca="1">P18/P$14</f>
        <v>4.2986252908114156E-2</v>
      </c>
      <c r="Q108" s="511">
        <f ca="1">Q18/Q$14</f>
        <v>3.9143038706147541E-2</v>
      </c>
      <c r="R108" s="511">
        <f ca="1">R18/R$14</f>
        <v>3.5549133232100412E-2</v>
      </c>
      <c r="S108" s="511">
        <f ca="1">S18/S$14</f>
        <v>3.2442636589044144E-2</v>
      </c>
      <c r="U108" s="170"/>
    </row>
    <row r="109" spans="2:21" ht="15.95">
      <c r="B109" s="167" t="s">
        <v>251</v>
      </c>
      <c r="C109" s="156"/>
      <c r="D109" s="511">
        <f>D19/D$14</f>
        <v>1.7840361103980452E-2</v>
      </c>
      <c r="E109" s="511">
        <f>E19/E$14</f>
        <v>2.7328567091552035E-2</v>
      </c>
      <c r="F109" s="511">
        <f>F19/F$14</f>
        <v>2.0096027696481323E-2</v>
      </c>
      <c r="G109" s="511">
        <f>G19/G$14</f>
        <v>2.0054195246191026E-2</v>
      </c>
      <c r="H109" s="511">
        <f>H19/H$14</f>
        <v>2.2465399702112261E-2</v>
      </c>
      <c r="I109" s="512">
        <f>I19/I$14</f>
        <v>2.6915435744619371E-2</v>
      </c>
      <c r="J109" s="511">
        <f ca="1">J19/J$14</f>
        <v>2.7580276875466166E-2</v>
      </c>
      <c r="K109" s="511">
        <f ca="1">K19/K$14</f>
        <v>2.7386993539918983E-2</v>
      </c>
      <c r="L109" s="511">
        <f ca="1">L19/L$14</f>
        <v>2.7120956758174962E-2</v>
      </c>
      <c r="M109" s="511">
        <f ca="1">M19/M$14</f>
        <v>2.6472227013415818E-2</v>
      </c>
      <c r="N109" s="511">
        <f ca="1">N19/N$14</f>
        <v>2.5233557820719472E-2</v>
      </c>
      <c r="O109" s="511">
        <f ca="1">O19/O$14</f>
        <v>2.3604060670148481E-2</v>
      </c>
      <c r="P109" s="511">
        <f ca="1">P19/P$14</f>
        <v>2.1625644724310698E-2</v>
      </c>
      <c r="Q109" s="511">
        <f ca="1">Q19/Q$14</f>
        <v>1.9692189740253063E-2</v>
      </c>
      <c r="R109" s="511">
        <f ca="1">R19/R$14</f>
        <v>1.7884157690550309E-2</v>
      </c>
      <c r="S109" s="511">
        <f ca="1">S19/S$14</f>
        <v>1.6321332643119444E-2</v>
      </c>
      <c r="T109" s="156"/>
      <c r="U109" s="170"/>
    </row>
    <row r="110" spans="2:21" ht="15.95">
      <c r="B110" s="167" t="s">
        <v>252</v>
      </c>
      <c r="C110" s="156"/>
      <c r="D110" s="511">
        <f>D20/D$14</f>
        <v>7.3632483199491145E-4</v>
      </c>
      <c r="E110" s="511">
        <f>E20/E$14</f>
        <v>0</v>
      </c>
      <c r="F110" s="511">
        <f>F20/F$14</f>
        <v>0</v>
      </c>
      <c r="G110" s="511">
        <f>G20/G$14</f>
        <v>0</v>
      </c>
      <c r="H110" s="511">
        <f>H20/H$14</f>
        <v>0</v>
      </c>
      <c r="I110" s="512">
        <f>I20/I$14</f>
        <v>0</v>
      </c>
      <c r="J110" s="511">
        <f ca="1">J20/J$14</f>
        <v>0</v>
      </c>
      <c r="K110" s="511">
        <f ca="1">K20/K$14</f>
        <v>0</v>
      </c>
      <c r="L110" s="511">
        <f ca="1">L20/L$14</f>
        <v>0</v>
      </c>
      <c r="M110" s="511">
        <f ca="1">M20/M$14</f>
        <v>0</v>
      </c>
      <c r="N110" s="511">
        <f ca="1">N20/N$14</f>
        <v>0</v>
      </c>
      <c r="O110" s="511">
        <f ca="1">O20/O$14</f>
        <v>0</v>
      </c>
      <c r="P110" s="511">
        <f ca="1">P20/P$14</f>
        <v>0</v>
      </c>
      <c r="Q110" s="511">
        <f ca="1">Q20/Q$14</f>
        <v>0</v>
      </c>
      <c r="R110" s="511">
        <f ca="1">R20/R$14</f>
        <v>0</v>
      </c>
      <c r="S110" s="511">
        <f ca="1">S20/S$14</f>
        <v>0</v>
      </c>
      <c r="T110" s="156"/>
      <c r="U110" s="170"/>
    </row>
    <row r="111" spans="2:21" ht="15.95">
      <c r="B111" s="167" t="s">
        <v>253</v>
      </c>
      <c r="D111" s="511">
        <f>D21/D$14</f>
        <v>3.8984084733544061E-2</v>
      </c>
      <c r="E111" s="511">
        <f>E21/E$14</f>
        <v>4.8367590696136407E-2</v>
      </c>
      <c r="F111" s="511">
        <f>F21/F$14</f>
        <v>5.1915507942725481E-2</v>
      </c>
      <c r="G111" s="511">
        <f>G21/G$14</f>
        <v>4.4158703482956509E-2</v>
      </c>
      <c r="H111" s="511">
        <f>H21/H$14</f>
        <v>3.7948529615066048E-2</v>
      </c>
      <c r="I111" s="512">
        <f>I21/I$14</f>
        <v>4.1310748293116241E-2</v>
      </c>
      <c r="J111" s="511">
        <f ca="1">J21/J$14</f>
        <v>4.0158568634786944E-2</v>
      </c>
      <c r="K111" s="511">
        <f ca="1">K21/K$14</f>
        <v>3.8670264224539806E-2</v>
      </c>
      <c r="L111" s="511">
        <f ca="1">L21/L$14</f>
        <v>3.6192264806270434E-2</v>
      </c>
      <c r="M111" s="511">
        <f ca="1">M21/M$14</f>
        <v>3.2663114279422902E-2</v>
      </c>
      <c r="N111" s="511">
        <f ca="1">N21/N$14</f>
        <v>2.9659745387134312E-2</v>
      </c>
      <c r="O111" s="511">
        <f ca="1">O21/O$14</f>
        <v>2.6009307135242674E-2</v>
      </c>
      <c r="P111" s="511">
        <f ca="1">P21/P$14</f>
        <v>2.3252979071428859E-2</v>
      </c>
      <c r="Q111" s="511">
        <f ca="1">Q21/Q$14</f>
        <v>2.0743874006976342E-2</v>
      </c>
      <c r="R111" s="511">
        <f ca="1">R21/R$14</f>
        <v>1.8632425221835697E-2</v>
      </c>
      <c r="S111" s="511">
        <f ca="1">S21/S$14</f>
        <v>1.6832250657972947E-2</v>
      </c>
      <c r="U111" s="170"/>
    </row>
    <row r="112" spans="2:21" ht="15.95">
      <c r="B112" s="167" t="s">
        <v>255</v>
      </c>
      <c r="D112" s="511">
        <f>D22/D$14</f>
        <v>2.7690220614671481E-4</v>
      </c>
      <c r="E112" s="511">
        <f>E22/E$14</f>
        <v>3.4171844110826523E-4</v>
      </c>
      <c r="F112" s="511">
        <f>F22/F$14</f>
        <v>3.6878466977864366E-4</v>
      </c>
      <c r="G112" s="511">
        <f>G22/G$14</f>
        <v>3.2960089630599469E-4</v>
      </c>
      <c r="H112" s="511">
        <f>H22/H$14</f>
        <v>3.101494607847262E-4</v>
      </c>
      <c r="I112" s="512">
        <f>I22/I$14</f>
        <v>3.6284241020749036E-4</v>
      </c>
      <c r="J112" s="511">
        <f ca="1">J22/J$14</f>
        <v>3.6864033045103171E-4</v>
      </c>
      <c r="K112" s="511">
        <f ca="1">K22/K$14</f>
        <v>3.3621512727492921E-4</v>
      </c>
      <c r="L112" s="511">
        <f ca="1">L22/L$14</f>
        <v>3.0660191325262542E-4</v>
      </c>
      <c r="M112" s="511">
        <f ca="1">M22/M$14</f>
        <v>2.7734730163573944E-4</v>
      </c>
      <c r="N112" s="511">
        <f ca="1">N22/N$14</f>
        <v>2.5184525516928484E-4</v>
      </c>
      <c r="O112" s="511">
        <f ca="1">O22/O$14</f>
        <v>2.2754123703909232E-4</v>
      </c>
      <c r="P112" s="511">
        <f ca="1">P22/P$14</f>
        <v>2.0342762670473881E-4</v>
      </c>
      <c r="Q112" s="511">
        <f ca="1">Q22/Q$14</f>
        <v>1.8147683550303963E-4</v>
      </c>
      <c r="R112" s="511">
        <f ca="1">R22/R$14</f>
        <v>1.6300492212151815E-4</v>
      </c>
      <c r="S112" s="511">
        <f ca="1">S22/S$14</f>
        <v>1.4725617706584497E-4</v>
      </c>
      <c r="U112" s="170"/>
    </row>
    <row r="113" spans="2:21" ht="15.95">
      <c r="B113" s="495" t="s">
        <v>257</v>
      </c>
      <c r="D113" s="511">
        <f>D23/D$14</f>
        <v>0.15307183335334815</v>
      </c>
      <c r="E113" s="511">
        <f>E23/E$14</f>
        <v>0.17678566592692999</v>
      </c>
      <c r="F113" s="511">
        <f>F23/F$14</f>
        <v>0.17565952759299583</v>
      </c>
      <c r="G113" s="511">
        <f>G23/G$14</f>
        <v>0.17013529269992639</v>
      </c>
      <c r="H113" s="511">
        <f>H23/H$14</f>
        <v>0.16435186576538996</v>
      </c>
      <c r="I113" s="512">
        <f>I23/I$14</f>
        <v>0.18676852988945256</v>
      </c>
      <c r="J113" s="511">
        <f ca="1">J23/J$14</f>
        <v>0.18161828869024496</v>
      </c>
      <c r="K113" s="511">
        <f ca="1">K23/K$14</f>
        <v>0.17805852535190839</v>
      </c>
      <c r="L113" s="511">
        <f ca="1">L23/L$14</f>
        <v>0.17354477478715236</v>
      </c>
      <c r="M113" s="511">
        <f ca="1">M23/M$14</f>
        <v>0.16643062715038323</v>
      </c>
      <c r="N113" s="511">
        <f ca="1">N23/N$14</f>
        <v>0.15732784915266998</v>
      </c>
      <c r="O113" s="511">
        <f ca="1">O23/O$14</f>
        <v>0.1460804235029573</v>
      </c>
      <c r="P113" s="511">
        <f ca="1">P23/P$14</f>
        <v>0.13387196569004975</v>
      </c>
      <c r="Q113" s="511">
        <f ca="1">Q23/Q$14</f>
        <v>0.12204641522825818</v>
      </c>
      <c r="R113" s="511">
        <f ca="1">R23/R$14</f>
        <v>0.11117109136218811</v>
      </c>
      <c r="S113" s="511">
        <f ca="1">S23/S$14</f>
        <v>0.10178872654983438</v>
      </c>
      <c r="U113" s="170"/>
    </row>
    <row r="114" spans="2:21" ht="15.95">
      <c r="B114" s="167" t="s">
        <v>258</v>
      </c>
      <c r="D114" s="511">
        <f>D24/D$14</f>
        <v>0.39622979651360291</v>
      </c>
      <c r="E114" s="511">
        <f>E24/E$14</f>
        <v>0.3811051438068076</v>
      </c>
      <c r="F114" s="511">
        <f>F24/F$14</f>
        <v>0.37491135312842633</v>
      </c>
      <c r="G114" s="511">
        <f>G24/G$14</f>
        <v>0.37297435496583486</v>
      </c>
      <c r="H114" s="511">
        <f>H24/H$14</f>
        <v>0.42064802003228918</v>
      </c>
      <c r="I114" s="512">
        <f>I24/I$14</f>
        <v>0.41757695431564101</v>
      </c>
      <c r="J114" s="511">
        <f ca="1">J24/J$14</f>
        <v>0.40593050169910111</v>
      </c>
      <c r="K114" s="511">
        <f ca="1">K24/K$14</f>
        <v>0.39088643572586151</v>
      </c>
      <c r="L114" s="511">
        <f ca="1">L24/L$14</f>
        <v>0.36583834309546787</v>
      </c>
      <c r="M114" s="511">
        <f ca="1">M24/M$14</f>
        <v>0.33016501377531121</v>
      </c>
      <c r="N114" s="511">
        <f ca="1">N24/N$14</f>
        <v>0.29980638589886605</v>
      </c>
      <c r="O114" s="511">
        <f ca="1">O24/O$14</f>
        <v>0.26290705702865458</v>
      </c>
      <c r="P114" s="511">
        <f ca="1">P24/P$14</f>
        <v>0.23504556515212296</v>
      </c>
      <c r="Q114" s="511">
        <f ca="1">Q24/Q$14</f>
        <v>0.20968305069370968</v>
      </c>
      <c r="R114" s="511">
        <f ca="1">R24/R$14</f>
        <v>0.1883401220535279</v>
      </c>
      <c r="S114" s="511">
        <f ca="1">S24/S$14</f>
        <v>0.17014361284772506</v>
      </c>
      <c r="U114" s="170"/>
    </row>
    <row r="115" spans="2:21" ht="15.95">
      <c r="B115" s="167" t="s">
        <v>260</v>
      </c>
      <c r="D115" s="511">
        <f>D25/D$14</f>
        <v>0.19757743621609095</v>
      </c>
      <c r="E115" s="511">
        <f>E25/E$14</f>
        <v>8.90819710918314E-2</v>
      </c>
      <c r="F115" s="511">
        <f>F25/F$14</f>
        <v>8.5525201711188242E-2</v>
      </c>
      <c r="G115" s="511">
        <f>G25/G$14</f>
        <v>8.1423146320650869E-2</v>
      </c>
      <c r="H115" s="511">
        <f>H25/H$14</f>
        <v>3.756655290512672E-2</v>
      </c>
      <c r="I115" s="512">
        <f>I25/I$14</f>
        <v>0</v>
      </c>
      <c r="J115" s="511">
        <f ca="1">J25/J$14</f>
        <v>0</v>
      </c>
      <c r="K115" s="511">
        <f ca="1">K25/K$14</f>
        <v>0</v>
      </c>
      <c r="L115" s="511">
        <f ca="1">L25/L$14</f>
        <v>0</v>
      </c>
      <c r="M115" s="511">
        <f ca="1">M25/M$14</f>
        <v>0</v>
      </c>
      <c r="N115" s="511">
        <f ca="1">N25/N$14</f>
        <v>0</v>
      </c>
      <c r="O115" s="511">
        <f ca="1">O25/O$14</f>
        <v>0</v>
      </c>
      <c r="P115" s="511">
        <f ca="1">P25/P$14</f>
        <v>0</v>
      </c>
      <c r="Q115" s="511">
        <f ca="1">Q25/Q$14</f>
        <v>0</v>
      </c>
      <c r="R115" s="511">
        <f ca="1">R25/R$14</f>
        <v>0</v>
      </c>
      <c r="S115" s="511">
        <f ca="1">S25/S$14</f>
        <v>0</v>
      </c>
      <c r="U115" s="170"/>
    </row>
    <row r="116" spans="2:21" ht="15.95">
      <c r="B116" s="167" t="s">
        <v>262</v>
      </c>
      <c r="D116" s="511">
        <f>D26/D$14</f>
        <v>4.1935627214712686E-3</v>
      </c>
      <c r="E116" s="511">
        <f>E26/E$14</f>
        <v>3.7268333425978582E-3</v>
      </c>
      <c r="F116" s="511">
        <f>F26/F$14</f>
        <v>3.3033253908929345E-3</v>
      </c>
      <c r="G116" s="511">
        <f>G26/G$14</f>
        <v>2.8993153941857361E-3</v>
      </c>
      <c r="H116" s="511">
        <f>H26/H$14</f>
        <v>2.6101240958482045E-3</v>
      </c>
      <c r="I116" s="512">
        <f>I26/I$14</f>
        <v>1.9908264868916657E-3</v>
      </c>
      <c r="J116" s="511">
        <f ca="1">J26/J$14</f>
        <v>1.8432016522551583E-3</v>
      </c>
      <c r="K116" s="511">
        <f ca="1">K26/K$14</f>
        <v>1.6810756363746459E-3</v>
      </c>
      <c r="L116" s="511">
        <f ca="1">L26/L$14</f>
        <v>1.5330095662631272E-3</v>
      </c>
      <c r="M116" s="511">
        <f ca="1">M26/M$14</f>
        <v>1.386736508178697E-3</v>
      </c>
      <c r="N116" s="511">
        <f ca="1">N26/N$14</f>
        <v>1.2592262758464243E-3</v>
      </c>
      <c r="O116" s="511">
        <f ca="1">O26/O$14</f>
        <v>1.1377061851954614E-3</v>
      </c>
      <c r="P116" s="511">
        <f ca="1">P26/P$14</f>
        <v>1.017138133523694E-3</v>
      </c>
      <c r="Q116" s="511">
        <f ca="1">Q26/Q$14</f>
        <v>9.0738417751519797E-4</v>
      </c>
      <c r="R116" s="511">
        <f ca="1">R26/R$14</f>
        <v>8.1502461060759066E-4</v>
      </c>
      <c r="S116" s="511">
        <f ca="1">S26/S$14</f>
        <v>7.3628088532922483E-4</v>
      </c>
      <c r="U116" s="170"/>
    </row>
    <row r="117" spans="2:21" ht="15.95">
      <c r="B117" s="167" t="s">
        <v>263</v>
      </c>
      <c r="C117" s="156"/>
      <c r="D117" s="511">
        <f>D27/D$14</f>
        <v>0.20177099893756223</v>
      </c>
      <c r="E117" s="511">
        <f>E27/E$14</f>
        <v>9.2808804434429251E-2</v>
      </c>
      <c r="F117" s="511">
        <f>F27/F$14</f>
        <v>8.8828527102081167E-2</v>
      </c>
      <c r="G117" s="511">
        <f>G27/G$14</f>
        <v>8.4322461714836594E-2</v>
      </c>
      <c r="H117" s="511">
        <f>H27/H$14</f>
        <v>4.0176677000974929E-2</v>
      </c>
      <c r="I117" s="512">
        <f>I27/I$14</f>
        <v>1.9908264868916657E-3</v>
      </c>
      <c r="J117" s="511">
        <f ca="1">J27/J$14</f>
        <v>1.8432016522551583E-3</v>
      </c>
      <c r="K117" s="511">
        <f ca="1">K27/K$14</f>
        <v>1.6810756363746459E-3</v>
      </c>
      <c r="L117" s="511">
        <f ca="1">L27/L$14</f>
        <v>1.5330095662631272E-3</v>
      </c>
      <c r="M117" s="511">
        <f ca="1">M27/M$14</f>
        <v>1.386736508178697E-3</v>
      </c>
      <c r="N117" s="511">
        <f ca="1">N27/N$14</f>
        <v>1.2592262758464243E-3</v>
      </c>
      <c r="O117" s="511">
        <f ca="1">O27/O$14</f>
        <v>1.1377061851954614E-3</v>
      </c>
      <c r="P117" s="511">
        <f ca="1">P27/P$14</f>
        <v>1.017138133523694E-3</v>
      </c>
      <c r="Q117" s="511">
        <f ca="1">Q27/Q$14</f>
        <v>9.0738417751519797E-4</v>
      </c>
      <c r="R117" s="511">
        <f ca="1">R27/R$14</f>
        <v>8.1502461060759066E-4</v>
      </c>
      <c r="S117" s="511">
        <f ca="1">S27/S$14</f>
        <v>7.3628088532922483E-4</v>
      </c>
      <c r="T117" s="156"/>
      <c r="U117" s="170"/>
    </row>
    <row r="118" spans="2:21" ht="15.95">
      <c r="B118" s="167" t="s">
        <v>265</v>
      </c>
      <c r="D118" s="511">
        <f>D28/D$14</f>
        <v>1.5246881820415331E-2</v>
      </c>
      <c r="E118" s="511">
        <f>E28/E$14</f>
        <v>1.4578086405236024E-2</v>
      </c>
      <c r="F118" s="511">
        <f>F28/F$14</f>
        <v>1.2420311893305601E-2</v>
      </c>
      <c r="G118" s="511">
        <f>G28/G$14</f>
        <v>1.1835668549169809E-2</v>
      </c>
      <c r="H118" s="511">
        <f>H28/H$14</f>
        <v>1.0900310990951571E-2</v>
      </c>
      <c r="I118" s="512">
        <f>I28/I$14</f>
        <v>1.0508696269589989E-2</v>
      </c>
      <c r="J118" s="511">
        <f ca="1">J28/J$14</f>
        <v>9.6210268170230807E-3</v>
      </c>
      <c r="K118" s="511">
        <f ca="1">K28/K$14</f>
        <v>9.4903335075955213E-3</v>
      </c>
      <c r="L118" s="511">
        <f ca="1">L28/L$14</f>
        <v>9.3671275931988124E-3</v>
      </c>
      <c r="M118" s="511">
        <f ca="1">M28/M$14</f>
        <v>9.173342180838687E-3</v>
      </c>
      <c r="N118" s="511">
        <f ca="1">N28/N$14</f>
        <v>8.7731600242013166E-3</v>
      </c>
      <c r="O118" s="511">
        <f ca="1">O28/O$14</f>
        <v>8.3171461135125042E-3</v>
      </c>
      <c r="P118" s="511">
        <f ca="1">P28/P$14</f>
        <v>7.7240575648383327E-3</v>
      </c>
      <c r="Q118" s="511">
        <f ca="1">Q28/Q$14</f>
        <v>7.1308323675174047E-3</v>
      </c>
      <c r="R118" s="511">
        <f ca="1">R28/R$14</f>
        <v>6.5670101678887314E-3</v>
      </c>
      <c r="S118" s="511">
        <f ca="1">S28/S$14</f>
        <v>6.0784570797018534E-3</v>
      </c>
      <c r="U118" s="170"/>
    </row>
    <row r="119" spans="2:21" ht="15.95">
      <c r="B119" s="167" t="s">
        <v>266</v>
      </c>
      <c r="D119" s="511">
        <f>D29/D$14</f>
        <v>1.9961931455319406E-2</v>
      </c>
      <c r="E119" s="511">
        <f>E29/E$14</f>
        <v>2.06930292288637E-2</v>
      </c>
      <c r="F119" s="511">
        <f>F29/F$14</f>
        <v>1.9805926212276972E-2</v>
      </c>
      <c r="G119" s="511">
        <f>G29/G$14</f>
        <v>1.9907307890228571E-2</v>
      </c>
      <c r="H119" s="511">
        <f>H29/H$14</f>
        <v>1.8747513094197681E-2</v>
      </c>
      <c r="I119" s="512">
        <f>I29/I$14</f>
        <v>2.006730026294401E-2</v>
      </c>
      <c r="J119" s="511">
        <f ca="1">J29/J$14</f>
        <v>2.1052929494131713E-2</v>
      </c>
      <c r="K119" s="511">
        <f ca="1">K29/K$14</f>
        <v>2.2023097245969923E-2</v>
      </c>
      <c r="L119" s="511">
        <f ca="1">L29/L$14</f>
        <v>2.3268615600830201E-2</v>
      </c>
      <c r="M119" s="511">
        <f ca="1">M29/M$14</f>
        <v>2.5252086595806116E-2</v>
      </c>
      <c r="N119" s="511">
        <f ca="1">N29/N$14</f>
        <v>2.559250147226667E-2</v>
      </c>
      <c r="O119" s="511">
        <f ca="1">O29/O$14</f>
        <v>2.6387683831405242E-2</v>
      </c>
      <c r="P119" s="511">
        <f ca="1">P29/P$14</f>
        <v>2.5948809995272052E-2</v>
      </c>
      <c r="Q119" s="511">
        <f ca="1">Q29/Q$14</f>
        <v>2.5246874668813122E-2</v>
      </c>
      <c r="R119" s="511">
        <f ca="1">R29/R$14</f>
        <v>2.4108415163177594E-2</v>
      </c>
      <c r="S119" s="511">
        <f ca="1">S29/S$14</f>
        <v>2.3066428593724077E-2</v>
      </c>
      <c r="U119" s="170"/>
    </row>
    <row r="120" spans="2:21" ht="15.95">
      <c r="B120" s="495" t="s">
        <v>268</v>
      </c>
      <c r="D120" s="511">
        <f>D30/D$14</f>
        <v>0.78628144208024797</v>
      </c>
      <c r="E120" s="511">
        <f>E30/E$14</f>
        <v>0.68597072980226648</v>
      </c>
      <c r="F120" s="511">
        <f>F30/F$14</f>
        <v>0.67162564592908591</v>
      </c>
      <c r="G120" s="511">
        <f>G30/G$14</f>
        <v>0.65917508581999618</v>
      </c>
      <c r="H120" s="511">
        <f>H30/H$14</f>
        <v>0.6548243868838034</v>
      </c>
      <c r="I120" s="512">
        <f>I30/I$14</f>
        <v>0.6369123072245193</v>
      </c>
      <c r="J120" s="511">
        <f ca="1">J30/J$14</f>
        <v>0.62006594835275619</v>
      </c>
      <c r="K120" s="511">
        <f ca="1">K30/K$14</f>
        <v>0.60213946746770985</v>
      </c>
      <c r="L120" s="511">
        <f ca="1">L30/L$14</f>
        <v>0.57355187064291224</v>
      </c>
      <c r="M120" s="511">
        <f ca="1">M30/M$14</f>
        <v>0.53240780621051786</v>
      </c>
      <c r="N120" s="511">
        <f ca="1">N30/N$14</f>
        <v>0.49275912282385043</v>
      </c>
      <c r="O120" s="511">
        <f ca="1">O30/O$14</f>
        <v>0.44483001666172506</v>
      </c>
      <c r="P120" s="511">
        <f ca="1">P30/P$14</f>
        <v>0.40360753653580678</v>
      </c>
      <c r="Q120" s="511">
        <f ca="1">Q30/Q$14</f>
        <v>0.36501455713581366</v>
      </c>
      <c r="R120" s="511">
        <f ca="1">R30/R$14</f>
        <v>0.33100166335738995</v>
      </c>
      <c r="S120" s="511">
        <f ca="1">S30/S$14</f>
        <v>0.30181350595631462</v>
      </c>
      <c r="U120" s="170"/>
    </row>
    <row r="121" spans="2:21">
      <c r="B121" s="167"/>
      <c r="C121" s="156"/>
      <c r="D121" s="511"/>
      <c r="E121" s="511"/>
      <c r="F121" s="511"/>
      <c r="G121" s="511"/>
      <c r="H121" s="511"/>
      <c r="I121" s="512"/>
      <c r="J121" s="511"/>
      <c r="K121" s="511"/>
      <c r="L121" s="511"/>
      <c r="M121" s="511"/>
      <c r="N121" s="511"/>
      <c r="O121" s="511"/>
      <c r="P121" s="511"/>
      <c r="Q121" s="511"/>
      <c r="R121" s="511"/>
      <c r="S121" s="511"/>
      <c r="T121" s="156"/>
      <c r="U121" s="496"/>
    </row>
    <row r="122" spans="2:21" ht="15.95">
      <c r="B122" s="188" t="s">
        <v>269</v>
      </c>
      <c r="D122" s="511"/>
      <c r="E122" s="511"/>
      <c r="F122" s="511"/>
      <c r="G122" s="511"/>
      <c r="H122" s="511"/>
      <c r="I122" s="512"/>
      <c r="J122" s="511"/>
      <c r="K122" s="511"/>
      <c r="L122" s="511"/>
      <c r="M122" s="511"/>
      <c r="N122" s="511"/>
      <c r="O122" s="511"/>
      <c r="P122" s="511"/>
      <c r="Q122" s="511"/>
      <c r="R122" s="511"/>
      <c r="S122" s="511"/>
      <c r="U122" s="170"/>
    </row>
    <row r="123" spans="2:21">
      <c r="B123" s="319" t="s">
        <v>270</v>
      </c>
      <c r="D123" s="511">
        <f>D33/D$14</f>
        <v>4.296758371242127E-5</v>
      </c>
      <c r="E123" s="511">
        <f>E33/E$14</f>
        <v>4.2046690355344421E-5</v>
      </c>
      <c r="F123" s="511">
        <f>F33/F$14</f>
        <v>3.7973189559767579E-5</v>
      </c>
      <c r="G123" s="511">
        <f>G33/G$14</f>
        <v>3.4197721454673365E-5</v>
      </c>
      <c r="H123" s="511">
        <f>H33/H$14</f>
        <v>3.0353774747342393E-5</v>
      </c>
      <c r="I123" s="512">
        <f>I33/I$14</f>
        <v>2.7192580325920927E-5</v>
      </c>
      <c r="J123" s="511">
        <f ca="1">J33/J$14</f>
        <v>2.4111649520779687E-5</v>
      </c>
      <c r="K123" s="511">
        <f ca="1">K33/K$14</f>
        <v>2.0755573181818063E-5</v>
      </c>
      <c r="L123" s="511">
        <f ca="1">L33/L$14</f>
        <v>1.7861777029004989E-5</v>
      </c>
      <c r="M123" s="511">
        <f ca="1">M33/M$14</f>
        <v>1.5383321490485748E-5</v>
      </c>
      <c r="N123" s="511">
        <f ca="1">N33/N$14</f>
        <v>1.3161254361148226E-5</v>
      </c>
      <c r="O123" s="511">
        <f ca="1">O33/O$14</f>
        <v>1.1409792975237113E-5</v>
      </c>
      <c r="P123" s="511">
        <f ca="1">P33/P$14</f>
        <v>9.8606223285199467E-6</v>
      </c>
      <c r="Q123" s="511">
        <f ca="1">Q33/Q$14</f>
        <v>8.5850982046336442E-6</v>
      </c>
      <c r="R123" s="511">
        <f ca="1">R33/R$14</f>
        <v>7.5301848262422982E-6</v>
      </c>
      <c r="S123" s="511">
        <f ca="1">S33/S$14</f>
        <v>6.6376309142195356E-6</v>
      </c>
      <c r="U123" s="170"/>
    </row>
    <row r="124" spans="2:21" ht="15.95">
      <c r="B124" s="167" t="s">
        <v>272</v>
      </c>
      <c r="D124" s="511">
        <f>D34/D$14</f>
        <v>0.24640844250588417</v>
      </c>
      <c r="E124" s="511">
        <f>E34/E$14</f>
        <v>0.24467182914505539</v>
      </c>
      <c r="F124" s="511">
        <f>F34/F$14</f>
        <v>0.24107878068430424</v>
      </c>
      <c r="G124" s="511">
        <f>G34/G$14</f>
        <v>0.23656518085709261</v>
      </c>
      <c r="H124" s="511">
        <f>H34/H$14</f>
        <v>0.23286273962952767</v>
      </c>
      <c r="I124" s="512">
        <f>I34/I$14</f>
        <v>0.22197385721807816</v>
      </c>
      <c r="J124" s="511">
        <f ca="1">J34/J$14</f>
        <v>0.19682412569417068</v>
      </c>
      <c r="K124" s="511">
        <f ca="1">K34/K$14</f>
        <v>0.16942837283994394</v>
      </c>
      <c r="L124" s="511">
        <f ca="1">L34/L$14</f>
        <v>0.14580622715373831</v>
      </c>
      <c r="M124" s="511">
        <f ca="1">M34/M$14</f>
        <v>0.12557451948809245</v>
      </c>
      <c r="N124" s="511">
        <f ca="1">N34/N$14</f>
        <v>0.10743571817594269</v>
      </c>
      <c r="O124" s="511">
        <f ca="1">O34/O$14</f>
        <v>9.3138485808162835E-2</v>
      </c>
      <c r="P124" s="511">
        <f ca="1">P34/P$14</f>
        <v>8.0492558874445563E-2</v>
      </c>
      <c r="Q124" s="511">
        <f ca="1">Q34/Q$14</f>
        <v>7.0080416798915482E-2</v>
      </c>
      <c r="R124" s="511">
        <f ca="1">R34/R$14</f>
        <v>6.1469126924034855E-2</v>
      </c>
      <c r="S124" s="511">
        <f ca="1">S34/S$14</f>
        <v>5.4183182293104808E-2</v>
      </c>
      <c r="U124" s="170"/>
    </row>
    <row r="125" spans="2:21" ht="15.95">
      <c r="B125" s="167" t="s">
        <v>273</v>
      </c>
      <c r="D125" s="511">
        <f>D35/D$14</f>
        <v>-1.7194378371073195E-3</v>
      </c>
      <c r="E125" s="511">
        <f>E35/E$14</f>
        <v>-3.0195224921287169E-3</v>
      </c>
      <c r="F125" s="511">
        <f>F35/F$14</f>
        <v>-1.2856148321225816E-3</v>
      </c>
      <c r="G125" s="511">
        <f>G35/G$14</f>
        <v>0</v>
      </c>
      <c r="H125" s="511">
        <f>H35/H$14</f>
        <v>0</v>
      </c>
      <c r="I125" s="512">
        <f>I35/I$14</f>
        <v>0</v>
      </c>
      <c r="J125" s="511">
        <f ca="1">J35/J$14</f>
        <v>0</v>
      </c>
      <c r="K125" s="511">
        <f ca="1">K35/K$14</f>
        <v>0</v>
      </c>
      <c r="L125" s="511">
        <f ca="1">L35/L$14</f>
        <v>0</v>
      </c>
      <c r="M125" s="511">
        <f ca="1">M35/M$14</f>
        <v>0</v>
      </c>
      <c r="N125" s="511">
        <f ca="1">N35/N$14</f>
        <v>0</v>
      </c>
      <c r="O125" s="511">
        <f ca="1">O35/O$14</f>
        <v>0</v>
      </c>
      <c r="P125" s="511">
        <f ca="1">P35/P$14</f>
        <v>0</v>
      </c>
      <c r="Q125" s="511">
        <f ca="1">Q35/Q$14</f>
        <v>0</v>
      </c>
      <c r="R125" s="511">
        <f ca="1">R35/R$14</f>
        <v>0</v>
      </c>
      <c r="S125" s="511">
        <f ca="1">S35/S$14</f>
        <v>0</v>
      </c>
      <c r="U125" s="170"/>
    </row>
    <row r="126" spans="2:21" ht="15.95">
      <c r="B126" s="167" t="s">
        <v>274</v>
      </c>
      <c r="D126" s="511">
        <f>D36/D$14</f>
        <v>-3.1013414332737296E-2</v>
      </c>
      <c r="E126" s="511">
        <f>E36/E$14</f>
        <v>7.2334916854451467E-2</v>
      </c>
      <c r="F126" s="511">
        <f>F36/F$14</f>
        <v>8.8543215029172645E-2</v>
      </c>
      <c r="G126" s="511">
        <f>G36/G$14</f>
        <v>0.1042255356014565</v>
      </c>
      <c r="H126" s="511">
        <f>H36/H$14</f>
        <v>0.11228251971192164</v>
      </c>
      <c r="I126" s="512">
        <f>I36/I$14</f>
        <v>0.14108664297707665</v>
      </c>
      <c r="J126" s="511">
        <f ca="1">J36/J$14</f>
        <v>0.18308581430355259</v>
      </c>
      <c r="K126" s="511">
        <f ca="1">K36/K$14</f>
        <v>0.2284114041191643</v>
      </c>
      <c r="L126" s="511">
        <f ca="1">L36/L$14</f>
        <v>0.28062404042632039</v>
      </c>
      <c r="M126" s="511">
        <f ca="1">M36/M$14</f>
        <v>0.3420022909798992</v>
      </c>
      <c r="N126" s="511">
        <f ca="1">N36/N$14</f>
        <v>0.39979199774584567</v>
      </c>
      <c r="O126" s="511">
        <f ca="1">O36/O$14</f>
        <v>0.46202008773713676</v>
      </c>
      <c r="P126" s="511">
        <f ca="1">P36/P$14</f>
        <v>0.51589004396741911</v>
      </c>
      <c r="Q126" s="511">
        <f ca="1">Q36/Q$14</f>
        <v>0.56489644096706626</v>
      </c>
      <c r="R126" s="511">
        <f ca="1">R36/R$14</f>
        <v>0.60752167953374892</v>
      </c>
      <c r="S126" s="511">
        <f ca="1">S36/S$14</f>
        <v>0.64399667411966621</v>
      </c>
      <c r="U126" s="170"/>
    </row>
    <row r="127" spans="2:21" ht="15.95">
      <c r="B127" s="495" t="s">
        <v>275</v>
      </c>
      <c r="D127" s="511">
        <f>D37/D$14</f>
        <v>0.21371855791975197</v>
      </c>
      <c r="E127" s="511">
        <f>E37/E$14</f>
        <v>0.31402927019773347</v>
      </c>
      <c r="F127" s="511">
        <f>F37/F$14</f>
        <v>0.32837435407091409</v>
      </c>
      <c r="G127" s="511">
        <f>G37/G$14</f>
        <v>0.34082491418000377</v>
      </c>
      <c r="H127" s="511">
        <f>H37/H$14</f>
        <v>0.34517561311619666</v>
      </c>
      <c r="I127" s="512">
        <f>I37/I$14</f>
        <v>0.36308769277548075</v>
      </c>
      <c r="J127" s="511">
        <f ca="1">J37/J$14</f>
        <v>0.37993405164724409</v>
      </c>
      <c r="K127" s="511">
        <f ca="1">K37/K$14</f>
        <v>0.39786053253229003</v>
      </c>
      <c r="L127" s="511">
        <f ca="1">L37/L$14</f>
        <v>0.4264481293570877</v>
      </c>
      <c r="M127" s="511">
        <f ca="1">M37/M$14</f>
        <v>0.46759219378948214</v>
      </c>
      <c r="N127" s="511">
        <f ca="1">N37/N$14</f>
        <v>0.50724087717614952</v>
      </c>
      <c r="O127" s="511">
        <f ca="1">O37/O$14</f>
        <v>0.55516998333827483</v>
      </c>
      <c r="P127" s="511">
        <f ca="1">P37/P$14</f>
        <v>0.59639246346419317</v>
      </c>
      <c r="Q127" s="511">
        <f ca="1">Q37/Q$14</f>
        <v>0.63498544286418634</v>
      </c>
      <c r="R127" s="511">
        <f ca="1">R37/R$14</f>
        <v>0.6689983366426101</v>
      </c>
      <c r="S127" s="511">
        <f ca="1">S37/S$14</f>
        <v>0.69818649404368516</v>
      </c>
      <c r="U127" s="170"/>
    </row>
    <row r="128" spans="2:21" ht="15.95">
      <c r="B128" s="498" t="s">
        <v>276</v>
      </c>
      <c r="C128" s="174"/>
      <c r="D128" s="513">
        <f>D38/D$14</f>
        <v>1</v>
      </c>
      <c r="E128" s="513">
        <f>E38/E$14</f>
        <v>1</v>
      </c>
      <c r="F128" s="513">
        <f>F38/F$14</f>
        <v>1</v>
      </c>
      <c r="G128" s="513">
        <f>G38/G$14</f>
        <v>1</v>
      </c>
      <c r="H128" s="513">
        <f>H38/H$14</f>
        <v>1</v>
      </c>
      <c r="I128" s="514">
        <f>I38/I$14</f>
        <v>1</v>
      </c>
      <c r="J128" s="513">
        <f ca="1">J38/J$14</f>
        <v>1.0000000000000002</v>
      </c>
      <c r="K128" s="513">
        <f ca="1">K38/K$14</f>
        <v>1</v>
      </c>
      <c r="L128" s="513">
        <f ca="1">L38/L$14</f>
        <v>1</v>
      </c>
      <c r="M128" s="513">
        <f ca="1">M38/M$14</f>
        <v>1</v>
      </c>
      <c r="N128" s="513">
        <f ca="1">N38/N$14</f>
        <v>1</v>
      </c>
      <c r="O128" s="513">
        <f ca="1">O38/O$14</f>
        <v>0.99999999999999978</v>
      </c>
      <c r="P128" s="513">
        <f ca="1">P38/P$14</f>
        <v>1</v>
      </c>
      <c r="Q128" s="513">
        <f ca="1">Q38/Q$14</f>
        <v>1</v>
      </c>
      <c r="R128" s="513">
        <f ca="1">R38/R$14</f>
        <v>1</v>
      </c>
      <c r="S128" s="513">
        <f ca="1">S38/S$14</f>
        <v>0.99999999999999989</v>
      </c>
      <c r="T128" s="174"/>
      <c r="U128" s="178"/>
    </row>
    <row r="129" spans="2:21">
      <c r="B129" s="511"/>
      <c r="C129" s="511"/>
      <c r="D129" s="511"/>
      <c r="E129" s="511"/>
      <c r="F129" s="511"/>
      <c r="G129" s="511"/>
      <c r="H129" s="511"/>
      <c r="I129" s="511"/>
      <c r="J129" s="310"/>
      <c r="K129" s="310"/>
      <c r="L129" s="310"/>
      <c r="M129" s="310"/>
      <c r="N129" s="310"/>
      <c r="O129" s="310"/>
      <c r="P129" s="310"/>
      <c r="Q129" s="310"/>
      <c r="R129" s="310"/>
      <c r="S129" s="310"/>
      <c r="U129" s="170"/>
    </row>
    <row r="130" spans="2:21" ht="15.95">
      <c r="B130" s="478" t="s">
        <v>224</v>
      </c>
      <c r="C130" s="480"/>
      <c r="D130" s="480" t="s">
        <v>86</v>
      </c>
      <c r="E130" s="480" t="s">
        <v>87</v>
      </c>
      <c r="F130" s="479" t="s">
        <v>88</v>
      </c>
      <c r="G130" s="479" t="s">
        <v>89</v>
      </c>
      <c r="H130" s="479" t="s">
        <v>90</v>
      </c>
      <c r="I130" s="482" t="s">
        <v>91</v>
      </c>
      <c r="J130" s="499" t="s">
        <v>183</v>
      </c>
      <c r="K130" s="499" t="s">
        <v>184</v>
      </c>
      <c r="L130" s="499" t="s">
        <v>185</v>
      </c>
      <c r="M130" s="499" t="s">
        <v>186</v>
      </c>
      <c r="N130" s="499" t="s">
        <v>187</v>
      </c>
      <c r="O130" s="499" t="s">
        <v>188</v>
      </c>
      <c r="P130" s="499" t="s">
        <v>189</v>
      </c>
      <c r="Q130" s="499" t="s">
        <v>190</v>
      </c>
      <c r="R130" s="499" t="s">
        <v>191</v>
      </c>
      <c r="S130" s="499" t="s">
        <v>192</v>
      </c>
      <c r="T130" s="426"/>
      <c r="U130" s="427"/>
    </row>
    <row r="131" spans="2:21" ht="15.95">
      <c r="B131" s="188" t="s">
        <v>228</v>
      </c>
      <c r="C131" s="311"/>
      <c r="I131" s="378"/>
      <c r="J131" s="311"/>
      <c r="K131" s="311"/>
      <c r="L131" s="311"/>
      <c r="M131" s="311"/>
      <c r="N131" s="311"/>
      <c r="U131" s="170"/>
    </row>
    <row r="132" spans="2:21" ht="15.95">
      <c r="B132" s="167" t="s">
        <v>229</v>
      </c>
      <c r="D132" s="511"/>
      <c r="E132" s="511">
        <f>E4/D4-1</f>
        <v>0.98908737135757319</v>
      </c>
      <c r="F132" s="511">
        <f>F4/E4-1</f>
        <v>0.4454409918855371</v>
      </c>
      <c r="G132" s="511">
        <f>G4/F4-1</f>
        <v>0.19546898123422762</v>
      </c>
      <c r="H132" s="511">
        <f>H4/G4-1</f>
        <v>-0.31183052384963494</v>
      </c>
      <c r="I132" s="512">
        <f>I4/H4-1</f>
        <v>0.31400834514405784</v>
      </c>
      <c r="J132" s="511">
        <f ca="1">J4/I4-1</f>
        <v>0.58103614546098625</v>
      </c>
      <c r="K132" s="511">
        <f ca="1">K4/J4-1</f>
        <v>0.64213157013307587</v>
      </c>
      <c r="L132" s="511">
        <f ca="1">L4/K4-1</f>
        <v>0.55492885242284018</v>
      </c>
      <c r="M132" s="511">
        <f ca="1">M4/L4-1</f>
        <v>0.52798565514265738</v>
      </c>
      <c r="N132" s="511">
        <f ca="1">N4/M4-1</f>
        <v>0.4589809434004366</v>
      </c>
      <c r="O132" s="511">
        <f ca="1">O4/N4-1</f>
        <v>0.40450075666541729</v>
      </c>
      <c r="P132" s="511">
        <f ca="1">P4/O4-1</f>
        <v>0.34274034282919574</v>
      </c>
      <c r="Q132" s="511">
        <f ca="1">Q4/P4-1</f>
        <v>0.29444820357700152</v>
      </c>
      <c r="R132" s="511">
        <f ca="1">R4/Q4-1</f>
        <v>0.24985140634498371</v>
      </c>
      <c r="S132" s="511">
        <f ca="1">S4/R4-1</f>
        <v>0.21958346535520934</v>
      </c>
      <c r="U132" s="170"/>
    </row>
    <row r="133" spans="2:21" ht="15.95">
      <c r="B133" s="167" t="s">
        <v>231</v>
      </c>
      <c r="D133" s="511"/>
      <c r="E133" s="511">
        <f>E5/D5-1</f>
        <v>-5.7150130465219884E-2</v>
      </c>
      <c r="F133" s="511">
        <f>F5/E5-1</f>
        <v>0.45622679716503534</v>
      </c>
      <c r="G133" s="511">
        <f>G5/F5-1</f>
        <v>-0.25336052655974783</v>
      </c>
      <c r="H133" s="511">
        <f>H5/G5-1</f>
        <v>0.88185994536876078</v>
      </c>
      <c r="I133" s="512">
        <f>I5/H5-1</f>
        <v>1.9397618183617515E-2</v>
      </c>
      <c r="J133" s="511">
        <f>J5/I5-1</f>
        <v>0.13720779220779211</v>
      </c>
      <c r="K133" s="511">
        <f>K5/J5-1</f>
        <v>0.14591456736035058</v>
      </c>
      <c r="L133" s="511">
        <f>L5/K5-1</f>
        <v>0.14692502532928065</v>
      </c>
      <c r="M133" s="511">
        <f>M5/L5-1</f>
        <v>0.13709226467847135</v>
      </c>
      <c r="N133" s="511">
        <f>N5/M5-1</f>
        <v>0.11784423407917388</v>
      </c>
      <c r="O133" s="511">
        <f>O5/N5-1</f>
        <v>9.3547868061142569E-2</v>
      </c>
      <c r="P133" s="511">
        <f>P5/O5-1</f>
        <v>7.4594491201223967E-2</v>
      </c>
      <c r="Q133" s="511">
        <f>Q5/P5-1</f>
        <v>6.0361090641120274E-2</v>
      </c>
      <c r="R133" s="511">
        <f>R5/Q5-1</f>
        <v>4.9946313528990594E-2</v>
      </c>
      <c r="S133" s="511">
        <f>S5/R5-1</f>
        <v>5.0069881201956434E-2</v>
      </c>
      <c r="U133" s="170"/>
    </row>
    <row r="134" spans="2:21" ht="15.95">
      <c r="B134" s="167" t="s">
        <v>233</v>
      </c>
      <c r="D134" s="511"/>
      <c r="E134" s="511">
        <f>E6/D6-1</f>
        <v>-7.8828461585845333E-2</v>
      </c>
      <c r="F134" s="511">
        <f>F6/E6-1</f>
        <v>4.3910095034300545E-2</v>
      </c>
      <c r="G134" s="511">
        <f>G6/F6-1</f>
        <v>0.17015905074476145</v>
      </c>
      <c r="H134" s="511">
        <f>H6/G6-1</f>
        <v>4.0744497576840732E-2</v>
      </c>
      <c r="I134" s="512">
        <f>I6/H6-1</f>
        <v>6.2286895339698889E-2</v>
      </c>
      <c r="J134" s="511">
        <f>J6/I6-1</f>
        <v>0.10737541872745715</v>
      </c>
      <c r="K134" s="511">
        <f>K6/J6-1</f>
        <v>0.11681029527315645</v>
      </c>
      <c r="L134" s="511">
        <f>L6/K6-1</f>
        <v>0.13741486757364818</v>
      </c>
      <c r="M134" s="511">
        <f>M6/L6-1</f>
        <v>0.12758480427146068</v>
      </c>
      <c r="N134" s="511">
        <f>N6/M6-1</f>
        <v>0.11784423407917388</v>
      </c>
      <c r="O134" s="511">
        <f>O6/N6-1</f>
        <v>9.3547868061142569E-2</v>
      </c>
      <c r="P134" s="511">
        <f>P6/O6-1</f>
        <v>7.4594491201223967E-2</v>
      </c>
      <c r="Q134" s="511">
        <f>Q6/P6-1</f>
        <v>6.0361090641120052E-2</v>
      </c>
      <c r="R134" s="511">
        <f>R6/Q6-1</f>
        <v>4.9946313528990594E-2</v>
      </c>
      <c r="S134" s="511">
        <f>S6/R6-1</f>
        <v>5.0069881201956434E-2</v>
      </c>
      <c r="U134" s="170"/>
    </row>
    <row r="135" spans="2:21" ht="15.95">
      <c r="B135" s="167" t="s">
        <v>235</v>
      </c>
      <c r="D135" s="511"/>
      <c r="E135" s="511">
        <f>E7/D7-1</f>
        <v>1.5130619403673959</v>
      </c>
      <c r="F135" s="511">
        <f>F7/E7-1</f>
        <v>0.30282104025859535</v>
      </c>
      <c r="G135" s="511">
        <f>G7/F7-1</f>
        <v>0.52018721100710508</v>
      </c>
      <c r="H135" s="511">
        <f>H7/G7-1</f>
        <v>-0.10109796357431655</v>
      </c>
      <c r="I135" s="512">
        <f>I7/H7-1</f>
        <v>-0.25452369653578721</v>
      </c>
      <c r="J135" s="511">
        <f>J7/I7-1</f>
        <v>0.12077682848737026</v>
      </c>
      <c r="K135" s="511">
        <f>K7/J7-1</f>
        <v>0.13276472806277284</v>
      </c>
      <c r="L135" s="511">
        <f>L7/K7-1</f>
        <v>0.13741486757364796</v>
      </c>
      <c r="M135" s="511">
        <f>M7/L7-1</f>
        <v>0.12758480427146091</v>
      </c>
      <c r="N135" s="511">
        <f>N7/M7-1</f>
        <v>0.1178442340791741</v>
      </c>
      <c r="O135" s="511">
        <f>O7/N7-1</f>
        <v>9.3547868061142347E-2</v>
      </c>
      <c r="P135" s="511">
        <f>P7/O7-1</f>
        <v>7.4594491201223967E-2</v>
      </c>
      <c r="Q135" s="511">
        <f>Q7/P7-1</f>
        <v>6.0361090641120052E-2</v>
      </c>
      <c r="R135" s="511">
        <f>R7/Q7-1</f>
        <v>4.9946313528990594E-2</v>
      </c>
      <c r="S135" s="511">
        <f>S7/R7-1</f>
        <v>5.0069881201956434E-2</v>
      </c>
      <c r="U135" s="170"/>
    </row>
    <row r="136" spans="2:21" ht="15.95">
      <c r="B136" s="495" t="s">
        <v>236</v>
      </c>
      <c r="D136" s="511"/>
      <c r="E136" s="511">
        <f>E8/D8-1</f>
        <v>0.20142636506385392</v>
      </c>
      <c r="F136" s="511">
        <f>F8/E8-1</f>
        <v>0.21837926002231955</v>
      </c>
      <c r="G136" s="511">
        <f>G8/F8-1</f>
        <v>0.18686808192828819</v>
      </c>
      <c r="H136" s="511">
        <f>H8/G8-1</f>
        <v>-0.10393526900997918</v>
      </c>
      <c r="I136" s="512">
        <f>I8/H8-1</f>
        <v>0.11883293693645935</v>
      </c>
      <c r="J136" s="511">
        <f ca="1">J8/I8-1</f>
        <v>0.29538089769016285</v>
      </c>
      <c r="K136" s="511">
        <f ca="1">K8/J8-1</f>
        <v>0.37039088098334227</v>
      </c>
      <c r="L136" s="511">
        <f ca="1">L8/K8-1</f>
        <v>0.37742260617604684</v>
      </c>
      <c r="M136" s="511">
        <f ca="1">M8/L8-1</f>
        <v>0.38733684398384138</v>
      </c>
      <c r="N136" s="511">
        <f ca="1">N8/M8-1</f>
        <v>0.36133645466354314</v>
      </c>
      <c r="O136" s="511">
        <f ca="1">O8/N8-1</f>
        <v>0.3314155142016415</v>
      </c>
      <c r="P136" s="511">
        <f ca="1">P8/O8-1</f>
        <v>0.29097604060995419</v>
      </c>
      <c r="Q136" s="511">
        <f ca="1">Q8/P8-1</f>
        <v>0.25683301749622145</v>
      </c>
      <c r="R136" s="511">
        <f ca="1">R8/Q8-1</f>
        <v>0.22275037805712317</v>
      </c>
      <c r="S136" s="511">
        <f ca="1">S8/R8-1</f>
        <v>0.19985034771553822</v>
      </c>
      <c r="U136" s="170"/>
    </row>
    <row r="137" spans="2:21" ht="32.1">
      <c r="B137" s="167" t="s">
        <v>237</v>
      </c>
      <c r="D137" s="511"/>
      <c r="E137" s="511">
        <f>E9/D9-1</f>
        <v>-2.0239835578307996E-2</v>
      </c>
      <c r="F137" s="511">
        <f>F9/E9-1</f>
        <v>-1.4412938747419113E-2</v>
      </c>
      <c r="G137" s="511">
        <f>G9/F9-1</f>
        <v>8.6756262665339534E-3</v>
      </c>
      <c r="H137" s="511">
        <f>H9/G9-1</f>
        <v>0.10587324729557035</v>
      </c>
      <c r="I137" s="512">
        <f>I9/H9-1</f>
        <v>0.12079773934621829</v>
      </c>
      <c r="J137" s="511">
        <f>J9/I9-1</f>
        <v>0.13803218587033861</v>
      </c>
      <c r="K137" s="511">
        <f>K9/J9-1</f>
        <v>0.14423703058242121</v>
      </c>
      <c r="L137" s="511">
        <f>L9/K9-1</f>
        <v>0.13751476634872084</v>
      </c>
      <c r="M137" s="511">
        <f>M9/L9-1</f>
        <v>0.11837198018565664</v>
      </c>
      <c r="N137" s="511">
        <f>N9/M9-1</f>
        <v>8.7827270145028224E-2</v>
      </c>
      <c r="O137" s="511">
        <f>O9/N9-1</f>
        <v>5.7964603142511839E-2</v>
      </c>
      <c r="P137" s="511">
        <f>P9/O9-1</f>
        <v>4.5005079575771045E-2</v>
      </c>
      <c r="Q137" s="511">
        <f>Q9/P9-1</f>
        <v>3.1832021379043951E-2</v>
      </c>
      <c r="R137" s="511">
        <f>R9/Q9-1</f>
        <v>3.085000341092381E-2</v>
      </c>
      <c r="S137" s="511">
        <f>S9/R9-1</f>
        <v>3.1687160484878296E-2</v>
      </c>
      <c r="U137" s="170"/>
    </row>
    <row r="138" spans="2:21" ht="15.95">
      <c r="B138" s="167" t="s">
        <v>239</v>
      </c>
      <c r="C138" s="156"/>
      <c r="D138" s="511"/>
      <c r="E138" s="511">
        <f>E10/D10-1</f>
        <v>1.6502728414796941E-2</v>
      </c>
      <c r="F138" s="511">
        <f>F10/E10-1</f>
        <v>2.5455133306804711E-2</v>
      </c>
      <c r="G138" s="511">
        <f>G10/F10-1</f>
        <v>3.2186929522704411E-2</v>
      </c>
      <c r="H138" s="511">
        <f>H10/G10-1</f>
        <v>0.19550411920572897</v>
      </c>
      <c r="I138" s="512">
        <f>I10/H10-1</f>
        <v>0.10889259132149132</v>
      </c>
      <c r="J138" s="511">
        <f>J10/I10-1</f>
        <v>9.6323342443229043E-2</v>
      </c>
      <c r="K138" s="511">
        <f>K10/J10-1</f>
        <v>0.11864195995522953</v>
      </c>
      <c r="L138" s="511">
        <f>L10/K10-1</f>
        <v>8.7548638132295631E-2</v>
      </c>
      <c r="M138" s="511">
        <f>M10/L10-1</f>
        <v>4.7891643240480342E-2</v>
      </c>
      <c r="N138" s="511">
        <f>N10/M10-1</f>
        <v>6.1359867330016638E-2</v>
      </c>
      <c r="O138" s="511">
        <f>O10/N10-1</f>
        <v>1.153492647058818E-2</v>
      </c>
      <c r="P138" s="511">
        <f>P10/O10-1</f>
        <v>3.4482758620689724E-2</v>
      </c>
      <c r="Q138" s="511">
        <f>Q10/P10-1</f>
        <v>2.4637681159420222E-2</v>
      </c>
      <c r="R138" s="511">
        <f>R10/Q10-1</f>
        <v>2.4045261669024098E-2</v>
      </c>
      <c r="S138" s="511">
        <f>S10/R10-1</f>
        <v>2.4861878453038777E-2</v>
      </c>
      <c r="T138" s="156"/>
      <c r="U138" s="170"/>
    </row>
    <row r="139" spans="2:21" ht="15.95">
      <c r="B139" s="167" t="s">
        <v>241</v>
      </c>
      <c r="D139" s="511"/>
      <c r="E139" s="511">
        <f>E11/D11-1</f>
        <v>-2.3463415949729338E-3</v>
      </c>
      <c r="F139" s="511">
        <f>F11/E11-1</f>
        <v>0</v>
      </c>
      <c r="G139" s="511">
        <f>G11/F11-1</f>
        <v>0</v>
      </c>
      <c r="H139" s="511">
        <f>H11/G11-1</f>
        <v>0.12489186851211076</v>
      </c>
      <c r="I139" s="512">
        <f>I11/H11-1</f>
        <v>1.6341439969247418E-4</v>
      </c>
      <c r="J139" s="511">
        <f>J11/I11-1</f>
        <v>0</v>
      </c>
      <c r="K139" s="511">
        <f>K11/J11-1</f>
        <v>0</v>
      </c>
      <c r="L139" s="511">
        <f>L11/K11-1</f>
        <v>0</v>
      </c>
      <c r="M139" s="511">
        <f>M11/L11-1</f>
        <v>0</v>
      </c>
      <c r="N139" s="511">
        <f>N11/M11-1</f>
        <v>0</v>
      </c>
      <c r="O139" s="511">
        <f>O11/N11-1</f>
        <v>0</v>
      </c>
      <c r="P139" s="511">
        <f>P11/O11-1</f>
        <v>0</v>
      </c>
      <c r="Q139" s="511">
        <f>Q11/P11-1</f>
        <v>0</v>
      </c>
      <c r="R139" s="511">
        <f>R11/Q11-1</f>
        <v>0</v>
      </c>
      <c r="S139" s="511">
        <f>S11/R11-1</f>
        <v>0</v>
      </c>
      <c r="U139" s="170"/>
    </row>
    <row r="140" spans="2:21" ht="15.95">
      <c r="B140" s="167" t="s">
        <v>244</v>
      </c>
      <c r="C140" s="156"/>
      <c r="D140" s="511"/>
      <c r="E140" s="511">
        <f>E12/D12-1</f>
        <v>2.1734523660745797E-3</v>
      </c>
      <c r="F140" s="511">
        <f>F12/E12-1</f>
        <v>0</v>
      </c>
      <c r="G140" s="511">
        <f>G12/F12-1</f>
        <v>0</v>
      </c>
      <c r="H140" s="511">
        <f>H12/G12-1</f>
        <v>3.4870607626369621E-2</v>
      </c>
      <c r="I140" s="512">
        <f>I12/H12-1</f>
        <v>2.3576194330798828E-5</v>
      </c>
      <c r="J140" s="511">
        <f>J12/I12-1</f>
        <v>0</v>
      </c>
      <c r="K140" s="511">
        <f>K12/J12-1</f>
        <v>0</v>
      </c>
      <c r="L140" s="511">
        <f>L12/K12-1</f>
        <v>0</v>
      </c>
      <c r="M140" s="511">
        <f>M12/L12-1</f>
        <v>0</v>
      </c>
      <c r="N140" s="511">
        <f>N12/M12-1</f>
        <v>0</v>
      </c>
      <c r="O140" s="511">
        <f>O12/N12-1</f>
        <v>0</v>
      </c>
      <c r="P140" s="511">
        <f>P12/O12-1</f>
        <v>0</v>
      </c>
      <c r="Q140" s="511">
        <f>Q12/P12-1</f>
        <v>0</v>
      </c>
      <c r="R140" s="511">
        <f>R12/Q12-1</f>
        <v>0</v>
      </c>
      <c r="S140" s="511">
        <f>S12/R12-1</f>
        <v>0</v>
      </c>
      <c r="T140" s="156"/>
      <c r="U140" s="170"/>
    </row>
    <row r="141" spans="2:21" ht="15.95">
      <c r="B141" s="167" t="s">
        <v>245</v>
      </c>
      <c r="D141" s="511"/>
      <c r="E141" s="511">
        <f>E13/D13-1</f>
        <v>0.25334697706148201</v>
      </c>
      <c r="F141" s="511">
        <f>F13/E13-1</f>
        <v>-8.0623214042726876E-2</v>
      </c>
      <c r="G141" s="511">
        <f>G13/F13-1</f>
        <v>3.404129356915564E-2</v>
      </c>
      <c r="H141" s="511">
        <f>H13/G13-1</f>
        <v>-0.1201603091676805</v>
      </c>
      <c r="I141" s="512">
        <f>I13/H13-1</f>
        <v>7.7192126240442471E-2</v>
      </c>
      <c r="J141" s="511">
        <f>J13/I13-1</f>
        <v>6.0597959774877364E-2</v>
      </c>
      <c r="K141" s="511">
        <f>K13/J13-1</f>
        <v>0.14591456736035058</v>
      </c>
      <c r="L141" s="511">
        <f>L13/K13-1</f>
        <v>0.14692502532928065</v>
      </c>
      <c r="M141" s="511">
        <f>M13/L13-1</f>
        <v>0.13709226467847158</v>
      </c>
      <c r="N141" s="511">
        <f>N13/M13-1</f>
        <v>0.11784423407917366</v>
      </c>
      <c r="O141" s="511">
        <f>O13/N13-1</f>
        <v>9.3547868061142569E-2</v>
      </c>
      <c r="P141" s="511">
        <f>P13/O13-1</f>
        <v>7.4594491201223967E-2</v>
      </c>
      <c r="Q141" s="511">
        <f>Q13/P13-1</f>
        <v>6.0361090641120052E-2</v>
      </c>
      <c r="R141" s="511">
        <f>R13/Q13-1</f>
        <v>4.9946313528990816E-2</v>
      </c>
      <c r="S141" s="511">
        <f>S13/R13-1</f>
        <v>5.0069881201956434E-2</v>
      </c>
      <c r="U141" s="170"/>
    </row>
    <row r="142" spans="2:21" ht="15.95">
      <c r="B142" s="495" t="s">
        <v>246</v>
      </c>
      <c r="D142" s="511"/>
      <c r="E142" s="511">
        <f>E14/D14-1</f>
        <v>3.0635887186956312E-2</v>
      </c>
      <c r="F142" s="511">
        <f>F14/E14-1</f>
        <v>4.158738371239501E-2</v>
      </c>
      <c r="G142" s="511">
        <f>G14/F14-1</f>
        <v>5.037947531999265E-2</v>
      </c>
      <c r="H142" s="511">
        <f>H14/G14-1</f>
        <v>8.3718627661722556E-2</v>
      </c>
      <c r="I142" s="512">
        <f>I14/H14-1</f>
        <v>9.414809276113556E-2</v>
      </c>
      <c r="J142" s="511">
        <f ca="1">J14/I14-1</f>
        <v>0.12777768698429615</v>
      </c>
      <c r="K142" s="511">
        <f ca="1">K14/J14-1</f>
        <v>0.1616951895070553</v>
      </c>
      <c r="L142" s="511">
        <f ca="1">L14/K14-1</f>
        <v>0.16201054061496567</v>
      </c>
      <c r="M142" s="511">
        <f ca="1">M14/L14-1</f>
        <v>0.16111316012293653</v>
      </c>
      <c r="N142" s="511">
        <f ca="1">N14/M14-1</f>
        <v>0.16883399320181991</v>
      </c>
      <c r="O142" s="511">
        <f ca="1">O14/N14-1</f>
        <v>0.15350509774474808</v>
      </c>
      <c r="P142" s="511">
        <f ca="1">P14/O14-1</f>
        <v>0.15710678242249365</v>
      </c>
      <c r="Q142" s="511">
        <f ca="1">Q14/P14-1</f>
        <v>0.14857420305313029</v>
      </c>
      <c r="R142" s="511">
        <f ca="1">R14/Q14-1</f>
        <v>0.14009129958072597</v>
      </c>
      <c r="S142" s="511">
        <f ca="1">S14/R14-1</f>
        <v>0.13446874699083966</v>
      </c>
      <c r="U142" s="170"/>
    </row>
    <row r="143" spans="2:21">
      <c r="B143" s="495"/>
      <c r="D143" s="511"/>
      <c r="I143" s="170"/>
      <c r="U143" s="170"/>
    </row>
    <row r="144" spans="2:21" ht="15.95">
      <c r="B144" s="188" t="s">
        <v>247</v>
      </c>
      <c r="D144" s="511"/>
      <c r="E144" s="511"/>
      <c r="F144" s="511"/>
      <c r="G144" s="511"/>
      <c r="H144" s="511"/>
      <c r="I144" s="512"/>
      <c r="J144" s="511"/>
      <c r="K144" s="511"/>
      <c r="L144" s="511"/>
      <c r="M144" s="511"/>
      <c r="N144" s="511"/>
      <c r="O144" s="511"/>
      <c r="P144" s="511"/>
      <c r="Q144" s="511"/>
      <c r="R144" s="511"/>
      <c r="S144" s="511"/>
      <c r="U144" s="170"/>
    </row>
    <row r="145" spans="2:21" ht="15.95">
      <c r="B145" s="167" t="s">
        <v>248</v>
      </c>
      <c r="D145" s="511"/>
      <c r="E145" s="511">
        <f>E17/D17-1</f>
        <v>0.13430588005438016</v>
      </c>
      <c r="F145" s="511">
        <f>F17/E17-1</f>
        <v>4.7108808141412606E-2</v>
      </c>
      <c r="G145" s="511">
        <f>G17/F17-1</f>
        <v>0.18507755258702829</v>
      </c>
      <c r="H145" s="511">
        <f>H17/G17-1</f>
        <v>4.0617915143663641E-2</v>
      </c>
      <c r="I145" s="512">
        <f>I17/H17-1</f>
        <v>0.18611436860504549</v>
      </c>
      <c r="J145" s="511">
        <f>J17/I17-1</f>
        <v>0.12911096960206825</v>
      </c>
      <c r="K145" s="511">
        <f>K17/J17-1</f>
        <v>0.13276472806277284</v>
      </c>
      <c r="L145" s="511">
        <f>L17/K17-1</f>
        <v>0.13741486757364818</v>
      </c>
      <c r="M145" s="511">
        <f>M17/L17-1</f>
        <v>0.12758480427146068</v>
      </c>
      <c r="N145" s="511">
        <f>N17/M17-1</f>
        <v>0.11784423407917388</v>
      </c>
      <c r="O145" s="511">
        <f>O17/N17-1</f>
        <v>9.3547868061142569E-2</v>
      </c>
      <c r="P145" s="511">
        <f>P17/O17-1</f>
        <v>7.4594491201223967E-2</v>
      </c>
      <c r="Q145" s="511">
        <f>Q17/P17-1</f>
        <v>6.0361090641120274E-2</v>
      </c>
      <c r="R145" s="511">
        <f>R17/Q17-1</f>
        <v>4.9946313528990594E-2</v>
      </c>
      <c r="S145" s="511">
        <f>S17/R17-1</f>
        <v>5.0069881201956656E-2</v>
      </c>
      <c r="U145" s="170"/>
    </row>
    <row r="146" spans="2:21" ht="15.95">
      <c r="B146" s="167" t="s">
        <v>249</v>
      </c>
      <c r="D146" s="511"/>
      <c r="E146" s="511">
        <f>E18/D18-1</f>
        <v>5.0702656760598375E-2</v>
      </c>
      <c r="F146" s="511">
        <f>F18/E18-1</f>
        <v>8.7823042914324745E-2</v>
      </c>
      <c r="G146" s="511">
        <f>G18/F18-1</f>
        <v>-3.0064873458293784E-2</v>
      </c>
      <c r="H146" s="511">
        <f>H18/G18-1</f>
        <v>8.9758502637040216E-2</v>
      </c>
      <c r="I146" s="512">
        <f>I18/H18-1</f>
        <v>0.31509457992443313</v>
      </c>
      <c r="J146" s="511">
        <f>J18/I18-1</f>
        <v>3.8063726024832434E-2</v>
      </c>
      <c r="K146" s="511">
        <f>K18/J18-1</f>
        <v>0.15355399780941936</v>
      </c>
      <c r="L146" s="511">
        <f>L18/K18-1</f>
        <v>0.15072279031381464</v>
      </c>
      <c r="M146" s="511">
        <f>M18/L18-1</f>
        <v>0.13333948492705749</v>
      </c>
      <c r="N146" s="511">
        <f>N18/M18-1</f>
        <v>0.11414276310540172</v>
      </c>
      <c r="O146" s="511">
        <f>O18/N18-1</f>
        <v>7.9015670478934652E-2</v>
      </c>
      <c r="P146" s="511">
        <f>P18/O18-1</f>
        <v>6.0121838121072635E-2</v>
      </c>
      <c r="Q146" s="511">
        <f>Q18/P18-1</f>
        <v>4.5885171314961726E-2</v>
      </c>
      <c r="R146" s="511">
        <f>R18/Q18-1</f>
        <v>3.5414184622015066E-2</v>
      </c>
      <c r="S146" s="511">
        <f>S18/R18-1</f>
        <v>3.5332058307893988E-2</v>
      </c>
      <c r="U146" s="170"/>
    </row>
    <row r="147" spans="2:21" ht="15.95">
      <c r="B147" s="167" t="s">
        <v>251</v>
      </c>
      <c r="C147" s="156"/>
      <c r="D147" s="511"/>
      <c r="E147" s="511">
        <f>E19/D19-1</f>
        <v>0.57876860371765582</v>
      </c>
      <c r="F147" s="511">
        <f>F19/E19-1</f>
        <v>-0.23407001760219048</v>
      </c>
      <c r="G147" s="511">
        <f>G19/F19-1</f>
        <v>4.8192976184396441E-2</v>
      </c>
      <c r="H147" s="511">
        <f>H19/G19-1</f>
        <v>0.21401890408289215</v>
      </c>
      <c r="I147" s="512">
        <f>I19/H19-1</f>
        <v>0.31088131421232879</v>
      </c>
      <c r="J147" s="511">
        <f>J19/I19-1</f>
        <v>0.15563504734333522</v>
      </c>
      <c r="K147" s="511">
        <f>K19/J19-1</f>
        <v>0.15355399780941958</v>
      </c>
      <c r="L147" s="511">
        <f>L19/K19-1</f>
        <v>0.15072279031381464</v>
      </c>
      <c r="M147" s="511">
        <f>M19/L19-1</f>
        <v>0.13333948492705749</v>
      </c>
      <c r="N147" s="511">
        <f>N19/M19-1</f>
        <v>0.11414276310540172</v>
      </c>
      <c r="O147" s="511">
        <f>O19/N19-1</f>
        <v>7.9015670478934652E-2</v>
      </c>
      <c r="P147" s="511">
        <f>P19/O19-1</f>
        <v>6.0121838121072635E-2</v>
      </c>
      <c r="Q147" s="511">
        <f>Q19/P19-1</f>
        <v>4.5885171314961726E-2</v>
      </c>
      <c r="R147" s="511">
        <f>R19/Q19-1</f>
        <v>3.5414184622015066E-2</v>
      </c>
      <c r="S147" s="511">
        <f>S19/R19-1</f>
        <v>3.5332058307893988E-2</v>
      </c>
      <c r="T147" s="156"/>
      <c r="U147" s="170"/>
    </row>
    <row r="148" spans="2:21" ht="15.95">
      <c r="B148" s="167" t="s">
        <v>252</v>
      </c>
      <c r="C148" s="156"/>
      <c r="D148" s="511"/>
      <c r="E148" s="511"/>
      <c r="F148" s="511"/>
      <c r="G148" s="511"/>
      <c r="H148" s="511"/>
      <c r="I148" s="512"/>
      <c r="J148" s="511"/>
      <c r="K148" s="511"/>
      <c r="L148" s="511"/>
      <c r="M148" s="511"/>
      <c r="N148" s="511"/>
      <c r="O148" s="511"/>
      <c r="P148" s="511"/>
      <c r="Q148" s="511"/>
      <c r="R148" s="511"/>
      <c r="S148" s="511"/>
      <c r="T148" s="156"/>
      <c r="U148" s="170"/>
    </row>
    <row r="149" spans="2:21" ht="15.95">
      <c r="B149" s="167" t="s">
        <v>253</v>
      </c>
      <c r="D149" s="511"/>
      <c r="E149" s="511">
        <f>E21/D21-1</f>
        <v>0.27871091726093478</v>
      </c>
      <c r="F149" s="511">
        <f>F21/E21-1</f>
        <v>0.11799114477047867</v>
      </c>
      <c r="G149" s="511">
        <f>G21/F21-1</f>
        <v>-0.10655991565352052</v>
      </c>
      <c r="H149" s="511">
        <f>H21/G21-1</f>
        <v>-6.8688045787113516E-2</v>
      </c>
      <c r="I149" s="512">
        <f>I21/H21-1</f>
        <v>0.19108900697705722</v>
      </c>
      <c r="J149" s="511">
        <f>J21/I21-1</f>
        <v>9.6323342443229265E-2</v>
      </c>
      <c r="K149" s="511">
        <f>K21/J21-1</f>
        <v>0.1186419599552293</v>
      </c>
      <c r="L149" s="511">
        <f>L21/K21-1</f>
        <v>8.7548638132295631E-2</v>
      </c>
      <c r="M149" s="511">
        <f>M21/L21-1</f>
        <v>4.7891643240480564E-2</v>
      </c>
      <c r="N149" s="511">
        <f>N21/M21-1</f>
        <v>6.1359867330016638E-2</v>
      </c>
      <c r="O149" s="511">
        <f>O21/N21-1</f>
        <v>1.153492647058818E-2</v>
      </c>
      <c r="P149" s="511">
        <f>P21/O21-1</f>
        <v>3.4482758620689724E-2</v>
      </c>
      <c r="Q149" s="511">
        <f>Q21/P21-1</f>
        <v>2.4637681159420222E-2</v>
      </c>
      <c r="R149" s="511">
        <f>R21/Q21-1</f>
        <v>2.4045261669024098E-2</v>
      </c>
      <c r="S149" s="511">
        <f>S21/R21-1</f>
        <v>2.4861878453038555E-2</v>
      </c>
      <c r="U149" s="170"/>
    </row>
    <row r="150" spans="2:21" ht="15.95">
      <c r="B150" s="167" t="s">
        <v>255</v>
      </c>
      <c r="D150" s="511"/>
      <c r="E150" s="511">
        <f>E22/D22-1</f>
        <v>0.27188328912466853</v>
      </c>
      <c r="F150" s="511">
        <f>F22/E22-1</f>
        <v>0.12408759124087587</v>
      </c>
      <c r="G150" s="511">
        <f>G22/F22-1</f>
        <v>-6.1224489795918324E-2</v>
      </c>
      <c r="H150" s="511">
        <f>H22/G22-1</f>
        <v>1.9762845849802479E-2</v>
      </c>
      <c r="I150" s="512">
        <f>I22/H22-1</f>
        <v>0.28003875968992253</v>
      </c>
      <c r="J150" s="511">
        <f>J22/I22-1</f>
        <v>0.14579863739591237</v>
      </c>
      <c r="K150" s="511">
        <f>K22/J22-1</f>
        <v>5.9513742071881648E-2</v>
      </c>
      <c r="L150" s="511">
        <f>L22/K22-1</f>
        <v>5.9662775616082797E-2</v>
      </c>
      <c r="M150" s="511">
        <f>M22/L22-1</f>
        <v>5.0324828170605462E-2</v>
      </c>
      <c r="N150" s="511">
        <f>N22/M22-1</f>
        <v>6.1359867330016638E-2</v>
      </c>
      <c r="O150" s="511">
        <f>O22/N22-1</f>
        <v>4.2187500000000044E-2</v>
      </c>
      <c r="P150" s="511">
        <f>P22/O22-1</f>
        <v>3.4482758620689724E-2</v>
      </c>
      <c r="Q150" s="511">
        <f>Q22/P22-1</f>
        <v>2.4637681159420444E-2</v>
      </c>
      <c r="R150" s="511">
        <f>R22/Q22-1</f>
        <v>2.4045261669024098E-2</v>
      </c>
      <c r="S150" s="511">
        <f>S22/R22-1</f>
        <v>2.4861878453038555E-2</v>
      </c>
      <c r="U150" s="170"/>
    </row>
    <row r="151" spans="2:21" ht="15.95">
      <c r="B151" s="495" t="s">
        <v>257</v>
      </c>
      <c r="D151" s="511"/>
      <c r="E151" s="511">
        <f>E23/D23-1</f>
        <v>0.19030162279396956</v>
      </c>
      <c r="F151" s="511">
        <f>F23/E23-1</f>
        <v>3.4952391702208319E-2</v>
      </c>
      <c r="G151" s="511">
        <f>G23/F23-1</f>
        <v>1.7346579080107505E-2</v>
      </c>
      <c r="H151" s="511">
        <f>H23/G23-1</f>
        <v>4.687966614342054E-2</v>
      </c>
      <c r="I151" s="512">
        <f>I23/H23-1</f>
        <v>0.2433836988382958</v>
      </c>
      <c r="J151" s="511">
        <f>J23/I23-1</f>
        <v>9.6678619542412303E-2</v>
      </c>
      <c r="K151" s="511">
        <f>K23/J23-1</f>
        <v>0.13892567672422018</v>
      </c>
      <c r="L151" s="511">
        <f>L23/K23-1</f>
        <v>0.13255378911381066</v>
      </c>
      <c r="M151" s="511">
        <f>M23/L23-1</f>
        <v>0.11351546981943317</v>
      </c>
      <c r="N151" s="511">
        <f>N23/M23-1</f>
        <v>0.10490563735489356</v>
      </c>
      <c r="O151" s="511">
        <f>O23/N23-1</f>
        <v>7.1040595157804587E-2</v>
      </c>
      <c r="P151" s="511">
        <f>P23/O23-1</f>
        <v>6.0403274864903267E-2</v>
      </c>
      <c r="Q151" s="511">
        <f>Q23/P23-1</f>
        <v>4.7115155019398669E-2</v>
      </c>
      <c r="R151" s="511">
        <f>R23/Q23-1</f>
        <v>3.8499932913871771E-2</v>
      </c>
      <c r="S151" s="511">
        <f>S23/R23-1</f>
        <v>3.8724435029338533E-2</v>
      </c>
      <c r="U151" s="170"/>
    </row>
    <row r="152" spans="2:21" ht="15.95">
      <c r="B152" s="167" t="s">
        <v>258</v>
      </c>
      <c r="D152" s="511"/>
      <c r="E152" s="511">
        <f>E24/D24-1</f>
        <v>-8.7049448201778068E-3</v>
      </c>
      <c r="F152" s="511">
        <f>F24/E24-1</f>
        <v>2.4659314561935819E-2</v>
      </c>
      <c r="G152" s="511">
        <f>G24/F24-1</f>
        <v>4.4952637490886627E-2</v>
      </c>
      <c r="H152" s="511">
        <f>H24/G24-1</f>
        <v>0.22223978385798482</v>
      </c>
      <c r="I152" s="512">
        <f>I24/H24-1</f>
        <v>8.615993987179893E-2</v>
      </c>
      <c r="J152" s="511">
        <f>J24/I24-1</f>
        <v>9.6323342443229043E-2</v>
      </c>
      <c r="K152" s="511">
        <f>K24/J24-1</f>
        <v>0.1186419599552293</v>
      </c>
      <c r="L152" s="511">
        <f>L24/K24-1</f>
        <v>8.7548638132295853E-2</v>
      </c>
      <c r="M152" s="511">
        <f>M24/L24-1</f>
        <v>4.7891643240480342E-2</v>
      </c>
      <c r="N152" s="511">
        <f>N24/M24-1</f>
        <v>6.1359867330016638E-2</v>
      </c>
      <c r="O152" s="511">
        <f>O24/N24-1</f>
        <v>1.153492647058818E-2</v>
      </c>
      <c r="P152" s="511">
        <f>P24/O24-1</f>
        <v>3.4482758620689724E-2</v>
      </c>
      <c r="Q152" s="511">
        <f>Q24/P24-1</f>
        <v>2.4637681159420222E-2</v>
      </c>
      <c r="R152" s="511">
        <f>R24/Q24-1</f>
        <v>2.4045261669024098E-2</v>
      </c>
      <c r="S152" s="511">
        <f>S24/R24-1</f>
        <v>2.4861878453038555E-2</v>
      </c>
      <c r="U152" s="170"/>
    </row>
    <row r="153" spans="2:21" ht="15.95">
      <c r="B153" s="167" t="s">
        <v>260</v>
      </c>
      <c r="D153" s="511"/>
      <c r="E153" s="511">
        <f>E25/D25-1</f>
        <v>-0.53531598513011147</v>
      </c>
      <c r="F153" s="511">
        <f>F25/E25-1</f>
        <v>0</v>
      </c>
      <c r="G153" s="511">
        <f>G25/F25-1</f>
        <v>0</v>
      </c>
      <c r="H153" s="511">
        <f>H25/G25-1</f>
        <v>-0.5</v>
      </c>
      <c r="I153" s="512">
        <f>I25/H25-1</f>
        <v>-1</v>
      </c>
      <c r="J153" s="511"/>
      <c r="K153" s="511"/>
      <c r="L153" s="511"/>
      <c r="M153" s="511"/>
      <c r="N153" s="511"/>
      <c r="O153" s="511"/>
      <c r="P153" s="511"/>
      <c r="Q153" s="511"/>
      <c r="R153" s="511"/>
      <c r="S153" s="511"/>
      <c r="U153" s="170"/>
    </row>
    <row r="154" spans="2:21" ht="15.95">
      <c r="B154" s="167" t="s">
        <v>262</v>
      </c>
      <c r="D154" s="511"/>
      <c r="E154" s="511">
        <f>E26/D26-1</f>
        <v>-8.4070408967510279E-2</v>
      </c>
      <c r="F154" s="511">
        <f>F26/E26-1</f>
        <v>-7.6775982407495946E-2</v>
      </c>
      <c r="G154" s="511">
        <f>G26/F26-1</f>
        <v>-7.8086164043081996E-2</v>
      </c>
      <c r="H154" s="511">
        <f>H26/G26-1</f>
        <v>-2.4376544596719785E-2</v>
      </c>
      <c r="I154" s="512">
        <f>I26/H26-1</f>
        <v>-0.16545768566493957</v>
      </c>
      <c r="J154" s="511">
        <f>J26/I26-1</f>
        <v>4.4150110375275942E-2</v>
      </c>
      <c r="K154" s="511">
        <f>K26/J26-1</f>
        <v>5.9513742071881648E-2</v>
      </c>
      <c r="L154" s="511">
        <f>L26/K26-1</f>
        <v>5.9662775616083019E-2</v>
      </c>
      <c r="M154" s="511">
        <f>M26/L26-1</f>
        <v>5.0324828170605462E-2</v>
      </c>
      <c r="N154" s="511">
        <f>N26/M26-1</f>
        <v>6.1359867330016638E-2</v>
      </c>
      <c r="O154" s="511">
        <f>O26/N26-1</f>
        <v>4.2187500000000044E-2</v>
      </c>
      <c r="P154" s="511">
        <f>P26/O26-1</f>
        <v>3.4482758620689724E-2</v>
      </c>
      <c r="Q154" s="511">
        <f>Q26/P26-1</f>
        <v>2.4637681159420222E-2</v>
      </c>
      <c r="R154" s="511">
        <f>R26/Q26-1</f>
        <v>2.4045261669024098E-2</v>
      </c>
      <c r="S154" s="511">
        <f>S26/R26-1</f>
        <v>2.4861878453038555E-2</v>
      </c>
      <c r="U154" s="170"/>
    </row>
    <row r="155" spans="2:21" ht="15.95">
      <c r="B155" s="167" t="s">
        <v>263</v>
      </c>
      <c r="C155" s="156"/>
      <c r="D155" s="511"/>
      <c r="E155" s="511">
        <f>E27/D27-1</f>
        <v>-0.52593739932546923</v>
      </c>
      <c r="F155" s="511">
        <f>F27/E27-1</f>
        <v>-3.0830188244599377E-3</v>
      </c>
      <c r="G155" s="511">
        <f>G27/F27-1</f>
        <v>-2.9038420063468573E-3</v>
      </c>
      <c r="H155" s="511">
        <f>H27/G27-1</f>
        <v>-0.48364632177426203</v>
      </c>
      <c r="I155" s="512">
        <f>I27/H27-1</f>
        <v>-0.94578299734450388</v>
      </c>
      <c r="J155" s="511">
        <f ca="1">J27/I27-1</f>
        <v>4.4150110375275942E-2</v>
      </c>
      <c r="K155" s="511">
        <f ca="1">K27/J27-1</f>
        <v>5.9513742071881648E-2</v>
      </c>
      <c r="L155" s="511">
        <f ca="1">L27/K27-1</f>
        <v>5.9662775616083019E-2</v>
      </c>
      <c r="M155" s="511">
        <f ca="1">M27/L27-1</f>
        <v>5.0324828170605462E-2</v>
      </c>
      <c r="N155" s="511">
        <f ca="1">N27/M27-1</f>
        <v>6.1359867330016638E-2</v>
      </c>
      <c r="O155" s="511">
        <f ca="1">O27/N27-1</f>
        <v>4.2187500000000044E-2</v>
      </c>
      <c r="P155" s="511">
        <f ca="1">P27/O27-1</f>
        <v>3.4482758620689724E-2</v>
      </c>
      <c r="Q155" s="511">
        <f ca="1">Q27/P27-1</f>
        <v>2.4637681159420222E-2</v>
      </c>
      <c r="R155" s="511">
        <f ca="1">R27/Q27-1</f>
        <v>2.4045261669024098E-2</v>
      </c>
      <c r="S155" s="511">
        <f ca="1">S27/R27-1</f>
        <v>2.4861878453038555E-2</v>
      </c>
      <c r="T155" s="156"/>
      <c r="U155" s="170"/>
    </row>
    <row r="156" spans="2:21" ht="15.95">
      <c r="B156" s="167" t="s">
        <v>265</v>
      </c>
      <c r="D156" s="511"/>
      <c r="E156" s="511">
        <f>E28/D28-1</f>
        <v>-1.4572343859142078E-2</v>
      </c>
      <c r="F156" s="511">
        <f>F28/E28-1</f>
        <v>-0.11258310520140791</v>
      </c>
      <c r="G156" s="511">
        <f>G28/F28-1</f>
        <v>9.3648432765935929E-4</v>
      </c>
      <c r="H156" s="511">
        <f>H28/G28-1</f>
        <v>-1.9262520638414493E-3</v>
      </c>
      <c r="I156" s="512">
        <f>I28/H28-1</f>
        <v>5.4838709677419439E-2</v>
      </c>
      <c r="J156" s="511">
        <f>J28/I28-1</f>
        <v>3.2514318785190177E-2</v>
      </c>
      <c r="K156" s="511">
        <f>K28/J28-1</f>
        <v>0.14591456736035058</v>
      </c>
      <c r="L156" s="511">
        <f>L28/K28-1</f>
        <v>0.14692502532928065</v>
      </c>
      <c r="M156" s="511">
        <f>M28/L28-1</f>
        <v>0.13709226467847158</v>
      </c>
      <c r="N156" s="511">
        <f>N28/M28-1</f>
        <v>0.11784423407917388</v>
      </c>
      <c r="O156" s="511">
        <f>O28/N28-1</f>
        <v>9.3547868061142569E-2</v>
      </c>
      <c r="P156" s="511">
        <f>P28/O28-1</f>
        <v>7.4594491201223745E-2</v>
      </c>
      <c r="Q156" s="511">
        <f>Q28/P28-1</f>
        <v>6.0361090641120052E-2</v>
      </c>
      <c r="R156" s="511">
        <f>R28/Q28-1</f>
        <v>4.9946313528990816E-2</v>
      </c>
      <c r="S156" s="511">
        <f>S28/R28-1</f>
        <v>5.0069881201956434E-2</v>
      </c>
      <c r="U156" s="170"/>
    </row>
    <row r="157" spans="2:21" ht="15.95">
      <c r="B157" s="167" t="s">
        <v>266</v>
      </c>
      <c r="D157" s="511"/>
      <c r="E157" s="511">
        <f>E29/D29-1</f>
        <v>6.8382515269703514E-2</v>
      </c>
      <c r="F157" s="511">
        <f>F29/E29-1</f>
        <v>-3.0651077092624934E-3</v>
      </c>
      <c r="G157" s="511">
        <f>G29/F29-1</f>
        <v>5.5756110199498998E-2</v>
      </c>
      <c r="H157" s="511">
        <f>H29/G29-1</f>
        <v>2.0581450517808353E-2</v>
      </c>
      <c r="I157" s="512">
        <f>I29/H29-1</f>
        <v>0.17117391513441582</v>
      </c>
      <c r="J157" s="511">
        <f ca="1">J29/I29-1</f>
        <v>0.18316982444214758</v>
      </c>
      <c r="K157" s="511">
        <f ca="1">K29/J29-1</f>
        <v>0.21522879444500354</v>
      </c>
      <c r="L157" s="511">
        <f ca="1">L29/K29-1</f>
        <v>0.2277281570207097</v>
      </c>
      <c r="M157" s="511">
        <f ca="1">M29/L29-1</f>
        <v>0.26008915055128412</v>
      </c>
      <c r="N157" s="511">
        <f ca="1">N29/M29-1</f>
        <v>0.18459065069184999</v>
      </c>
      <c r="O157" s="511">
        <f ca="1">O29/N29-1</f>
        <v>0.18934555303971057</v>
      </c>
      <c r="P157" s="511">
        <f ca="1">P29/O29-1</f>
        <v>0.13786205084006098</v>
      </c>
      <c r="Q157" s="511">
        <f ca="1">Q29/P29-1</f>
        <v>0.11750438488692927</v>
      </c>
      <c r="R157" s="511">
        <f ca="1">R29/Q29-1</f>
        <v>8.8681063885162281E-2</v>
      </c>
      <c r="S157" s="511">
        <f ca="1">S29/R29-1</f>
        <v>8.543602585059995E-2</v>
      </c>
      <c r="U157" s="170"/>
    </row>
    <row r="158" spans="2:21" ht="15.95">
      <c r="B158" s="495" t="s">
        <v>268</v>
      </c>
      <c r="D158" s="511"/>
      <c r="E158" s="511">
        <f>E30/D30-1</f>
        <v>-0.10084860985198252</v>
      </c>
      <c r="F158" s="511">
        <f>F30/E30-1</f>
        <v>1.9805611208912E-2</v>
      </c>
      <c r="G158" s="511">
        <f>G30/F30-1</f>
        <v>3.0907597088281058E-2</v>
      </c>
      <c r="H158" s="511">
        <f>H30/G30-1</f>
        <v>7.6565849011669407E-2</v>
      </c>
      <c r="I158" s="512">
        <f>I30/H30-1</f>
        <v>6.421874347428802E-2</v>
      </c>
      <c r="J158" s="511">
        <f ca="1">J30/I30-1</f>
        <v>9.794791697200611E-2</v>
      </c>
      <c r="K158" s="511">
        <f ca="1">K30/J30-1</f>
        <v>0.12810988029233128</v>
      </c>
      <c r="L158" s="511">
        <f ca="1">L30/K30-1</f>
        <v>0.10684211098026952</v>
      </c>
      <c r="M158" s="511">
        <f ca="1">M30/L30-1</f>
        <v>7.7820057757410188E-2</v>
      </c>
      <c r="N158" s="511">
        <f ca="1">N30/M30-1</f>
        <v>8.1790324068033993E-2</v>
      </c>
      <c r="O158" s="511">
        <f ca="1">O30/N30-1</f>
        <v>4.1307340813265814E-2</v>
      </c>
      <c r="P158" s="511">
        <f ca="1">P30/O30-1</f>
        <v>4.9877482340773938E-2</v>
      </c>
      <c r="Q158" s="511">
        <f ca="1">Q30/P30-1</f>
        <v>3.8747461614518919E-2</v>
      </c>
      <c r="R158" s="511">
        <f ca="1">R30/Q30-1</f>
        <v>3.3854976912871537E-2</v>
      </c>
      <c r="S158" s="511">
        <f ca="1">S30/R30-1</f>
        <v>3.4429816618406939E-2</v>
      </c>
      <c r="U158" s="170"/>
    </row>
    <row r="159" spans="2:21">
      <c r="B159" s="167"/>
      <c r="C159" s="156"/>
      <c r="D159" s="511"/>
      <c r="E159" s="511"/>
      <c r="F159" s="511"/>
      <c r="G159" s="511"/>
      <c r="H159" s="511"/>
      <c r="I159" s="512"/>
      <c r="J159" s="511"/>
      <c r="K159" s="511"/>
      <c r="L159" s="511"/>
      <c r="M159" s="511"/>
      <c r="N159" s="511"/>
      <c r="O159" s="511"/>
      <c r="P159" s="511"/>
      <c r="Q159" s="511"/>
      <c r="R159" s="511"/>
      <c r="S159" s="511"/>
      <c r="T159" s="156"/>
      <c r="U159" s="496"/>
    </row>
    <row r="160" spans="2:21" ht="15.95">
      <c r="B160" s="188" t="s">
        <v>269</v>
      </c>
      <c r="D160" s="511"/>
      <c r="E160" s="511"/>
      <c r="F160" s="511"/>
      <c r="G160" s="511"/>
      <c r="H160" s="511"/>
      <c r="I160" s="512"/>
      <c r="J160" s="511"/>
      <c r="K160" s="511"/>
      <c r="L160" s="511"/>
      <c r="M160" s="511"/>
      <c r="N160" s="511"/>
      <c r="O160" s="511"/>
      <c r="P160" s="511"/>
      <c r="Q160" s="511"/>
      <c r="R160" s="511"/>
      <c r="S160" s="511"/>
      <c r="U160" s="170"/>
    </row>
    <row r="161" spans="2:21">
      <c r="B161" s="319" t="s">
        <v>270</v>
      </c>
      <c r="D161" s="511"/>
      <c r="E161" s="511">
        <f>E33/D33-1</f>
        <v>8.5470085470085166E-3</v>
      </c>
      <c r="F161" s="511">
        <f>F33/E33-1</f>
        <v>-5.9322033898305038E-2</v>
      </c>
      <c r="G161" s="511">
        <f>G33/F33-1</f>
        <v>-5.4054054054054057E-2</v>
      </c>
      <c r="H161" s="511">
        <f>H33/G33-1</f>
        <v>-3.8095238095238071E-2</v>
      </c>
      <c r="I161" s="512">
        <f>I33/H33-1</f>
        <v>-1.980198019801982E-2</v>
      </c>
      <c r="J161" s="511">
        <f>J33/I33-1</f>
        <v>0</v>
      </c>
      <c r="K161" s="511">
        <f>K33/J33-1</f>
        <v>0</v>
      </c>
      <c r="L161" s="511">
        <f>L33/K33-1</f>
        <v>0</v>
      </c>
      <c r="M161" s="511">
        <f>M33/L33-1</f>
        <v>0</v>
      </c>
      <c r="N161" s="511">
        <f>N33/M33-1</f>
        <v>0</v>
      </c>
      <c r="O161" s="511">
        <f>O33/N33-1</f>
        <v>0</v>
      </c>
      <c r="P161" s="511">
        <f>P33/O33-1</f>
        <v>0</v>
      </c>
      <c r="Q161" s="511">
        <f>Q33/P33-1</f>
        <v>0</v>
      </c>
      <c r="R161" s="511">
        <f>R33/Q33-1</f>
        <v>0</v>
      </c>
      <c r="S161" s="511">
        <f>S33/R33-1</f>
        <v>0</v>
      </c>
      <c r="U161" s="170"/>
    </row>
    <row r="162" spans="2:21" ht="15.95">
      <c r="B162" s="167" t="s">
        <v>272</v>
      </c>
      <c r="D162" s="511"/>
      <c r="E162" s="511">
        <f>E34/D34-1</f>
        <v>2.3372272216475976E-2</v>
      </c>
      <c r="F162" s="511">
        <f>F34/E34-1</f>
        <v>2.6291491419184299E-2</v>
      </c>
      <c r="G162" s="511">
        <f>G34/F34-1</f>
        <v>3.0713735328884217E-2</v>
      </c>
      <c r="H162" s="511">
        <f>H34/G34-1</f>
        <v>6.6757532577494061E-2</v>
      </c>
      <c r="I162" s="512">
        <f>I34/H34-1</f>
        <v>4.2984690914441126E-2</v>
      </c>
      <c r="J162" s="511">
        <f>J34/I34-1</f>
        <v>0</v>
      </c>
      <c r="K162" s="511">
        <f>K34/J34-1</f>
        <v>0</v>
      </c>
      <c r="L162" s="511">
        <f>L34/K34-1</f>
        <v>0</v>
      </c>
      <c r="M162" s="511">
        <f>M34/L34-1</f>
        <v>0</v>
      </c>
      <c r="N162" s="511">
        <f>N34/M34-1</f>
        <v>0</v>
      </c>
      <c r="O162" s="511">
        <f>O34/N34-1</f>
        <v>0</v>
      </c>
      <c r="P162" s="511">
        <f>P34/O34-1</f>
        <v>0</v>
      </c>
      <c r="Q162" s="511">
        <f>Q34/P34-1</f>
        <v>0</v>
      </c>
      <c r="R162" s="511">
        <f>R34/Q34-1</f>
        <v>0</v>
      </c>
      <c r="S162" s="511">
        <f>S34/R34-1</f>
        <v>0</v>
      </c>
      <c r="U162" s="170"/>
    </row>
    <row r="163" spans="2:21" ht="15.95">
      <c r="B163" s="167" t="s">
        <v>273</v>
      </c>
      <c r="D163" s="511"/>
      <c r="E163" s="511">
        <f>E35/D35-1</f>
        <v>0.8099102947458352</v>
      </c>
      <c r="F163" s="511">
        <f>F35/E35-1</f>
        <v>-0.55652584375737546</v>
      </c>
      <c r="G163" s="511">
        <f>G35/F35-1</f>
        <v>-1</v>
      </c>
      <c r="H163" s="511"/>
      <c r="I163" s="512"/>
      <c r="J163" s="511"/>
      <c r="K163" s="511"/>
      <c r="L163" s="511"/>
      <c r="M163" s="511"/>
      <c r="N163" s="511"/>
      <c r="O163" s="511"/>
      <c r="P163" s="511"/>
      <c r="Q163" s="511"/>
      <c r="R163" s="511"/>
      <c r="S163" s="511"/>
      <c r="U163" s="170"/>
    </row>
    <row r="164" spans="2:21" ht="15.95">
      <c r="B164" s="167" t="s">
        <v>274</v>
      </c>
      <c r="D164" s="511"/>
      <c r="E164" s="511">
        <f>E36/D36-1</f>
        <v>-3.403829530249026</v>
      </c>
      <c r="F164" s="511">
        <f>F36/E36-1</f>
        <v>0.2749789409904384</v>
      </c>
      <c r="G164" s="511">
        <f>G36/F36-1</f>
        <v>0.23641730610226341</v>
      </c>
      <c r="H164" s="511">
        <f>H36/G36-1</f>
        <v>0.16749371898553811</v>
      </c>
      <c r="I164" s="512">
        <f>I36/H36-1</f>
        <v>0.3748327141526504</v>
      </c>
      <c r="J164" s="511">
        <f ca="1">J36/I36-1</f>
        <v>0.463498541165553</v>
      </c>
      <c r="K164" s="511">
        <f ca="1">K36/J36-1</f>
        <v>0.44928994309657111</v>
      </c>
      <c r="L164" s="511">
        <f ca="1">L36/K36-1</f>
        <v>0.42763490370744117</v>
      </c>
      <c r="M164" s="511">
        <f ca="1">M36/L36-1</f>
        <v>0.41507249430832993</v>
      </c>
      <c r="N164" s="511">
        <f ca="1">N36/M36-1</f>
        <v>0.36633727170814279</v>
      </c>
      <c r="O164" s="511">
        <f ca="1">O36/N36-1</f>
        <v>0.33304950942030431</v>
      </c>
      <c r="P164" s="511">
        <f ca="1">P36/O36-1</f>
        <v>0.29202146119361827</v>
      </c>
      <c r="Q164" s="511">
        <f ca="1">Q36/P36-1</f>
        <v>0.25768172322448257</v>
      </c>
      <c r="R164" s="511">
        <f ca="1">R36/Q36-1</f>
        <v>0.22611886164012462</v>
      </c>
      <c r="S164" s="511">
        <f ca="1">S36/R36-1</f>
        <v>0.20258111696608161</v>
      </c>
      <c r="U164" s="170"/>
    </row>
    <row r="165" spans="2:21" ht="15.95">
      <c r="B165" s="495" t="s">
        <v>275</v>
      </c>
      <c r="D165" s="511"/>
      <c r="E165" s="511">
        <f>E37/D37-1</f>
        <v>0.51437403772132417</v>
      </c>
      <c r="F165" s="511">
        <f>F37/E37-1</f>
        <v>8.916784769650965E-2</v>
      </c>
      <c r="G165" s="511">
        <f>G37/F37-1</f>
        <v>9.0205401531031182E-2</v>
      </c>
      <c r="H165" s="511">
        <f>H37/G37-1</f>
        <v>9.7552515045935762E-2</v>
      </c>
      <c r="I165" s="512">
        <f>I37/H37-1</f>
        <v>0.15092634432896523</v>
      </c>
      <c r="J165" s="511">
        <f ca="1">J37/I37-1</f>
        <v>0.18010374490511039</v>
      </c>
      <c r="K165" s="511">
        <f ca="1">K37/J37-1</f>
        <v>0.21650761423881759</v>
      </c>
      <c r="L165" s="511">
        <f ca="1">L37/K37-1</f>
        <v>0.24550484609390821</v>
      </c>
      <c r="M165" s="511">
        <f ca="1">M37/L37-1</f>
        <v>0.27313830781304738</v>
      </c>
      <c r="N165" s="511">
        <f ca="1">N37/M37-1</f>
        <v>0.26794328019068137</v>
      </c>
      <c r="O165" s="511">
        <f ca="1">O37/N37-1</f>
        <v>0.26249960267531458</v>
      </c>
      <c r="P165" s="511">
        <f ca="1">P37/O37-1</f>
        <v>0.24302427215268474</v>
      </c>
      <c r="Q165" s="511">
        <f ca="1">Q37/P37-1</f>
        <v>0.22289925454743775</v>
      </c>
      <c r="R165" s="511">
        <f ca="1">R37/Q37-1</f>
        <v>0.20116010785990746</v>
      </c>
      <c r="S165" s="511">
        <f ca="1">S37/R37-1</f>
        <v>0.18396521139155553</v>
      </c>
      <c r="U165" s="170"/>
    </row>
    <row r="166" spans="2:21" ht="15.95">
      <c r="B166" s="498" t="s">
        <v>276</v>
      </c>
      <c r="C166" s="174"/>
      <c r="D166" s="513"/>
      <c r="E166" s="513">
        <f>E38/D38-1</f>
        <v>3.0635887186956312E-2</v>
      </c>
      <c r="F166" s="513">
        <f>F38/E38-1</f>
        <v>4.158738371239501E-2</v>
      </c>
      <c r="G166" s="513">
        <f>G38/F38-1</f>
        <v>5.037947531999265E-2</v>
      </c>
      <c r="H166" s="513">
        <f>H38/G38-1</f>
        <v>8.3718627661722556E-2</v>
      </c>
      <c r="I166" s="514">
        <f>I38/H38-1</f>
        <v>9.414809276113556E-2</v>
      </c>
      <c r="J166" s="513">
        <f ca="1">J38/I38-1</f>
        <v>0.12777768698429637</v>
      </c>
      <c r="K166" s="513">
        <f ca="1">K38/J38-1</f>
        <v>0.16169518950705486</v>
      </c>
      <c r="L166" s="513">
        <f ca="1">L38/K38-1</f>
        <v>0.16201054061496567</v>
      </c>
      <c r="M166" s="513">
        <f ca="1">M38/L38-1</f>
        <v>0.16111316012293653</v>
      </c>
      <c r="N166" s="513">
        <f ca="1">N38/M38-1</f>
        <v>0.16883399320181991</v>
      </c>
      <c r="O166" s="513">
        <f ca="1">O38/N38-1</f>
        <v>0.15350509774474785</v>
      </c>
      <c r="P166" s="513">
        <f ca="1">P38/O38-1</f>
        <v>0.15710678242249387</v>
      </c>
      <c r="Q166" s="513">
        <f ca="1">Q38/P38-1</f>
        <v>0.14857420305313029</v>
      </c>
      <c r="R166" s="513">
        <f ca="1">R38/Q38-1</f>
        <v>0.14009129958072597</v>
      </c>
      <c r="S166" s="513">
        <f ca="1">S38/R38-1</f>
        <v>0.13446874699083944</v>
      </c>
      <c r="T166" s="174"/>
      <c r="U166" s="178"/>
    </row>
    <row r="167" spans="2:21">
      <c r="B167" s="190"/>
      <c r="C167" s="190"/>
      <c r="D167" s="189"/>
      <c r="E167" s="189"/>
      <c r="F167" s="189"/>
      <c r="G167" s="189"/>
      <c r="H167" s="189"/>
      <c r="I167" s="189"/>
      <c r="J167" s="189"/>
      <c r="K167" s="189"/>
      <c r="L167" s="189"/>
      <c r="M167" s="189"/>
      <c r="N167" s="189"/>
    </row>
    <row r="168" spans="2:21">
      <c r="D168" s="189"/>
      <c r="E168" s="189"/>
      <c r="F168" s="189"/>
      <c r="G168" s="189"/>
      <c r="H168" s="189"/>
      <c r="I168" s="189"/>
      <c r="J168" s="189"/>
      <c r="K168" s="189"/>
      <c r="L168" s="189"/>
      <c r="M168" s="189"/>
      <c r="N168" s="189"/>
    </row>
    <row r="169" spans="2:21">
      <c r="B169" s="190"/>
      <c r="C169" s="190"/>
      <c r="D169" s="189"/>
      <c r="E169" s="189"/>
      <c r="F169" s="189"/>
      <c r="G169" s="189"/>
      <c r="H169" s="189"/>
      <c r="I169" s="189"/>
      <c r="J169" s="189"/>
      <c r="K169" s="189"/>
      <c r="L169" s="189"/>
      <c r="M169" s="189"/>
      <c r="N169" s="189"/>
    </row>
    <row r="170" spans="2:21">
      <c r="D170" s="189"/>
      <c r="E170" s="189"/>
      <c r="F170" s="189"/>
      <c r="G170" s="189"/>
      <c r="H170" s="189"/>
      <c r="I170" s="189"/>
      <c r="J170" s="189"/>
      <c r="K170" s="189"/>
      <c r="L170" s="189"/>
      <c r="M170" s="189"/>
      <c r="N170" s="189"/>
    </row>
    <row r="176" spans="2:21">
      <c r="E176" s="189"/>
      <c r="F176" s="189"/>
      <c r="G176" s="189"/>
      <c r="H176" s="189"/>
      <c r="I176" s="189"/>
      <c r="J176" s="189"/>
      <c r="K176" s="189"/>
      <c r="L176" s="189"/>
      <c r="M176" s="189"/>
      <c r="N176" s="189"/>
    </row>
    <row r="178" spans="5:14">
      <c r="E178" s="189"/>
      <c r="F178" s="189"/>
      <c r="G178" s="189"/>
      <c r="H178" s="189"/>
      <c r="I178" s="189"/>
      <c r="J178" s="189"/>
      <c r="K178" s="189"/>
      <c r="L178" s="189"/>
      <c r="M178" s="189"/>
      <c r="N178" s="189"/>
    </row>
    <row r="179" spans="5:14">
      <c r="E179" s="189"/>
      <c r="F179" s="189"/>
      <c r="G179" s="189"/>
      <c r="H179" s="189"/>
      <c r="I179" s="189"/>
      <c r="J179" s="189"/>
      <c r="K179" s="189"/>
      <c r="L179" s="189"/>
      <c r="M179" s="189"/>
      <c r="N179" s="189"/>
    </row>
    <row r="180" spans="5:14">
      <c r="E180" s="189"/>
      <c r="F180" s="189"/>
      <c r="G180" s="189"/>
      <c r="H180" s="189"/>
      <c r="I180" s="189"/>
      <c r="J180" s="189"/>
      <c r="K180" s="189"/>
      <c r="L180" s="189"/>
      <c r="M180" s="189"/>
      <c r="N180" s="189"/>
    </row>
    <row r="181" spans="5:14">
      <c r="E181" s="189"/>
      <c r="F181" s="189"/>
      <c r="G181" s="189"/>
      <c r="H181" s="189"/>
      <c r="I181" s="189"/>
      <c r="J181" s="189"/>
      <c r="K181" s="189"/>
      <c r="L181" s="189"/>
      <c r="M181" s="189"/>
      <c r="N181" s="189"/>
    </row>
    <row r="182" spans="5:14">
      <c r="E182" s="189"/>
      <c r="F182" s="189"/>
      <c r="G182" s="189"/>
      <c r="H182" s="189"/>
      <c r="I182" s="189"/>
      <c r="J182" s="189"/>
      <c r="K182" s="189"/>
      <c r="L182" s="189"/>
      <c r="M182" s="189"/>
      <c r="N182" s="189"/>
    </row>
    <row r="183" spans="5:14">
      <c r="E183" s="189"/>
      <c r="F183" s="189"/>
      <c r="G183" s="189"/>
      <c r="H183" s="189"/>
      <c r="I183" s="189"/>
      <c r="J183" s="189"/>
      <c r="K183" s="189"/>
      <c r="L183" s="189"/>
      <c r="M183" s="189"/>
      <c r="N183" s="189"/>
    </row>
    <row r="184" spans="5:14">
      <c r="E184" s="189"/>
      <c r="F184" s="189"/>
      <c r="G184" s="189"/>
      <c r="H184" s="189"/>
      <c r="I184" s="189"/>
      <c r="J184" s="189"/>
      <c r="K184" s="189"/>
      <c r="L184" s="189"/>
      <c r="M184" s="189"/>
      <c r="N184" s="189"/>
    </row>
    <row r="185" spans="5:14">
      <c r="E185" s="189"/>
      <c r="F185" s="189"/>
      <c r="G185" s="189"/>
      <c r="H185" s="189"/>
      <c r="I185" s="189"/>
      <c r="J185" s="189"/>
      <c r="K185" s="189"/>
      <c r="L185" s="189"/>
      <c r="M185" s="189"/>
      <c r="N185" s="189"/>
    </row>
    <row r="186" spans="5:14">
      <c r="E186" s="189"/>
      <c r="F186" s="189"/>
      <c r="G186" s="189"/>
      <c r="H186" s="189"/>
      <c r="I186" s="189"/>
      <c r="J186" s="189"/>
      <c r="K186" s="189"/>
      <c r="L186" s="189"/>
      <c r="M186" s="189"/>
      <c r="N186" s="189"/>
    </row>
    <row r="187" spans="5:14">
      <c r="E187" s="189"/>
      <c r="F187" s="189"/>
      <c r="G187" s="189"/>
      <c r="H187" s="189"/>
      <c r="I187" s="189"/>
      <c r="J187" s="189"/>
      <c r="K187" s="189"/>
      <c r="L187" s="189"/>
      <c r="M187" s="189"/>
      <c r="N187" s="189"/>
    </row>
    <row r="188" spans="5:14">
      <c r="E188" s="189"/>
      <c r="F188" s="189"/>
      <c r="G188" s="189"/>
      <c r="H188" s="189"/>
      <c r="I188" s="189"/>
      <c r="J188" s="189"/>
      <c r="K188" s="189"/>
      <c r="L188" s="189"/>
      <c r="M188" s="189"/>
      <c r="N188" s="189"/>
    </row>
    <row r="189" spans="5:14">
      <c r="E189" s="189"/>
      <c r="F189" s="189"/>
      <c r="G189" s="189"/>
      <c r="H189" s="189"/>
      <c r="I189" s="189"/>
      <c r="J189" s="189"/>
      <c r="K189" s="189"/>
      <c r="L189" s="189"/>
      <c r="M189" s="189"/>
      <c r="N189" s="189"/>
    </row>
    <row r="190" spans="5:14">
      <c r="E190" s="189"/>
      <c r="F190" s="189"/>
      <c r="G190" s="189"/>
      <c r="H190" s="189"/>
      <c r="I190" s="189"/>
      <c r="J190" s="189"/>
      <c r="K190" s="189"/>
      <c r="L190" s="189"/>
      <c r="M190" s="189"/>
      <c r="N190" s="189"/>
    </row>
    <row r="191" spans="5:14">
      <c r="E191" s="189"/>
      <c r="F191" s="189"/>
      <c r="G191" s="189"/>
      <c r="H191" s="189"/>
      <c r="I191" s="189"/>
      <c r="J191" s="189"/>
      <c r="K191" s="189"/>
      <c r="L191" s="189"/>
      <c r="M191" s="189"/>
      <c r="N191" s="189"/>
    </row>
    <row r="192" spans="5:14">
      <c r="E192" s="189"/>
      <c r="F192" s="189"/>
      <c r="G192" s="189"/>
      <c r="H192" s="189"/>
      <c r="I192" s="189"/>
      <c r="J192" s="189"/>
      <c r="K192" s="189"/>
      <c r="L192" s="189"/>
      <c r="M192" s="189"/>
      <c r="N192" s="189"/>
    </row>
    <row r="193" spans="5:14">
      <c r="E193" s="189"/>
      <c r="F193" s="189"/>
      <c r="G193" s="189"/>
      <c r="H193" s="189"/>
      <c r="I193" s="189"/>
      <c r="J193" s="189"/>
      <c r="K193" s="189"/>
      <c r="L193" s="189"/>
      <c r="M193" s="189"/>
      <c r="N193" s="189"/>
    </row>
    <row r="194" spans="5:14">
      <c r="E194" s="189"/>
      <c r="F194" s="189"/>
      <c r="G194" s="189"/>
      <c r="H194" s="189"/>
      <c r="I194" s="189"/>
      <c r="J194" s="189"/>
      <c r="K194" s="189"/>
      <c r="L194" s="189"/>
      <c r="M194" s="189"/>
      <c r="N194" s="189"/>
    </row>
  </sheetData>
  <mergeCells count="1">
    <mergeCell ref="F39:I39"/>
  </mergeCells>
  <phoneticPr fontId="46" type="noConversion"/>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1B3DA-E8EC-F84B-8671-3D2EE0E35DF3}">
  <dimension ref="B1:L59"/>
  <sheetViews>
    <sheetView showGridLines="0" zoomScaleNormal="100" workbookViewId="0">
      <selection activeCell="C9" sqref="C9"/>
    </sheetView>
  </sheetViews>
  <sheetFormatPr defaultColWidth="10.6640625" defaultRowHeight="14.25" customHeight="1"/>
  <cols>
    <col min="1" max="1" width="2.6640625" style="154" customWidth="1"/>
    <col min="2" max="2" width="35.77734375" style="154" bestFit="1" customWidth="1"/>
    <col min="3" max="12" width="10.33203125" style="154" customWidth="1"/>
    <col min="13" max="16384" width="10.6640625" style="154"/>
  </cols>
  <sheetData>
    <row r="1" spans="2:12" ht="20.100000000000001" customHeight="1" thickBot="1"/>
    <row r="2" spans="2:12" ht="15">
      <c r="B2" s="546"/>
      <c r="C2" s="478" t="s">
        <v>183</v>
      </c>
      <c r="D2" s="499" t="s">
        <v>184</v>
      </c>
      <c r="E2" s="499" t="s">
        <v>185</v>
      </c>
      <c r="F2" s="499" t="s">
        <v>186</v>
      </c>
      <c r="G2" s="499" t="s">
        <v>187</v>
      </c>
      <c r="H2" s="499" t="s">
        <v>188</v>
      </c>
      <c r="I2" s="499" t="s">
        <v>189</v>
      </c>
      <c r="J2" s="499" t="s">
        <v>190</v>
      </c>
      <c r="K2" s="499" t="s">
        <v>191</v>
      </c>
      <c r="L2" s="548" t="s">
        <v>192</v>
      </c>
    </row>
    <row r="3" spans="2:12" ht="15.95">
      <c r="B3" s="547" t="s">
        <v>301</v>
      </c>
      <c r="C3" s="433">
        <f ca="1">IS!J14</f>
        <v>463077.879663851</v>
      </c>
      <c r="D3" s="310">
        <f ca="1">IS!K14</f>
        <v>562745.57343805011</v>
      </c>
      <c r="E3" s="310">
        <f ca="1">IS!L14</f>
        <v>690898.5857486598</v>
      </c>
      <c r="F3" s="310">
        <f ca="1">IS!M14</f>
        <v>870593.81203311216</v>
      </c>
      <c r="G3" s="310">
        <f ca="1">IS!N14</f>
        <v>1031297.2902846026</v>
      </c>
      <c r="H3" s="310">
        <f ca="1">IS!O14</f>
        <v>1226568.8460618956</v>
      </c>
      <c r="I3" s="310">
        <f ca="1">IS!P14</f>
        <v>1395666.1426765155</v>
      </c>
      <c r="J3" s="310">
        <f ca="1">IS!Q14</f>
        <v>1559663.0342792326</v>
      </c>
      <c r="K3" s="310">
        <f ca="1">IS!R14</f>
        <v>1697975.611461475</v>
      </c>
      <c r="L3" s="432">
        <f ca="1">IS!S14</f>
        <v>1843043.8996959855</v>
      </c>
    </row>
    <row r="4" spans="2:12" ht="15.95">
      <c r="B4" s="549" t="s">
        <v>228</v>
      </c>
      <c r="C4" s="568"/>
      <c r="D4" s="569"/>
      <c r="E4" s="569"/>
      <c r="F4" s="569"/>
      <c r="G4" s="569"/>
      <c r="H4" s="569"/>
      <c r="I4" s="569"/>
      <c r="J4" s="569"/>
      <c r="K4" s="569"/>
      <c r="L4" s="570"/>
    </row>
    <row r="5" spans="2:12" ht="15.95">
      <c r="B5" s="547" t="s">
        <v>229</v>
      </c>
      <c r="C5" s="571"/>
      <c r="D5" s="572"/>
      <c r="E5" s="572"/>
      <c r="F5" s="572"/>
      <c r="G5" s="572"/>
      <c r="H5" s="572"/>
      <c r="I5" s="572"/>
      <c r="J5" s="572"/>
      <c r="K5" s="572"/>
      <c r="L5" s="573"/>
    </row>
    <row r="6" spans="2:12" ht="15.95">
      <c r="B6" s="547" t="s">
        <v>231</v>
      </c>
      <c r="C6" s="433">
        <f>BS!I5-BS!J5</f>
        <v>-4239.8579870129834</v>
      </c>
      <c r="D6" s="310">
        <f>BS!J5-BS!K5</f>
        <v>-5127.563089846517</v>
      </c>
      <c r="E6" s="310">
        <f>BS!K5-BS!L5</f>
        <v>-5916.4387866877223</v>
      </c>
      <c r="F6" s="310">
        <f>BS!L5-BS!M5</f>
        <v>-6331.587032551528</v>
      </c>
      <c r="G6" s="310">
        <f>BS!M5-BS!N5</f>
        <v>-6188.7604610303679</v>
      </c>
      <c r="H6" s="310">
        <f>BS!N5-BS!O5</f>
        <v>-5491.7469923467288</v>
      </c>
      <c r="I6" s="310">
        <f>BS!O5-BS!P5</f>
        <v>-4788.7391463673484</v>
      </c>
      <c r="J6" s="310">
        <f>BS!P5-BS!Q5</f>
        <v>-4164.0516980431275</v>
      </c>
      <c r="K6" s="310">
        <f>BS!Q5-BS!R5</f>
        <v>-3653.5601080196211</v>
      </c>
      <c r="L6" s="432">
        <f>BS!R5-BS!S5</f>
        <v>-3845.5323723840265</v>
      </c>
    </row>
    <row r="7" spans="2:12" ht="15.95">
      <c r="B7" s="547" t="s">
        <v>233</v>
      </c>
      <c r="C7" s="433">
        <f>BS!I6-BS!J6</f>
        <v>-36865.095136279124</v>
      </c>
      <c r="D7" s="310">
        <f>BS!J6-BS!K6</f>
        <v>-44410.584513979324</v>
      </c>
      <c r="E7" s="310">
        <f>BS!K6-BS!L6</f>
        <v>-58346.995825291553</v>
      </c>
      <c r="F7" s="310">
        <f>BS!L6-BS!M6</f>
        <v>-61617.29498812207</v>
      </c>
      <c r="G7" s="310">
        <f>BS!M6-BS!N6</f>
        <v>-64174.313227575738</v>
      </c>
      <c r="H7" s="310">
        <f>BS!N6-BS!O6</f>
        <v>-56946.636385855498</v>
      </c>
      <c r="I7" s="310">
        <f>BS!O6-BS!P6</f>
        <v>-49656.800885934965</v>
      </c>
      <c r="J7" s="310">
        <f>BS!P6-BS!Q6</f>
        <v>-43179.108263878035</v>
      </c>
      <c r="K7" s="310">
        <f>BS!Q6-BS!R6</f>
        <v>-37885.568886405206</v>
      </c>
      <c r="L7" s="432">
        <f>BS!R6-BS!S6</f>
        <v>-39876.224091418087</v>
      </c>
    </row>
    <row r="8" spans="2:12" ht="15.95">
      <c r="B8" s="547" t="s">
        <v>235</v>
      </c>
      <c r="C8" s="433">
        <f>BS!I7-BS!J7</f>
        <v>-4363.787590077176</v>
      </c>
      <c r="D8" s="310">
        <f>BS!J7-BS!K7</f>
        <v>-5376.2794623563459</v>
      </c>
      <c r="E8" s="310">
        <f>BS!K7-BS!L7</f>
        <v>-6303.3666044720812</v>
      </c>
      <c r="F8" s="310">
        <f>BS!L7-BS!M7</f>
        <v>-6656.6649060906202</v>
      </c>
      <c r="G8" s="310">
        <f>BS!M7-BS!N7</f>
        <v>-6932.9057501926873</v>
      </c>
      <c r="H8" s="310">
        <f>BS!N7-BS!O7</f>
        <v>-6152.082398662591</v>
      </c>
      <c r="I8" s="310">
        <f>BS!O7-BS!P7</f>
        <v>-5364.5438974536664</v>
      </c>
      <c r="J8" s="310">
        <f>BS!P7-BS!Q7</f>
        <v>-4664.7431490111921</v>
      </c>
      <c r="K8" s="310">
        <f>BS!Q7-BS!R7</f>
        <v>-4092.8693299831939</v>
      </c>
      <c r="L8" s="432">
        <f>BS!R7-BS!S7</f>
        <v>-4307.9246102562174</v>
      </c>
    </row>
    <row r="9" spans="2:12" ht="15.95">
      <c r="B9" s="550" t="s">
        <v>236</v>
      </c>
      <c r="C9" s="568"/>
      <c r="D9" s="569"/>
      <c r="E9" s="569"/>
      <c r="F9" s="569"/>
      <c r="G9" s="569"/>
      <c r="H9" s="569"/>
      <c r="I9" s="569"/>
      <c r="J9" s="569"/>
      <c r="K9" s="569"/>
      <c r="L9" s="570"/>
    </row>
    <row r="10" spans="2:12" ht="15.95">
      <c r="B10" s="547" t="s">
        <v>237</v>
      </c>
      <c r="C10" s="433">
        <f>BS!I9-BS!J9</f>
        <v>-123564.89443708258</v>
      </c>
      <c r="D10" s="310">
        <f>BS!J9-BS!K9</f>
        <v>-146942.03662788216</v>
      </c>
      <c r="E10" s="310">
        <f>BS!K9-BS!L9</f>
        <v>-160300.40359405312</v>
      </c>
      <c r="F10" s="310">
        <f>BS!L9-BS!M9</f>
        <v>-156960.81185251055</v>
      </c>
      <c r="G10" s="310">
        <f>BS!M9-BS!N9</f>
        <v>-130244.07792016817</v>
      </c>
      <c r="H10" s="310">
        <f>BS!N9-BS!O9</f>
        <v>-93508.568763197633</v>
      </c>
      <c r="I10" s="310">
        <f>BS!O9-BS!P9</f>
        <v>-76810.610055483878</v>
      </c>
      <c r="J10" s="310">
        <f>BS!P9-BS!Q9</f>
        <v>-56773.059606227092</v>
      </c>
      <c r="K10" s="310">
        <f>BS!Q9-BS!R9</f>
        <v>-56773.059606227092</v>
      </c>
      <c r="L10" s="432">
        <f>BS!R9-BS!S9</f>
        <v>-60112.65134776989</v>
      </c>
    </row>
    <row r="11" spans="2:12" ht="15.95">
      <c r="B11" s="547" t="s">
        <v>239</v>
      </c>
      <c r="C11" s="433">
        <f>BS!I10-BS!J10</f>
        <v>-141297</v>
      </c>
      <c r="D11" s="310">
        <f>BS!J10-BS!K10</f>
        <v>-190800</v>
      </c>
      <c r="E11" s="310">
        <f>BS!K10-BS!L10</f>
        <v>-157500</v>
      </c>
      <c r="F11" s="310">
        <f>BS!L10-BS!M10</f>
        <v>-93700</v>
      </c>
      <c r="G11" s="310">
        <f>BS!M10-BS!N10</f>
        <v>-125800</v>
      </c>
      <c r="H11" s="310">
        <f>BS!N10-BS!O10</f>
        <v>-25100</v>
      </c>
      <c r="I11" s="310">
        <f>BS!O10-BS!P10</f>
        <v>-75900</v>
      </c>
      <c r="J11" s="310">
        <f>BS!P10-BS!Q10</f>
        <v>-56100</v>
      </c>
      <c r="K11" s="310">
        <f>BS!Q10-BS!R10</f>
        <v>-56100</v>
      </c>
      <c r="L11" s="432">
        <f>BS!R10-BS!S10</f>
        <v>-59400</v>
      </c>
    </row>
    <row r="12" spans="2:12" ht="15.95">
      <c r="B12" s="547" t="s">
        <v>241</v>
      </c>
      <c r="C12" s="433">
        <f>BS!I11-BS!J11</f>
        <v>0</v>
      </c>
      <c r="D12" s="310">
        <f>BS!J11-BS!K11</f>
        <v>0</v>
      </c>
      <c r="E12" s="310">
        <f>BS!K11-BS!L11</f>
        <v>0</v>
      </c>
      <c r="F12" s="310">
        <f>BS!L11-BS!M11</f>
        <v>0</v>
      </c>
      <c r="G12" s="310">
        <f>BS!M11-BS!N11</f>
        <v>0</v>
      </c>
      <c r="H12" s="310">
        <f>BS!N11-BS!O11</f>
        <v>0</v>
      </c>
      <c r="I12" s="310">
        <f>BS!O11-BS!P11</f>
        <v>0</v>
      </c>
      <c r="J12" s="310">
        <f>BS!P11-BS!Q11</f>
        <v>0</v>
      </c>
      <c r="K12" s="310">
        <f>BS!Q11-BS!R11</f>
        <v>0</v>
      </c>
      <c r="L12" s="432">
        <f>BS!R11-BS!S11</f>
        <v>0</v>
      </c>
    </row>
    <row r="13" spans="2:12" ht="15.95">
      <c r="B13" s="547" t="s">
        <v>244</v>
      </c>
      <c r="C13" s="433">
        <f>BS!I12-BS!J12</f>
        <v>0</v>
      </c>
      <c r="D13" s="310">
        <f>BS!J12-BS!K12</f>
        <v>0</v>
      </c>
      <c r="E13" s="310">
        <f>BS!K12-BS!L12</f>
        <v>0</v>
      </c>
      <c r="F13" s="310">
        <f>BS!L12-BS!M12</f>
        <v>0</v>
      </c>
      <c r="G13" s="310">
        <f>BS!M12-BS!N12</f>
        <v>0</v>
      </c>
      <c r="H13" s="310">
        <f>BS!N12-BS!O12</f>
        <v>0</v>
      </c>
      <c r="I13" s="310">
        <f>BS!O12-BS!P12</f>
        <v>0</v>
      </c>
      <c r="J13" s="310">
        <f>BS!P12-BS!Q12</f>
        <v>0</v>
      </c>
      <c r="K13" s="310">
        <f>BS!Q12-BS!R12</f>
        <v>0</v>
      </c>
      <c r="L13" s="432">
        <f>BS!R12-BS!S12</f>
        <v>0</v>
      </c>
    </row>
    <row r="14" spans="2:12" ht="15.95">
      <c r="B14" s="547" t="s">
        <v>245</v>
      </c>
      <c r="C14" s="433">
        <f>BS!I13-BS!J13</f>
        <v>-802.49878129870012</v>
      </c>
      <c r="D14" s="310">
        <f>BS!J13-BS!K13</f>
        <v>-2049.4428780335311</v>
      </c>
      <c r="E14" s="310">
        <f>BS!K13-BS!L13</f>
        <v>-2364.7497109706819</v>
      </c>
      <c r="F14" s="310">
        <f>BS!L13-BS!M13</f>
        <v>-2530.6808952204665</v>
      </c>
      <c r="G14" s="310">
        <f>BS!M13-BS!N13</f>
        <v>-2473.594342667333</v>
      </c>
      <c r="H14" s="310">
        <f>BS!N13-BS!O13</f>
        <v>-2195.0040524540782</v>
      </c>
      <c r="I14" s="310">
        <f>BS!O13-BS!P13</f>
        <v>-1914.0178611779302</v>
      </c>
      <c r="J14" s="310">
        <f>BS!P13-BS!Q13</f>
        <v>-1664.335659412307</v>
      </c>
      <c r="K14" s="310">
        <f>BS!Q13-BS!R13</f>
        <v>-1460.2965603047087</v>
      </c>
      <c r="L14" s="432">
        <f>BS!R13-BS!S13</f>
        <v>-1537.0262237116076</v>
      </c>
    </row>
    <row r="15" spans="2:12" ht="15.95">
      <c r="B15" s="550" t="s">
        <v>246</v>
      </c>
      <c r="C15" s="571"/>
      <c r="D15" s="572"/>
      <c r="E15" s="572"/>
      <c r="F15" s="572"/>
      <c r="G15" s="572"/>
      <c r="H15" s="572"/>
      <c r="I15" s="572"/>
      <c r="J15" s="572"/>
      <c r="K15" s="572"/>
      <c r="L15" s="573"/>
    </row>
    <row r="16" spans="2:12" ht="15">
      <c r="B16" s="550"/>
      <c r="C16" s="571"/>
      <c r="D16" s="572"/>
      <c r="E16" s="572"/>
      <c r="F16" s="572"/>
      <c r="G16" s="572"/>
      <c r="H16" s="572"/>
      <c r="I16" s="572"/>
      <c r="J16" s="572"/>
      <c r="K16" s="572"/>
      <c r="L16" s="573"/>
    </row>
    <row r="17" spans="2:12" ht="15.95">
      <c r="B17" s="549" t="s">
        <v>247</v>
      </c>
      <c r="C17" s="571"/>
      <c r="D17" s="572"/>
      <c r="E17" s="572"/>
      <c r="F17" s="572"/>
      <c r="G17" s="572"/>
      <c r="H17" s="572"/>
      <c r="I17" s="572"/>
      <c r="J17" s="572"/>
      <c r="K17" s="572"/>
      <c r="L17" s="573"/>
    </row>
    <row r="18" spans="2:12" ht="15.95">
      <c r="B18" s="547" t="s">
        <v>248</v>
      </c>
      <c r="C18" s="433">
        <f>BS!J17-BS!I17</f>
        <v>27554.088466655812</v>
      </c>
      <c r="D18" s="310">
        <f>BS!K17-BS!J17</f>
        <v>31992.062737081724</v>
      </c>
      <c r="E18" s="310">
        <f>BS!L17-BS!K17</f>
        <v>37508.783030544582</v>
      </c>
      <c r="F18" s="310">
        <f>BS!M17-BS!L17</f>
        <v>39611.118206649902</v>
      </c>
      <c r="G18" s="310">
        <f>BS!N17-BS!M17</f>
        <v>41254.915646298672</v>
      </c>
      <c r="H18" s="310">
        <f>BS!O17-BS!N17</f>
        <v>36608.551962335652</v>
      </c>
      <c r="I18" s="310">
        <f>BS!P17-BS!O17</f>
        <v>31922.229140958167</v>
      </c>
      <c r="J18" s="310">
        <f>BS!Q17-BS!P17</f>
        <v>27757.998169635888</v>
      </c>
      <c r="K18" s="310">
        <f>BS!R17-BS!Q17</f>
        <v>24355.008569831902</v>
      </c>
      <c r="L18" s="432">
        <f>BS!S17-BS!R17</f>
        <v>25634.715487340232</v>
      </c>
    </row>
    <row r="19" spans="2:12" ht="15.95">
      <c r="B19" s="547" t="s">
        <v>249</v>
      </c>
      <c r="C19" s="433">
        <f>BS!J18-BS!I18</f>
        <v>8253.8144786767371</v>
      </c>
      <c r="D19" s="310">
        <f>BS!K18-BS!J18</f>
        <v>34564.362203368219</v>
      </c>
      <c r="E19" s="310">
        <f>BS!L18-BS!K18</f>
        <v>39136.706362895929</v>
      </c>
      <c r="F19" s="310">
        <f>BS!M18-BS!L18</f>
        <v>39841.422483022674</v>
      </c>
      <c r="G19" s="310">
        <f>BS!N18-BS!M18</f>
        <v>38653.111886292987</v>
      </c>
      <c r="H19" s="310">
        <f>BS!O18-BS!N18</f>
        <v>29811.934312935104</v>
      </c>
      <c r="I19" s="310">
        <f>BS!P18-BS!O18</f>
        <v>24475.801811088284</v>
      </c>
      <c r="J19" s="310">
        <f>BS!Q18-BS!P18</f>
        <v>19803.083396070113</v>
      </c>
      <c r="K19" s="310">
        <f>BS!R18-BS!Q18</f>
        <v>15985.333873891213</v>
      </c>
      <c r="L19" s="432">
        <f>BS!S18-BS!R18</f>
        <v>16513.058263015526</v>
      </c>
    </row>
    <row r="20" spans="2:12" ht="15.95">
      <c r="B20" s="547" t="s">
        <v>251</v>
      </c>
      <c r="C20" s="433">
        <f>BS!J19-BS!I19</f>
        <v>15250.833924220758</v>
      </c>
      <c r="D20" s="310">
        <f>BS!K19-BS!J19</f>
        <v>17388.736318334442</v>
      </c>
      <c r="E20" s="310">
        <f>BS!L19-BS!K19</f>
        <v>19689.004047242692</v>
      </c>
      <c r="F20" s="310">
        <f>BS!M19-BS!L19</f>
        <v>20043.534610256203</v>
      </c>
      <c r="G20" s="310">
        <f>BS!N19-BS!M19</f>
        <v>19445.715981078625</v>
      </c>
      <c r="H20" s="310">
        <f>BS!O19-BS!N19</f>
        <v>14997.871560801403</v>
      </c>
      <c r="I20" s="310">
        <f>BS!P19-BS!O19</f>
        <v>12313.355049593607</v>
      </c>
      <c r="J20" s="310">
        <f>BS!Q19-BS!P19</f>
        <v>9962.5907586020476</v>
      </c>
      <c r="K20" s="310">
        <f>BS!R19-BS!Q19</f>
        <v>8041.9466171010863</v>
      </c>
      <c r="L20" s="432">
        <f>BS!S19-BS!R19</f>
        <v>8307.4356834765931</v>
      </c>
    </row>
    <row r="21" spans="2:12" ht="15.95">
      <c r="B21" s="547" t="s">
        <v>252</v>
      </c>
      <c r="C21" s="433">
        <f>BS!J20-BS!I20</f>
        <v>0</v>
      </c>
      <c r="D21" s="310">
        <f>BS!K20-BS!J20</f>
        <v>0</v>
      </c>
      <c r="E21" s="310">
        <f>BS!L20-BS!K20</f>
        <v>0</v>
      </c>
      <c r="F21" s="310">
        <f>BS!M20-BS!L20</f>
        <v>0</v>
      </c>
      <c r="G21" s="310">
        <f>BS!N20-BS!M20</f>
        <v>0</v>
      </c>
      <c r="H21" s="310">
        <f>BS!O20-BS!N20</f>
        <v>0</v>
      </c>
      <c r="I21" s="310">
        <f>BS!P20-BS!O20</f>
        <v>0</v>
      </c>
      <c r="J21" s="310">
        <f>BS!Q20-BS!P20</f>
        <v>0</v>
      </c>
      <c r="K21" s="310">
        <f>BS!R20-BS!Q20</f>
        <v>0</v>
      </c>
      <c r="L21" s="432">
        <f>BS!S20-BS!R20</f>
        <v>0</v>
      </c>
    </row>
    <row r="22" spans="2:12" ht="15.95">
      <c r="B22" s="547" t="s">
        <v>253</v>
      </c>
      <c r="C22" s="433">
        <f>BS!J21-BS!I21</f>
        <v>14487.030703461671</v>
      </c>
      <c r="D22" s="310">
        <f>BS!K21-BS!J21</f>
        <v>19562.520493856777</v>
      </c>
      <c r="E22" s="310">
        <f>BS!L21-BS!K21</f>
        <v>16148.307011438388</v>
      </c>
      <c r="F22" s="310">
        <f>BS!M21-BS!L21</f>
        <v>9606.9610601382738</v>
      </c>
      <c r="G22" s="310">
        <f>BS!N21-BS!M21</f>
        <v>12898.139822469529</v>
      </c>
      <c r="H22" s="310">
        <f>BS!O21-BS!N21</f>
        <v>2573.4762284895114</v>
      </c>
      <c r="I22" s="310">
        <f>BS!P21-BS!O21</f>
        <v>7781.9460455122462</v>
      </c>
      <c r="J22" s="310">
        <f>BS!Q21-BS!P21</f>
        <v>5751.8731640742335</v>
      </c>
      <c r="K22" s="310">
        <f>BS!R21-BS!Q21</f>
        <v>5751.8731640742335</v>
      </c>
      <c r="L22" s="432">
        <f>BS!S21-BS!R21</f>
        <v>6090.2186443138926</v>
      </c>
    </row>
    <row r="23" spans="2:12" ht="15.95">
      <c r="B23" s="547" t="s">
        <v>255</v>
      </c>
      <c r="C23" s="433">
        <f>BS!J22-BS!I22</f>
        <v>192.60000000000014</v>
      </c>
      <c r="D23" s="310">
        <f>BS!K22-BS!J22</f>
        <v>90.079999999999927</v>
      </c>
      <c r="E23" s="310">
        <f>BS!L22-BS!K22</f>
        <v>95.679999999999836</v>
      </c>
      <c r="F23" s="310">
        <f>BS!M22-BS!L22</f>
        <v>85.520000000000209</v>
      </c>
      <c r="G23" s="310">
        <f>BS!N22-BS!M22</f>
        <v>109.51999999999998</v>
      </c>
      <c r="H23" s="310">
        <f>BS!O22-BS!N22</f>
        <v>79.920000000000073</v>
      </c>
      <c r="I23" s="310">
        <f>BS!P22-BS!O22</f>
        <v>68.079999999999927</v>
      </c>
      <c r="J23" s="310">
        <f>BS!Q22-BS!P22</f>
        <v>50.320000000000164</v>
      </c>
      <c r="K23" s="310">
        <f>BS!R22-BS!Q22</f>
        <v>50.320000000000164</v>
      </c>
      <c r="L23" s="432">
        <f>BS!S22-BS!R22</f>
        <v>53.279999999999745</v>
      </c>
    </row>
    <row r="24" spans="2:12" ht="15.95">
      <c r="B24" s="550" t="s">
        <v>257</v>
      </c>
      <c r="C24" s="571"/>
      <c r="D24" s="572"/>
      <c r="E24" s="572"/>
      <c r="F24" s="572"/>
      <c r="G24" s="572"/>
      <c r="H24" s="572"/>
      <c r="I24" s="572"/>
      <c r="J24" s="572"/>
      <c r="K24" s="572"/>
      <c r="L24" s="573"/>
    </row>
    <row r="25" spans="2:12" ht="15.95">
      <c r="B25" s="547" t="s">
        <v>258</v>
      </c>
      <c r="C25" s="433">
        <f>BS!J24-BS!I24</f>
        <v>146437.68046285282</v>
      </c>
      <c r="D25" s="310">
        <f>BS!K24-BS!J24</f>
        <v>197741.7031664669</v>
      </c>
      <c r="E25" s="310">
        <f>BS!L24-BS!K24</f>
        <v>163230.17950062151</v>
      </c>
      <c r="F25" s="310">
        <f>BS!M24-BS!L24</f>
        <v>97109.002026718808</v>
      </c>
      <c r="G25" s="310">
        <f>BS!N24-BS!M24</f>
        <v>130376.86718208389</v>
      </c>
      <c r="H25" s="310">
        <f>BS!O24-BS!N24</f>
        <v>26013.190510892309</v>
      </c>
      <c r="I25" s="310">
        <f>BS!P24-BS!O24</f>
        <v>78661.400787918828</v>
      </c>
      <c r="J25" s="310">
        <f>BS!Q24-BS!P24</f>
        <v>58141.035364983138</v>
      </c>
      <c r="K25" s="310">
        <f>BS!R24-BS!Q24</f>
        <v>58141.035364983138</v>
      </c>
      <c r="L25" s="432">
        <f>BS!S24-BS!R24</f>
        <v>61561.096268805675</v>
      </c>
    </row>
    <row r="26" spans="2:12" ht="15.95">
      <c r="B26" s="547" t="s">
        <v>260</v>
      </c>
      <c r="C26" s="433">
        <f ca="1">BS!J25-BS!I25</f>
        <v>0</v>
      </c>
      <c r="D26" s="310">
        <f ca="1">BS!K25-BS!J25</f>
        <v>0</v>
      </c>
      <c r="E26" s="310">
        <f ca="1">BS!L25-BS!K25</f>
        <v>0</v>
      </c>
      <c r="F26" s="310">
        <f ca="1">BS!M25-BS!L25</f>
        <v>0</v>
      </c>
      <c r="G26" s="310">
        <f ca="1">BS!N25-BS!M25</f>
        <v>0</v>
      </c>
      <c r="H26" s="310">
        <f ca="1">BS!O25-BS!N25</f>
        <v>0</v>
      </c>
      <c r="I26" s="310">
        <f ca="1">BS!P25-BS!O25</f>
        <v>0</v>
      </c>
      <c r="J26" s="310">
        <f ca="1">BS!Q25-BS!P25</f>
        <v>0</v>
      </c>
      <c r="K26" s="310">
        <f ca="1">BS!R25-BS!Q25</f>
        <v>0</v>
      </c>
      <c r="L26" s="432">
        <f ca="1">BS!S25-BS!R25</f>
        <v>0</v>
      </c>
    </row>
    <row r="27" spans="2:12" ht="15.95">
      <c r="B27" s="547" t="s">
        <v>262</v>
      </c>
      <c r="C27" s="433">
        <f>BS!J26-BS!I26</f>
        <v>320</v>
      </c>
      <c r="D27" s="310">
        <f>BS!K26-BS!J26</f>
        <v>450.39999999999964</v>
      </c>
      <c r="E27" s="310">
        <f>BS!L26-BS!K26</f>
        <v>478.39999999999964</v>
      </c>
      <c r="F27" s="310">
        <f>BS!M26-BS!L26</f>
        <v>427.60000000000036</v>
      </c>
      <c r="G27" s="310">
        <f>BS!N26-BS!M26</f>
        <v>547.60000000000036</v>
      </c>
      <c r="H27" s="310">
        <f>BS!O26-BS!N26</f>
        <v>399.60000000000036</v>
      </c>
      <c r="I27" s="310">
        <f>BS!P26-BS!O26</f>
        <v>340.39999999999964</v>
      </c>
      <c r="J27" s="310">
        <f>BS!Q26-BS!P26</f>
        <v>251.60000000000036</v>
      </c>
      <c r="K27" s="310">
        <f>BS!R26-BS!Q26</f>
        <v>251.60000000000036</v>
      </c>
      <c r="L27" s="432">
        <f>BS!S26-BS!R26</f>
        <v>266.39999999999964</v>
      </c>
    </row>
    <row r="28" spans="2:12" ht="15.95">
      <c r="B28" s="547" t="s">
        <v>263</v>
      </c>
      <c r="C28" s="571"/>
      <c r="D28" s="572"/>
      <c r="E28" s="572"/>
      <c r="F28" s="572"/>
      <c r="G28" s="572"/>
      <c r="H28" s="572"/>
      <c r="I28" s="572"/>
      <c r="J28" s="572"/>
      <c r="K28" s="572"/>
      <c r="L28" s="573"/>
    </row>
    <row r="29" spans="2:12" ht="15.95">
      <c r="B29" s="547" t="s">
        <v>265</v>
      </c>
      <c r="C29" s="433">
        <f>BS!J28-BS!I28</f>
        <v>1243.9653224025897</v>
      </c>
      <c r="D29" s="310">
        <f>BS!K28-BS!J28</f>
        <v>5764.0580944693065</v>
      </c>
      <c r="E29" s="310">
        <f>BS!L28-BS!K28</f>
        <v>6650.8585621050443</v>
      </c>
      <c r="F29" s="310">
        <f>BS!M28-BS!L28</f>
        <v>7117.5400178075506</v>
      </c>
      <c r="G29" s="310">
        <f>BS!N28-BS!M28</f>
        <v>6956.9840887518876</v>
      </c>
      <c r="H29" s="310">
        <f>BS!O28-BS!N28</f>
        <v>6173.4488975270942</v>
      </c>
      <c r="I29" s="310">
        <f>BS!P28-BS!O28</f>
        <v>5383.1752345629211</v>
      </c>
      <c r="J29" s="310">
        <f>BS!Q28-BS!P28</f>
        <v>4680.9440420971077</v>
      </c>
      <c r="K29" s="310">
        <f>BS!R28-BS!Q28</f>
        <v>4107.0840758569975</v>
      </c>
      <c r="L29" s="432">
        <f>BS!S28-BS!R28</f>
        <v>4322.8862541888957</v>
      </c>
    </row>
    <row r="30" spans="2:12" ht="15.95">
      <c r="B30" s="547" t="s">
        <v>266</v>
      </c>
      <c r="C30" s="433">
        <f ca="1">BS!J29-BS!I29</f>
        <v>13382.204203918867</v>
      </c>
      <c r="D30" s="310">
        <f ca="1">BS!K29-BS!J29</f>
        <v>18604.636171183825</v>
      </c>
      <c r="E30" s="310">
        <f ca="1">BS!L29-BS!K29</f>
        <v>23921.895631313804</v>
      </c>
      <c r="F30" s="310">
        <f ca="1">BS!M29-BS!L29</f>
        <v>33543.108906431124</v>
      </c>
      <c r="G30" s="310">
        <f ca="1">BS!N29-BS!M29</f>
        <v>29997.982606944861</v>
      </c>
      <c r="H30" s="310">
        <f ca="1">BS!O29-BS!N29</f>
        <v>36450.690411761374</v>
      </c>
      <c r="I30" s="310">
        <f ca="1">BS!P29-BS!O29</f>
        <v>31564.828701395716</v>
      </c>
      <c r="J30" s="310">
        <f ca="1">BS!Q29-BS!P29</f>
        <v>30612.75309917386</v>
      </c>
      <c r="K30" s="310">
        <f ca="1">BS!R29-BS!Q29</f>
        <v>25818.347740685276</v>
      </c>
      <c r="L30" s="432">
        <f ca="1">BS!S29-BS!R29</f>
        <v>27079.413803775329</v>
      </c>
    </row>
    <row r="31" spans="2:12" ht="15.95">
      <c r="B31" s="550" t="s">
        <v>268</v>
      </c>
      <c r="C31" s="571"/>
      <c r="D31" s="572"/>
      <c r="E31" s="572"/>
      <c r="F31" s="572"/>
      <c r="G31" s="572"/>
      <c r="H31" s="572"/>
      <c r="I31" s="572"/>
      <c r="J31" s="572"/>
      <c r="K31" s="572"/>
      <c r="L31" s="573"/>
    </row>
    <row r="32" spans="2:12" ht="15">
      <c r="B32" s="547"/>
      <c r="C32" s="571"/>
      <c r="D32" s="572"/>
      <c r="E32" s="572"/>
      <c r="F32" s="572"/>
      <c r="G32" s="572"/>
      <c r="H32" s="572"/>
      <c r="I32" s="572"/>
      <c r="J32" s="572"/>
      <c r="K32" s="572"/>
      <c r="L32" s="573"/>
    </row>
    <row r="33" spans="2:12" ht="15.95">
      <c r="B33" s="549" t="s">
        <v>269</v>
      </c>
      <c r="C33" s="571"/>
      <c r="D33" s="572"/>
      <c r="E33" s="572"/>
      <c r="F33" s="572"/>
      <c r="G33" s="572"/>
      <c r="H33" s="572"/>
      <c r="I33" s="572"/>
      <c r="J33" s="572"/>
      <c r="K33" s="572"/>
      <c r="L33" s="573"/>
    </row>
    <row r="34" spans="2:12" ht="15">
      <c r="B34" s="551" t="s">
        <v>270</v>
      </c>
      <c r="C34" s="433">
        <f>BS!J33-BS!I33</f>
        <v>0</v>
      </c>
      <c r="D34" s="310">
        <f>BS!K33-BS!J33</f>
        <v>0</v>
      </c>
      <c r="E34" s="310">
        <f>BS!L33-BS!K33</f>
        <v>0</v>
      </c>
      <c r="F34" s="310">
        <f>BS!M33-BS!L33</f>
        <v>0</v>
      </c>
      <c r="G34" s="310">
        <f>BS!N33-BS!M33</f>
        <v>0</v>
      </c>
      <c r="H34" s="310">
        <f>BS!O33-BS!N33</f>
        <v>0</v>
      </c>
      <c r="I34" s="310">
        <f>BS!P33-BS!O33</f>
        <v>0</v>
      </c>
      <c r="J34" s="310">
        <f>BS!Q33-BS!P33</f>
        <v>0</v>
      </c>
      <c r="K34" s="310">
        <f>BS!R33-BS!Q33</f>
        <v>0</v>
      </c>
      <c r="L34" s="432">
        <f>BS!S33-BS!R33</f>
        <v>0</v>
      </c>
    </row>
    <row r="35" spans="2:12" ht="15.95">
      <c r="B35" s="547" t="s">
        <v>272</v>
      </c>
      <c r="C35" s="433">
        <f>BS!J34-BS!I34</f>
        <v>0</v>
      </c>
      <c r="D35" s="310">
        <f>BS!K34-BS!J34</f>
        <v>0</v>
      </c>
      <c r="E35" s="310">
        <f>BS!L34-BS!K34</f>
        <v>0</v>
      </c>
      <c r="F35" s="310">
        <f>BS!M34-BS!L34</f>
        <v>0</v>
      </c>
      <c r="G35" s="310">
        <f>BS!N34-BS!M34</f>
        <v>0</v>
      </c>
      <c r="H35" s="310">
        <f>BS!O34-BS!N34</f>
        <v>0</v>
      </c>
      <c r="I35" s="310">
        <f>BS!P34-BS!O34</f>
        <v>0</v>
      </c>
      <c r="J35" s="310">
        <f>BS!Q34-BS!P34</f>
        <v>0</v>
      </c>
      <c r="K35" s="310">
        <f>BS!R34-BS!Q34</f>
        <v>0</v>
      </c>
      <c r="L35" s="432">
        <f>BS!S34-BS!R34</f>
        <v>0</v>
      </c>
    </row>
    <row r="36" spans="2:12" ht="15.95">
      <c r="B36" s="547" t="s">
        <v>273</v>
      </c>
      <c r="C36" s="433">
        <f>BS!J35-BS!I35</f>
        <v>0</v>
      </c>
      <c r="D36" s="310">
        <f>BS!K35-BS!J35</f>
        <v>0</v>
      </c>
      <c r="E36" s="310">
        <f>BS!L35-BS!K35</f>
        <v>0</v>
      </c>
      <c r="F36" s="310">
        <f>BS!M35-BS!L35</f>
        <v>0</v>
      </c>
      <c r="G36" s="310">
        <f>BS!N35-BS!M35</f>
        <v>0</v>
      </c>
      <c r="H36" s="310">
        <f>BS!O35-BS!N35</f>
        <v>0</v>
      </c>
      <c r="I36" s="310">
        <f>BS!P35-BS!O35</f>
        <v>0</v>
      </c>
      <c r="J36" s="310">
        <f>BS!Q35-BS!P35</f>
        <v>0</v>
      </c>
      <c r="K36" s="310">
        <f>BS!R35-BS!Q35</f>
        <v>0</v>
      </c>
      <c r="L36" s="432">
        <f>BS!S35-BS!R35</f>
        <v>0</v>
      </c>
    </row>
    <row r="37" spans="2:12" ht="15.95">
      <c r="B37" s="547" t="s">
        <v>274</v>
      </c>
      <c r="C37" s="571"/>
      <c r="D37" s="572"/>
      <c r="E37" s="572"/>
      <c r="F37" s="572"/>
      <c r="G37" s="572"/>
      <c r="H37" s="572"/>
      <c r="I37" s="572"/>
      <c r="J37" s="572"/>
      <c r="K37" s="572"/>
      <c r="L37" s="573"/>
    </row>
    <row r="38" spans="2:12" ht="15.95">
      <c r="B38" s="550" t="s">
        <v>275</v>
      </c>
      <c r="C38" s="571"/>
      <c r="D38" s="572"/>
      <c r="E38" s="572"/>
      <c r="F38" s="572"/>
      <c r="G38" s="572"/>
      <c r="H38" s="572"/>
      <c r="I38" s="572"/>
      <c r="J38" s="572"/>
      <c r="K38" s="572"/>
      <c r="L38" s="573"/>
    </row>
    <row r="39" spans="2:12" ht="17.100000000000001" thickBot="1">
      <c r="B39" s="552" t="s">
        <v>276</v>
      </c>
      <c r="C39" s="574"/>
      <c r="D39" s="575"/>
      <c r="E39" s="575"/>
      <c r="F39" s="575"/>
      <c r="G39" s="575"/>
      <c r="H39" s="575"/>
      <c r="I39" s="575"/>
      <c r="J39" s="575"/>
      <c r="K39" s="575"/>
      <c r="L39" s="576"/>
    </row>
    <row r="40" spans="2:12" ht="15.95" thickBot="1">
      <c r="C40" s="393"/>
      <c r="D40" s="393"/>
      <c r="E40" s="393"/>
      <c r="F40" s="393"/>
      <c r="G40" s="393"/>
      <c r="H40" s="393"/>
      <c r="I40" s="393"/>
      <c r="J40" s="393"/>
      <c r="K40" s="393"/>
      <c r="L40" s="393"/>
    </row>
    <row r="41" spans="2:12" s="190" customFormat="1" ht="15">
      <c r="B41" s="553"/>
      <c r="C41" s="577"/>
      <c r="D41" s="577"/>
      <c r="E41" s="577"/>
      <c r="F41" s="577"/>
      <c r="G41" s="577"/>
      <c r="H41" s="577"/>
      <c r="I41" s="577"/>
      <c r="J41" s="577"/>
      <c r="K41" s="577"/>
      <c r="L41" s="578"/>
    </row>
    <row r="42" spans="2:12" s="190" customFormat="1" ht="15.95">
      <c r="B42" s="554" t="s">
        <v>302</v>
      </c>
      <c r="C42" s="579">
        <f>BS!J62</f>
        <v>-225000</v>
      </c>
      <c r="D42" s="579">
        <f>BS!K62</f>
        <v>-225000</v>
      </c>
      <c r="E42" s="579">
        <f>BS!L62</f>
        <v>-225000</v>
      </c>
      <c r="F42" s="579">
        <f>BS!M62</f>
        <v>-225000</v>
      </c>
      <c r="G42" s="579">
        <f>BS!N62</f>
        <v>-225000</v>
      </c>
      <c r="H42" s="579">
        <f>BS!O62</f>
        <v>-225000</v>
      </c>
      <c r="I42" s="579">
        <f>BS!P62</f>
        <v>-225000</v>
      </c>
      <c r="J42" s="579">
        <f>BS!Q62</f>
        <v>-225000</v>
      </c>
      <c r="K42" s="579">
        <f>BS!R62</f>
        <v>-225000</v>
      </c>
      <c r="L42" s="580">
        <f>BS!S62</f>
        <v>-225000</v>
      </c>
    </row>
    <row r="43" spans="2:12" ht="15">
      <c r="B43" s="555" t="s">
        <v>303</v>
      </c>
      <c r="C43" s="579">
        <f ca="1">SUM(C3:C39,C42)</f>
        <v>154066.96329428966</v>
      </c>
      <c r="D43" s="579">
        <f ca="1">SUM(D3:D39,D42)</f>
        <v>269198.22605071351</v>
      </c>
      <c r="E43" s="579">
        <f ca="1">SUM(E3:E39,E42)</f>
        <v>382026.44537334656</v>
      </c>
      <c r="F43" s="579">
        <f ca="1">SUM(F3:F39,F42)</f>
        <v>565182.57966964145</v>
      </c>
      <c r="G43" s="579">
        <f t="shared" ref="G43:K43" ca="1" si="0">SUM(G3:G39,G42)</f>
        <v>750724.47579688858</v>
      </c>
      <c r="H43" s="579">
        <f t="shared" ca="1" si="0"/>
        <v>965283.49135412136</v>
      </c>
      <c r="I43" s="579">
        <f t="shared" ca="1" si="0"/>
        <v>1148742.6476011274</v>
      </c>
      <c r="J43" s="579">
        <f t="shared" ca="1" si="0"/>
        <v>1325129.9338972974</v>
      </c>
      <c r="K43" s="579">
        <f t="shared" ca="1" si="0"/>
        <v>1455512.8063769594</v>
      </c>
      <c r="L43" s="580">
        <f t="shared" ref="L43" ca="1" si="1">SUM(L3:L39,L42)</f>
        <v>1598793.0454553615</v>
      </c>
    </row>
    <row r="44" spans="2:12" s="190" customFormat="1" ht="15">
      <c r="B44" s="555"/>
      <c r="C44" s="581"/>
      <c r="D44" s="581"/>
      <c r="E44" s="581"/>
      <c r="F44" s="581"/>
      <c r="G44" s="581"/>
      <c r="H44" s="581"/>
      <c r="I44" s="581"/>
      <c r="J44" s="581"/>
      <c r="K44" s="581"/>
      <c r="L44" s="582"/>
    </row>
    <row r="45" spans="2:12" ht="15.95">
      <c r="B45" s="554" t="s">
        <v>304</v>
      </c>
      <c r="C45" s="310">
        <f>BS!I4</f>
        <v>265159</v>
      </c>
      <c r="D45" s="310">
        <f ca="1">C46</f>
        <v>419225.96329428966</v>
      </c>
      <c r="E45" s="310">
        <f t="shared" ref="E45:L45" ca="1" si="2">D46</f>
        <v>688424.18934500311</v>
      </c>
      <c r="F45" s="310">
        <f t="shared" ca="1" si="2"/>
        <v>1070450.6347183497</v>
      </c>
      <c r="G45" s="310">
        <f t="shared" ca="1" si="2"/>
        <v>1635633.214387991</v>
      </c>
      <c r="H45" s="310">
        <f t="shared" ca="1" si="2"/>
        <v>2386357.6901848796</v>
      </c>
      <c r="I45" s="310">
        <f t="shared" ca="1" si="2"/>
        <v>3351641.1815390009</v>
      </c>
      <c r="J45" s="310">
        <f t="shared" ca="1" si="2"/>
        <v>4500383.8291401286</v>
      </c>
      <c r="K45" s="310">
        <f t="shared" ca="1" si="2"/>
        <v>5825513.7630374264</v>
      </c>
      <c r="L45" s="583">
        <f t="shared" ca="1" si="2"/>
        <v>7281026.5694143856</v>
      </c>
    </row>
    <row r="46" spans="2:12" ht="15">
      <c r="B46" s="555" t="s">
        <v>305</v>
      </c>
      <c r="C46" s="310">
        <f ca="1">C45+C43</f>
        <v>419225.96329428966</v>
      </c>
      <c r="D46" s="310">
        <f ca="1">D45+D43</f>
        <v>688424.18934500311</v>
      </c>
      <c r="E46" s="310">
        <f t="shared" ref="E46:F46" ca="1" si="3">E45+E43</f>
        <v>1070450.6347183497</v>
      </c>
      <c r="F46" s="310">
        <f t="shared" ca="1" si="3"/>
        <v>1635633.214387991</v>
      </c>
      <c r="G46" s="310">
        <f t="shared" ref="G46" ca="1" si="4">G45+G43</f>
        <v>2386357.6901848796</v>
      </c>
      <c r="H46" s="310">
        <f t="shared" ref="H46" ca="1" si="5">H45+H43</f>
        <v>3351641.1815390009</v>
      </c>
      <c r="I46" s="310">
        <f t="shared" ref="I46" ca="1" si="6">I45+I43</f>
        <v>4500383.8291401286</v>
      </c>
      <c r="J46" s="310">
        <f t="shared" ref="J46" ca="1" si="7">J45+J43</f>
        <v>5825513.7630374264</v>
      </c>
      <c r="K46" s="310">
        <f t="shared" ref="K46" ca="1" si="8">K45+K43</f>
        <v>7281026.5694143856</v>
      </c>
      <c r="L46" s="583">
        <f t="shared" ref="L46" ca="1" si="9">L45+L43</f>
        <v>8879819.6148697473</v>
      </c>
    </row>
    <row r="47" spans="2:12" ht="15">
      <c r="B47" s="555"/>
      <c r="C47" s="310"/>
      <c r="D47" s="310"/>
      <c r="E47" s="310"/>
      <c r="F47" s="310"/>
      <c r="G47" s="310"/>
      <c r="H47" s="310"/>
      <c r="I47" s="310"/>
      <c r="J47" s="310"/>
      <c r="K47" s="310"/>
      <c r="L47" s="583"/>
    </row>
    <row r="48" spans="2:12" ht="15">
      <c r="B48" s="555" t="s">
        <v>306</v>
      </c>
      <c r="C48" s="310">
        <f ca="1">C43-C42</f>
        <v>379066.96329428966</v>
      </c>
      <c r="D48" s="310">
        <f ca="1">D43-D42</f>
        <v>494198.22605071351</v>
      </c>
      <c r="E48" s="310">
        <f ca="1">E43-E42</f>
        <v>607026.44537334656</v>
      </c>
      <c r="F48" s="310">
        <f ca="1">F43-F42</f>
        <v>790182.57966964145</v>
      </c>
      <c r="G48" s="310">
        <f t="shared" ref="G48:K48" ca="1" si="10">G43-G42</f>
        <v>975724.47579688858</v>
      </c>
      <c r="H48" s="310">
        <f t="shared" ca="1" si="10"/>
        <v>1190283.4913541214</v>
      </c>
      <c r="I48" s="310">
        <f t="shared" ca="1" si="10"/>
        <v>1373742.6476011274</v>
      </c>
      <c r="J48" s="310">
        <f t="shared" ca="1" si="10"/>
        <v>1550129.9338972974</v>
      </c>
      <c r="K48" s="310">
        <f t="shared" ca="1" si="10"/>
        <v>1680512.8063769594</v>
      </c>
      <c r="L48" s="583">
        <f t="shared" ref="L48" ca="1" si="11">L43-L42</f>
        <v>1823793.0454553615</v>
      </c>
    </row>
    <row r="49" spans="2:12" ht="15">
      <c r="B49" s="555"/>
      <c r="C49" s="310"/>
      <c r="D49" s="310"/>
      <c r="E49" s="310"/>
      <c r="F49" s="310"/>
      <c r="G49" s="310"/>
      <c r="H49" s="310"/>
      <c r="I49" s="310"/>
      <c r="J49" s="310"/>
      <c r="K49" s="310"/>
      <c r="L49" s="583"/>
    </row>
    <row r="50" spans="2:12" ht="15.95" thickBot="1">
      <c r="B50" s="556" t="s">
        <v>307</v>
      </c>
      <c r="C50" s="584">
        <f ca="1">BS!J38-BS!J14</f>
        <v>0</v>
      </c>
      <c r="D50" s="584">
        <f ca="1">BS!K38-BS!K14</f>
        <v>0</v>
      </c>
      <c r="E50" s="584">
        <f ca="1">BS!L38-BS!L14</f>
        <v>0</v>
      </c>
      <c r="F50" s="584">
        <f ca="1">BS!M38-BS!M14</f>
        <v>0</v>
      </c>
      <c r="G50" s="584">
        <f ca="1">BS!N38-BS!N14</f>
        <v>0</v>
      </c>
      <c r="H50" s="584">
        <f ca="1">BS!O38-BS!O14</f>
        <v>0</v>
      </c>
      <c r="I50" s="584">
        <f ca="1">BS!P38-BS!P14</f>
        <v>0</v>
      </c>
      <c r="J50" s="584">
        <f ca="1">BS!Q38-BS!Q14</f>
        <v>0</v>
      </c>
      <c r="K50" s="584">
        <f ca="1">BS!R38-BS!R14</f>
        <v>0</v>
      </c>
      <c r="L50" s="585">
        <f ca="1">BS!S38-BS!S14</f>
        <v>0</v>
      </c>
    </row>
    <row r="51" spans="2:12" ht="15"/>
    <row r="52" spans="2:12" ht="15">
      <c r="C52" s="158"/>
      <c r="D52" s="158"/>
      <c r="E52" s="158"/>
      <c r="F52" s="158"/>
      <c r="G52" s="158"/>
    </row>
    <row r="53" spans="2:12" ht="15"/>
    <row r="54" spans="2:12" ht="15">
      <c r="C54" s="158"/>
      <c r="D54" s="158"/>
      <c r="E54" s="158"/>
      <c r="F54" s="158"/>
      <c r="G54" s="158"/>
    </row>
    <row r="55" spans="2:12" ht="15">
      <c r="C55" s="158"/>
      <c r="D55" s="158"/>
      <c r="E55" s="158"/>
      <c r="F55" s="158"/>
      <c r="G55" s="158"/>
    </row>
    <row r="56" spans="2:12" ht="15">
      <c r="C56" s="158"/>
      <c r="D56" s="158"/>
      <c r="E56" s="158"/>
      <c r="F56" s="158"/>
      <c r="G56" s="158"/>
    </row>
    <row r="57" spans="2:12" ht="15">
      <c r="C57" s="158"/>
      <c r="D57" s="158"/>
      <c r="E57" s="158"/>
      <c r="F57" s="158"/>
      <c r="G57" s="158"/>
    </row>
    <row r="58" spans="2:12" ht="15"/>
    <row r="59" spans="2:12" ht="15"/>
  </sheetData>
  <conditionalFormatting sqref="C50:L50">
    <cfRule type="cellIs" dxfId="18" priority="1" operator="notEqual">
      <formula>0</formula>
    </cfRule>
    <cfRule type="cellIs" dxfId="17" priority="2" operator="equal">
      <formula>0</formula>
    </cfRule>
  </conditionalFormatting>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CB6B-7A3F-AE44-8586-B516C3BBE84C}">
  <dimension ref="B1:G48"/>
  <sheetViews>
    <sheetView showGridLines="0" workbookViewId="0">
      <selection activeCell="B9" sqref="B9"/>
    </sheetView>
  </sheetViews>
  <sheetFormatPr defaultColWidth="11.44140625" defaultRowHeight="15"/>
  <cols>
    <col min="1" max="1" width="2.77734375" style="154" customWidth="1"/>
    <col min="2" max="2" width="60" style="154" customWidth="1"/>
    <col min="3" max="7" width="10.33203125" style="154" customWidth="1"/>
    <col min="8" max="16384" width="11.44140625" style="154"/>
  </cols>
  <sheetData>
    <row r="1" spans="2:7" ht="20.100000000000001" customHeight="1" thickBot="1"/>
    <row r="2" spans="2:7" ht="15.95">
      <c r="B2" s="557" t="s">
        <v>308</v>
      </c>
      <c r="C2" s="558" t="s">
        <v>87</v>
      </c>
      <c r="D2" s="559" t="s">
        <v>88</v>
      </c>
      <c r="E2" s="559" t="s">
        <v>89</v>
      </c>
      <c r="F2" s="559" t="s">
        <v>90</v>
      </c>
      <c r="G2" s="560" t="s">
        <v>91</v>
      </c>
    </row>
    <row r="3" spans="2:7" ht="15.95">
      <c r="B3" s="561" t="s">
        <v>309</v>
      </c>
      <c r="C3" s="562" t="s">
        <v>9</v>
      </c>
      <c r="D3" s="562" t="s">
        <v>9</v>
      </c>
      <c r="E3" s="563"/>
      <c r="F3" s="563"/>
      <c r="G3" s="564"/>
    </row>
    <row r="4" spans="2:7">
      <c r="B4" s="561" t="s">
        <v>206</v>
      </c>
      <c r="C4" s="313">
        <v>287450</v>
      </c>
      <c r="D4" s="313">
        <v>244157</v>
      </c>
      <c r="E4" s="310">
        <v>261164</v>
      </c>
      <c r="F4" s="310">
        <v>258856</v>
      </c>
      <c r="G4" s="432">
        <v>380601</v>
      </c>
    </row>
    <row r="5" spans="2:7" ht="15.95">
      <c r="B5" s="561" t="s">
        <v>310</v>
      </c>
      <c r="C5" s="566" t="s">
        <v>9</v>
      </c>
      <c r="D5" s="566" t="s">
        <v>9</v>
      </c>
      <c r="E5" s="310"/>
      <c r="F5" s="310"/>
      <c r="G5" s="432"/>
    </row>
    <row r="6" spans="2:7">
      <c r="B6" s="561" t="s">
        <v>311</v>
      </c>
      <c r="C6" s="313">
        <v>126507</v>
      </c>
      <c r="D6" s="313">
        <v>125541</v>
      </c>
      <c r="E6" s="310">
        <v>127067</v>
      </c>
      <c r="F6" s="310">
        <v>137811</v>
      </c>
      <c r="G6" s="432">
        <v>140164</v>
      </c>
    </row>
    <row r="7" spans="2:7">
      <c r="B7" s="561" t="s">
        <v>312</v>
      </c>
      <c r="C7" s="313">
        <v>99276</v>
      </c>
      <c r="D7" s="313">
        <v>108517</v>
      </c>
      <c r="E7" s="310">
        <v>117315</v>
      </c>
      <c r="F7" s="310">
        <v>127208</v>
      </c>
      <c r="G7" s="432">
        <v>133923</v>
      </c>
    </row>
    <row r="8" spans="2:7">
      <c r="B8" s="561" t="s">
        <v>313</v>
      </c>
      <c r="C8" s="313">
        <v>-321</v>
      </c>
      <c r="D8" s="313">
        <v>4762</v>
      </c>
      <c r="E8" s="310">
        <v>8066</v>
      </c>
      <c r="F8" s="310">
        <v>30549</v>
      </c>
      <c r="G8" s="432">
        <v>406</v>
      </c>
    </row>
    <row r="9" spans="2:7">
      <c r="B9" s="561" t="s">
        <v>314</v>
      </c>
      <c r="C9" s="313">
        <v>14339</v>
      </c>
      <c r="D9" s="313">
        <v>15883</v>
      </c>
      <c r="E9" s="310">
        <v>16603</v>
      </c>
      <c r="F9" s="310">
        <v>18898</v>
      </c>
      <c r="G9" s="432">
        <v>28417</v>
      </c>
    </row>
    <row r="10" spans="2:7">
      <c r="B10" s="561" t="s">
        <v>315</v>
      </c>
      <c r="C10" s="313">
        <v>3717</v>
      </c>
      <c r="D10" s="313">
        <v>-178</v>
      </c>
      <c r="E10" s="310">
        <v>3228</v>
      </c>
      <c r="F10" s="310">
        <v>-4915</v>
      </c>
      <c r="G10" s="432">
        <v>10691</v>
      </c>
    </row>
    <row r="11" spans="2:7">
      <c r="B11" s="561" t="s">
        <v>316</v>
      </c>
      <c r="C11" s="313">
        <v>3683</v>
      </c>
      <c r="D11" s="313">
        <v>1167</v>
      </c>
      <c r="E11" s="310">
        <v>672</v>
      </c>
      <c r="F11" s="310">
        <v>1086</v>
      </c>
      <c r="G11" s="432">
        <v>5610</v>
      </c>
    </row>
    <row r="12" spans="2:7" ht="15.95">
      <c r="B12" s="561" t="s">
        <v>317</v>
      </c>
      <c r="C12" s="566" t="s">
        <v>9</v>
      </c>
      <c r="D12" s="566" t="s">
        <v>9</v>
      </c>
      <c r="E12" s="310"/>
      <c r="F12" s="310"/>
      <c r="G12" s="432"/>
    </row>
    <row r="13" spans="2:7">
      <c r="B13" s="561" t="s">
        <v>318</v>
      </c>
      <c r="C13" s="313">
        <v>25977</v>
      </c>
      <c r="D13" s="313">
        <v>16928</v>
      </c>
      <c r="E13" s="310">
        <v>13381</v>
      </c>
      <c r="F13" s="310">
        <v>3173</v>
      </c>
      <c r="G13" s="432">
        <v>30007</v>
      </c>
    </row>
    <row r="14" spans="2:7">
      <c r="B14" s="561" t="s">
        <v>233</v>
      </c>
      <c r="C14" s="313">
        <v>21754</v>
      </c>
      <c r="D14" s="313">
        <v>-11417</v>
      </c>
      <c r="E14" s="310">
        <v>-45158</v>
      </c>
      <c r="F14" s="310">
        <v>-10857</v>
      </c>
      <c r="G14" s="432">
        <v>-20131</v>
      </c>
    </row>
    <row r="15" spans="2:7">
      <c r="B15" s="561" t="s">
        <v>235</v>
      </c>
      <c r="C15" s="313">
        <v>-14970</v>
      </c>
      <c r="D15" s="313">
        <v>-5879</v>
      </c>
      <c r="E15" s="310">
        <v>-18467</v>
      </c>
      <c r="F15" s="310">
        <v>2210</v>
      </c>
      <c r="G15" s="432">
        <v>11903</v>
      </c>
    </row>
    <row r="16" spans="2:7">
      <c r="B16" s="561" t="s">
        <v>245</v>
      </c>
      <c r="C16" s="313">
        <v>-5461</v>
      </c>
      <c r="D16" s="313">
        <v>-1782</v>
      </c>
      <c r="E16" s="310">
        <v>2039</v>
      </c>
      <c r="F16" s="310">
        <v>3482</v>
      </c>
      <c r="G16" s="432">
        <v>-45</v>
      </c>
    </row>
    <row r="17" spans="2:7">
      <c r="B17" s="561" t="s">
        <v>248</v>
      </c>
      <c r="C17" s="313">
        <v>20184</v>
      </c>
      <c r="D17" s="313">
        <v>4523</v>
      </c>
      <c r="E17" s="310">
        <v>13362</v>
      </c>
      <c r="F17" s="310">
        <v>12215</v>
      </c>
      <c r="G17" s="432">
        <v>27986</v>
      </c>
    </row>
    <row r="18" spans="2:7">
      <c r="B18" s="561" t="s">
        <v>249</v>
      </c>
      <c r="C18" s="313">
        <v>4296</v>
      </c>
      <c r="D18" s="313">
        <v>610</v>
      </c>
      <c r="E18" s="310">
        <v>5416</v>
      </c>
      <c r="F18" s="310">
        <v>11746</v>
      </c>
      <c r="G18" s="432">
        <v>39305</v>
      </c>
    </row>
    <row r="19" spans="2:7">
      <c r="B19" s="561" t="s">
        <v>251</v>
      </c>
      <c r="C19" s="313">
        <v>28116</v>
      </c>
      <c r="D19" s="313">
        <v>-17951</v>
      </c>
      <c r="E19" s="310">
        <v>2831</v>
      </c>
      <c r="F19" s="310">
        <v>12880</v>
      </c>
      <c r="G19" s="432">
        <v>23240</v>
      </c>
    </row>
    <row r="20" spans="2:7">
      <c r="B20" s="561" t="s">
        <v>319</v>
      </c>
      <c r="C20" s="313">
        <v>-2005</v>
      </c>
      <c r="D20" s="313">
        <v>0</v>
      </c>
      <c r="E20" s="310"/>
      <c r="F20" s="310"/>
      <c r="G20" s="432"/>
    </row>
    <row r="21" spans="2:7">
      <c r="B21" s="561" t="s">
        <v>320</v>
      </c>
      <c r="C21" s="313">
        <v>-120085</v>
      </c>
      <c r="D21" s="313">
        <v>-120483</v>
      </c>
      <c r="E21" s="310">
        <v>-132889</v>
      </c>
      <c r="F21" s="310">
        <v>-138795</v>
      </c>
      <c r="G21" s="432">
        <v>-168538</v>
      </c>
    </row>
    <row r="22" spans="2:7">
      <c r="B22" s="561" t="s">
        <v>265</v>
      </c>
      <c r="C22" s="313">
        <v>1578</v>
      </c>
      <c r="D22" s="313">
        <v>401</v>
      </c>
      <c r="E22" s="310">
        <v>-3301</v>
      </c>
      <c r="F22" s="310">
        <v>-479</v>
      </c>
      <c r="G22" s="432">
        <v>1675</v>
      </c>
    </row>
    <row r="23" spans="2:7">
      <c r="B23" s="561" t="s">
        <v>321</v>
      </c>
      <c r="C23" s="313">
        <v>494035</v>
      </c>
      <c r="D23" s="313">
        <v>364799</v>
      </c>
      <c r="E23" s="310">
        <v>371329</v>
      </c>
      <c r="F23" s="310">
        <v>465068</v>
      </c>
      <c r="G23" s="432">
        <v>645214</v>
      </c>
    </row>
    <row r="24" spans="2:7" ht="15.95">
      <c r="B24" s="561" t="s">
        <v>322</v>
      </c>
      <c r="C24" s="566" t="s">
        <v>9</v>
      </c>
      <c r="D24" s="566" t="s">
        <v>9</v>
      </c>
      <c r="E24" s="310"/>
      <c r="F24" s="310"/>
      <c r="G24" s="432"/>
    </row>
    <row r="25" spans="2:7">
      <c r="B25" s="561" t="s">
        <v>323</v>
      </c>
      <c r="C25" s="313">
        <v>-121968</v>
      </c>
      <c r="D25" s="313">
        <v>-102378</v>
      </c>
      <c r="E25" s="310">
        <v>-124010</v>
      </c>
      <c r="F25" s="310">
        <v>-225310</v>
      </c>
      <c r="G25" s="432">
        <v>-230375</v>
      </c>
    </row>
    <row r="26" spans="2:7">
      <c r="B26" s="561" t="s">
        <v>324</v>
      </c>
      <c r="C26" s="310"/>
      <c r="D26" s="310"/>
      <c r="E26" s="310">
        <v>0</v>
      </c>
      <c r="F26" s="310">
        <v>-13032</v>
      </c>
      <c r="G26" s="432">
        <v>0</v>
      </c>
    </row>
    <row r="27" spans="2:7">
      <c r="B27" s="561" t="s">
        <v>325</v>
      </c>
      <c r="C27" s="313">
        <v>-121968</v>
      </c>
      <c r="D27" s="313">
        <v>-102378</v>
      </c>
      <c r="E27" s="310">
        <v>-124010</v>
      </c>
      <c r="F27" s="310">
        <v>-238342</v>
      </c>
      <c r="G27" s="432">
        <v>-230375</v>
      </c>
    </row>
    <row r="28" spans="2:7" ht="15.95">
      <c r="B28" s="561" t="s">
        <v>326</v>
      </c>
      <c r="C28" s="566" t="s">
        <v>9</v>
      </c>
      <c r="D28" s="566" t="s">
        <v>9</v>
      </c>
      <c r="E28" s="310"/>
      <c r="F28" s="310"/>
      <c r="G28" s="432"/>
    </row>
    <row r="29" spans="2:7">
      <c r="B29" s="561" t="s">
        <v>327</v>
      </c>
      <c r="C29" s="313">
        <v>0</v>
      </c>
      <c r="D29" s="313">
        <v>0</v>
      </c>
      <c r="E29" s="310">
        <v>62500</v>
      </c>
      <c r="F29" s="310">
        <v>0</v>
      </c>
      <c r="G29" s="432">
        <v>0</v>
      </c>
    </row>
    <row r="30" spans="2:7">
      <c r="B30" s="561" t="s">
        <v>328</v>
      </c>
      <c r="C30" s="313">
        <v>-288000</v>
      </c>
      <c r="D30" s="313">
        <v>0</v>
      </c>
      <c r="E30" s="310">
        <v>-62500</v>
      </c>
      <c r="F30" s="310">
        <v>-125000</v>
      </c>
      <c r="G30" s="432">
        <v>-125000</v>
      </c>
    </row>
    <row r="31" spans="2:7">
      <c r="B31" s="561" t="s">
        <v>329</v>
      </c>
      <c r="C31" s="313">
        <v>-754</v>
      </c>
      <c r="D31" s="313">
        <v>-685</v>
      </c>
      <c r="E31" s="310">
        <v>-819</v>
      </c>
      <c r="F31" s="310">
        <v>-1006</v>
      </c>
      <c r="G31" s="432">
        <v>-1148</v>
      </c>
    </row>
    <row r="32" spans="2:7">
      <c r="B32" s="561" t="s">
        <v>330</v>
      </c>
      <c r="C32" s="313">
        <v>0</v>
      </c>
      <c r="D32" s="313">
        <v>0</v>
      </c>
      <c r="E32" s="310">
        <v>-3373</v>
      </c>
      <c r="F32" s="310">
        <v>0</v>
      </c>
      <c r="G32" s="432">
        <v>0</v>
      </c>
    </row>
    <row r="33" spans="2:7">
      <c r="B33" s="561" t="s">
        <v>331</v>
      </c>
      <c r="C33" s="313">
        <v>0</v>
      </c>
      <c r="D33" s="313">
        <v>-188343</v>
      </c>
      <c r="E33" s="310">
        <v>-199980</v>
      </c>
      <c r="F33" s="310">
        <v>-203496</v>
      </c>
      <c r="G33" s="432">
        <v>-228472</v>
      </c>
    </row>
    <row r="34" spans="2:7">
      <c r="B34" s="561" t="s">
        <v>332</v>
      </c>
      <c r="C34" s="310"/>
      <c r="D34" s="310"/>
      <c r="E34" s="310">
        <v>0</v>
      </c>
      <c r="F34" s="310">
        <v>0</v>
      </c>
      <c r="G34" s="432">
        <v>-1766</v>
      </c>
    </row>
    <row r="35" spans="2:7">
      <c r="B35" s="561" t="s">
        <v>333</v>
      </c>
      <c r="C35" s="313">
        <v>1343</v>
      </c>
      <c r="D35" s="313">
        <v>2170</v>
      </c>
      <c r="E35" s="310">
        <v>5041</v>
      </c>
      <c r="F35" s="310">
        <v>11454</v>
      </c>
      <c r="G35" s="432">
        <v>4890</v>
      </c>
    </row>
    <row r="36" spans="2:7">
      <c r="B36" s="561" t="s">
        <v>334</v>
      </c>
      <c r="C36" s="313">
        <v>-287411</v>
      </c>
      <c r="D36" s="313">
        <v>-186858</v>
      </c>
      <c r="E36" s="310">
        <v>-199131</v>
      </c>
      <c r="F36" s="310">
        <v>-318048</v>
      </c>
      <c r="G36" s="432">
        <v>-351496</v>
      </c>
    </row>
    <row r="37" spans="2:7">
      <c r="B37" s="561" t="s">
        <v>335</v>
      </c>
      <c r="C37" s="313">
        <v>84656</v>
      </c>
      <c r="D37" s="313">
        <v>75563</v>
      </c>
      <c r="E37" s="310">
        <v>48188</v>
      </c>
      <c r="F37" s="310">
        <v>-91322</v>
      </c>
      <c r="G37" s="432">
        <v>63343</v>
      </c>
    </row>
    <row r="38" spans="2:7">
      <c r="B38" s="561" t="s">
        <v>336</v>
      </c>
      <c r="C38" s="313">
        <v>86785</v>
      </c>
      <c r="D38" s="313">
        <v>171441</v>
      </c>
      <c r="E38" s="310">
        <v>247004</v>
      </c>
      <c r="F38" s="310">
        <v>295192</v>
      </c>
      <c r="G38" s="432">
        <v>203870</v>
      </c>
    </row>
    <row r="39" spans="2:7">
      <c r="B39" s="561" t="s">
        <v>337</v>
      </c>
      <c r="C39" s="313">
        <v>171441</v>
      </c>
      <c r="D39" s="313">
        <v>247004</v>
      </c>
      <c r="E39" s="310">
        <v>295192</v>
      </c>
      <c r="F39" s="310">
        <v>203870</v>
      </c>
      <c r="G39" s="432">
        <v>267213</v>
      </c>
    </row>
    <row r="40" spans="2:7" ht="15.95">
      <c r="B40" s="561" t="s">
        <v>338</v>
      </c>
      <c r="C40" s="566" t="s">
        <v>9</v>
      </c>
      <c r="D40" s="566" t="s">
        <v>9</v>
      </c>
      <c r="E40" s="310"/>
      <c r="F40" s="310"/>
      <c r="G40" s="432"/>
    </row>
    <row r="41" spans="2:7">
      <c r="B41" s="561" t="s">
        <v>339</v>
      </c>
      <c r="C41" s="313">
        <v>14786</v>
      </c>
      <c r="D41" s="313">
        <v>11431</v>
      </c>
      <c r="E41" s="310">
        <v>11132</v>
      </c>
      <c r="F41" s="310">
        <v>12561</v>
      </c>
      <c r="G41" s="432">
        <v>5008</v>
      </c>
    </row>
    <row r="42" spans="2:7">
      <c r="B42" s="561" t="s">
        <v>340</v>
      </c>
      <c r="C42" s="313">
        <v>94767</v>
      </c>
      <c r="D42" s="313">
        <v>82888</v>
      </c>
      <c r="E42" s="310">
        <v>93419</v>
      </c>
      <c r="F42" s="310">
        <v>96633</v>
      </c>
      <c r="G42" s="432">
        <v>102226</v>
      </c>
    </row>
    <row r="43" spans="2:7">
      <c r="B43" s="561" t="s">
        <v>341</v>
      </c>
      <c r="C43" s="310"/>
      <c r="D43" s="310"/>
      <c r="E43" s="310"/>
      <c r="F43" s="310"/>
      <c r="G43" s="432"/>
    </row>
    <row r="44" spans="2:7">
      <c r="B44" s="561" t="s">
        <v>342</v>
      </c>
      <c r="C44" s="313">
        <v>10869</v>
      </c>
      <c r="D44" s="313">
        <v>25166</v>
      </c>
      <c r="E44" s="310">
        <v>36177</v>
      </c>
      <c r="F44" s="310">
        <v>29592</v>
      </c>
      <c r="G44" s="432">
        <v>36682</v>
      </c>
    </row>
    <row r="45" spans="2:7">
      <c r="B45" s="561" t="s">
        <v>343</v>
      </c>
      <c r="C45" s="310"/>
      <c r="D45" s="310"/>
      <c r="E45" s="310">
        <v>0</v>
      </c>
      <c r="F45" s="310">
        <v>18139</v>
      </c>
      <c r="G45" s="432">
        <v>0</v>
      </c>
    </row>
    <row r="46" spans="2:7">
      <c r="B46" s="561" t="s">
        <v>344</v>
      </c>
      <c r="C46" s="310"/>
      <c r="D46" s="310"/>
      <c r="E46" s="310">
        <v>0</v>
      </c>
      <c r="F46" s="310">
        <v>1766</v>
      </c>
      <c r="G46" s="432">
        <v>2091</v>
      </c>
    </row>
    <row r="47" spans="2:7">
      <c r="B47" s="561" t="s">
        <v>345</v>
      </c>
      <c r="C47" s="313">
        <v>118075</v>
      </c>
      <c r="D47" s="313">
        <v>139349</v>
      </c>
      <c r="E47" s="310">
        <v>157269</v>
      </c>
      <c r="F47" s="310">
        <v>364997</v>
      </c>
      <c r="G47" s="432">
        <v>278230</v>
      </c>
    </row>
    <row r="48" spans="2:7" ht="15.95" thickBot="1">
      <c r="B48" s="565" t="s">
        <v>346</v>
      </c>
      <c r="C48" s="312"/>
      <c r="D48" s="312"/>
      <c r="E48" s="312">
        <v>0</v>
      </c>
      <c r="F48" s="312">
        <v>809</v>
      </c>
      <c r="G48" s="567">
        <v>0</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76FD1-DD54-1A4A-A6D4-8E0E9D54BE0C}">
  <dimension ref="D4:W41"/>
  <sheetViews>
    <sheetView workbookViewId="0">
      <selection activeCell="O20" sqref="O20"/>
    </sheetView>
  </sheetViews>
  <sheetFormatPr defaultColWidth="10.6640625" defaultRowHeight="15"/>
  <cols>
    <col min="1" max="3" width="10.6640625" style="154"/>
    <col min="4" max="4" width="39.33203125" style="154" bestFit="1" customWidth="1"/>
    <col min="5" max="16384" width="10.6640625" style="154"/>
  </cols>
  <sheetData>
    <row r="4" spans="4:23">
      <c r="D4" s="154" t="s">
        <v>347</v>
      </c>
      <c r="E4" s="154">
        <v>2024</v>
      </c>
    </row>
    <row r="5" spans="4:23" ht="15.95">
      <c r="D5" s="154" t="s">
        <v>348</v>
      </c>
      <c r="N5" s="348"/>
      <c r="O5" s="348" t="s">
        <v>349</v>
      </c>
      <c r="P5" s="348" t="s">
        <v>350</v>
      </c>
      <c r="Q5" s="348">
        <v>2024</v>
      </c>
      <c r="R5" s="348">
        <v>2025</v>
      </c>
      <c r="S5" s="348">
        <v>2026</v>
      </c>
      <c r="T5" s="348">
        <v>2027</v>
      </c>
      <c r="U5" s="348">
        <v>2028</v>
      </c>
      <c r="V5" s="348">
        <v>2029</v>
      </c>
      <c r="W5" s="348" t="s">
        <v>351</v>
      </c>
    </row>
    <row r="6" spans="4:23" ht="15.95">
      <c r="D6" s="154" t="s">
        <v>352</v>
      </c>
      <c r="E6" s="154" t="s">
        <v>353</v>
      </c>
      <c r="G6" s="168">
        <v>3.1E-2</v>
      </c>
      <c r="H6" s="154" t="s">
        <v>354</v>
      </c>
      <c r="I6" s="346">
        <v>45139</v>
      </c>
      <c r="K6" s="346"/>
      <c r="M6" s="346"/>
      <c r="N6" s="348">
        <v>2024</v>
      </c>
      <c r="O6" s="349">
        <v>300000</v>
      </c>
      <c r="P6" s="350">
        <v>2.0500000000000001E-2</v>
      </c>
      <c r="Q6" s="351">
        <v>4.36E-2</v>
      </c>
      <c r="R6" s="350">
        <v>4.36E-2</v>
      </c>
      <c r="S6" s="350">
        <v>4.36E-2</v>
      </c>
      <c r="T6" s="350">
        <v>4.36E-2</v>
      </c>
      <c r="U6" s="350">
        <v>4.36E-2</v>
      </c>
      <c r="V6" s="350">
        <v>4.36E-2</v>
      </c>
      <c r="W6" s="350">
        <v>4.36E-2</v>
      </c>
    </row>
    <row r="7" spans="4:23" ht="15.95">
      <c r="D7" s="154" t="s">
        <v>355</v>
      </c>
      <c r="E7" s="154" t="s">
        <v>353</v>
      </c>
      <c r="G7" s="168">
        <v>1.1299999999999999E-2</v>
      </c>
      <c r="H7" s="154" t="s">
        <v>356</v>
      </c>
      <c r="I7" s="346">
        <v>45231</v>
      </c>
      <c r="K7" s="346"/>
      <c r="M7" s="346"/>
      <c r="N7" s="348">
        <v>2025</v>
      </c>
      <c r="O7" s="349">
        <v>600000</v>
      </c>
      <c r="P7" s="350">
        <v>2.0500000000000001E-2</v>
      </c>
      <c r="Q7" s="350">
        <v>2.0500000000000001E-2</v>
      </c>
      <c r="R7" s="350">
        <v>4.1099999999999998E-2</v>
      </c>
      <c r="S7" s="350">
        <v>4.1099999999999998E-2</v>
      </c>
      <c r="T7" s="350">
        <v>4.1099999999999998E-2</v>
      </c>
      <c r="U7" s="350">
        <v>4.1099999999999998E-2</v>
      </c>
      <c r="V7" s="350">
        <v>4.1099999999999998E-2</v>
      </c>
      <c r="W7" s="350">
        <v>4.1099999999999998E-2</v>
      </c>
    </row>
    <row r="8" spans="4:23" ht="15.95">
      <c r="D8" s="154" t="s">
        <v>357</v>
      </c>
      <c r="E8" s="154">
        <v>534</v>
      </c>
      <c r="G8" s="168">
        <v>5.0000000000000001E-3</v>
      </c>
      <c r="H8" s="154" t="s">
        <v>356</v>
      </c>
      <c r="I8" s="346">
        <v>45566</v>
      </c>
      <c r="J8" s="347">
        <f>SUMPRODUCT(E8:E37,G8:G37)/SUM(E8:E37)</f>
        <v>2.5496026658742624E-2</v>
      </c>
      <c r="K8" s="346"/>
      <c r="M8" s="346"/>
      <c r="N8" s="348">
        <v>2026</v>
      </c>
      <c r="O8" s="349">
        <v>500000</v>
      </c>
      <c r="P8" s="350">
        <v>2.3E-2</v>
      </c>
      <c r="Q8" s="350">
        <v>2.3E-2</v>
      </c>
      <c r="R8" s="350">
        <v>2.3E-2</v>
      </c>
      <c r="S8" s="350">
        <v>0.04</v>
      </c>
      <c r="T8" s="350">
        <v>0.04</v>
      </c>
      <c r="U8" s="350">
        <v>0.04</v>
      </c>
      <c r="V8" s="350">
        <v>0.04</v>
      </c>
      <c r="W8" s="350">
        <v>0.04</v>
      </c>
    </row>
    <row r="9" spans="4:23" ht="15.95">
      <c r="D9" s="154" t="s">
        <v>358</v>
      </c>
      <c r="E9" s="154">
        <v>855</v>
      </c>
      <c r="G9" s="168">
        <v>6.3E-3</v>
      </c>
      <c r="H9" s="154" t="s">
        <v>356</v>
      </c>
      <c r="I9" s="346">
        <v>45566</v>
      </c>
      <c r="K9" s="346"/>
      <c r="M9" s="346"/>
      <c r="N9" s="348">
        <v>2027</v>
      </c>
      <c r="O9" s="349">
        <v>193639</v>
      </c>
      <c r="P9" s="350">
        <v>7.1999999999999995E-2</v>
      </c>
      <c r="Q9" s="350">
        <v>7.1999999999999995E-2</v>
      </c>
      <c r="R9" s="350">
        <v>7.1999999999999995E-2</v>
      </c>
      <c r="S9" s="350">
        <v>7.1999999999999995E-2</v>
      </c>
      <c r="T9" s="350">
        <v>0.04</v>
      </c>
      <c r="U9" s="350">
        <v>0.04</v>
      </c>
      <c r="V9" s="350">
        <v>0.04</v>
      </c>
      <c r="W9" s="350">
        <v>0.04</v>
      </c>
    </row>
    <row r="10" spans="4:23" ht="15.95">
      <c r="D10" s="154" t="s">
        <v>359</v>
      </c>
      <c r="E10" s="183">
        <v>1000</v>
      </c>
      <c r="G10" s="325">
        <v>5.4999999999999997E-3</v>
      </c>
      <c r="H10" s="154" t="s">
        <v>354</v>
      </c>
      <c r="I10" s="346">
        <v>45931</v>
      </c>
      <c r="K10" s="346"/>
      <c r="M10" s="346"/>
      <c r="N10" s="348">
        <v>2028</v>
      </c>
      <c r="O10" s="349">
        <v>350000</v>
      </c>
      <c r="P10" s="350">
        <v>4.2500000000000003E-2</v>
      </c>
      <c r="Q10" s="350">
        <v>4.2500000000000003E-2</v>
      </c>
      <c r="R10" s="350">
        <v>4.2500000000000003E-2</v>
      </c>
      <c r="S10" s="350">
        <v>4.2500000000000003E-2</v>
      </c>
      <c r="T10" s="350">
        <v>4.2500000000000003E-2</v>
      </c>
      <c r="U10" s="350">
        <v>3.7499999999999999E-2</v>
      </c>
      <c r="V10" s="350">
        <v>3.7499999999999999E-2</v>
      </c>
      <c r="W10" s="350">
        <v>3.7499999999999999E-2</v>
      </c>
    </row>
    <row r="11" spans="4:23" ht="15.95">
      <c r="D11" s="154" t="s">
        <v>360</v>
      </c>
      <c r="E11" s="154">
        <v>650</v>
      </c>
      <c r="G11" s="325">
        <v>4.1000000000000002E-2</v>
      </c>
      <c r="H11" s="154" t="s">
        <v>354</v>
      </c>
      <c r="I11" s="346">
        <v>46023</v>
      </c>
      <c r="K11" s="346"/>
      <c r="M11" s="346"/>
      <c r="N11" s="348">
        <v>2029</v>
      </c>
      <c r="O11" s="349">
        <v>300000</v>
      </c>
      <c r="P11" s="350">
        <v>2.4500000000000001E-2</v>
      </c>
      <c r="Q11" s="350">
        <v>2.4500000000000001E-2</v>
      </c>
      <c r="R11" s="350">
        <v>2.4500000000000001E-2</v>
      </c>
      <c r="S11" s="350">
        <v>2.4500000000000001E-2</v>
      </c>
      <c r="T11" s="350">
        <v>2.4500000000000001E-2</v>
      </c>
      <c r="U11" s="350">
        <v>2.4500000000000001E-2</v>
      </c>
      <c r="V11" s="350">
        <v>3.5000000000000003E-2</v>
      </c>
      <c r="W11" s="350">
        <v>3.5000000000000003E-2</v>
      </c>
    </row>
    <row r="12" spans="4:23" ht="15.95">
      <c r="D12" s="154" t="s">
        <v>361</v>
      </c>
      <c r="E12" s="154">
        <v>600</v>
      </c>
      <c r="G12" s="325">
        <v>2.7E-2</v>
      </c>
      <c r="H12" s="154" t="s">
        <v>354</v>
      </c>
      <c r="I12" s="346">
        <v>46054</v>
      </c>
      <c r="K12" s="346"/>
      <c r="M12" s="346"/>
      <c r="N12" s="348" t="s">
        <v>351</v>
      </c>
      <c r="O12" s="349">
        <v>1800000</v>
      </c>
      <c r="P12" s="350">
        <v>3.1E-2</v>
      </c>
      <c r="Q12" s="350">
        <v>3.1E-2</v>
      </c>
      <c r="R12" s="350">
        <v>3.1E-2</v>
      </c>
      <c r="S12" s="350">
        <v>3.1E-2</v>
      </c>
      <c r="T12" s="350">
        <v>3.1E-2</v>
      </c>
      <c r="U12" s="350">
        <v>3.1E-2</v>
      </c>
      <c r="V12" s="350">
        <v>3.1E-2</v>
      </c>
      <c r="W12" s="350">
        <v>3.1E-2</v>
      </c>
    </row>
    <row r="13" spans="4:23" ht="15.95">
      <c r="D13" s="154" t="s">
        <v>362</v>
      </c>
      <c r="E13" s="183">
        <v>1000</v>
      </c>
      <c r="G13" s="325">
        <v>0.01</v>
      </c>
      <c r="H13" s="154" t="s">
        <v>354</v>
      </c>
      <c r="I13" s="346">
        <v>46113</v>
      </c>
      <c r="K13" s="346"/>
      <c r="M13" s="346"/>
      <c r="N13" s="348"/>
      <c r="O13" s="349">
        <v>4043639</v>
      </c>
      <c r="P13" s="350">
        <v>3.0200000000000001E-2</v>
      </c>
      <c r="Q13" s="350">
        <v>3.1899999999999998E-2</v>
      </c>
      <c r="R13" s="350">
        <v>3.49E-2</v>
      </c>
      <c r="S13" s="350">
        <v>3.6999999999999998E-2</v>
      </c>
      <c r="T13" s="350">
        <v>3.5499999999999997E-2</v>
      </c>
      <c r="U13" s="350">
        <v>3.5099999999999999E-2</v>
      </c>
      <c r="V13" s="350">
        <v>3.5799999999999998E-2</v>
      </c>
      <c r="W13" s="350">
        <v>3.5799999999999998E-2</v>
      </c>
    </row>
    <row r="14" spans="4:23">
      <c r="D14" s="154" t="s">
        <v>363</v>
      </c>
      <c r="E14" s="154">
        <v>695</v>
      </c>
      <c r="G14" s="325">
        <v>3.2500000000000001E-2</v>
      </c>
      <c r="H14" s="154" t="s">
        <v>356</v>
      </c>
      <c r="I14" s="346">
        <v>46235</v>
      </c>
      <c r="K14" s="346"/>
      <c r="M14" s="346"/>
    </row>
    <row r="15" spans="4:23">
      <c r="D15" s="154" t="s">
        <v>364</v>
      </c>
      <c r="E15" s="154">
        <v>875</v>
      </c>
      <c r="G15" s="325">
        <v>2.4500000000000001E-2</v>
      </c>
      <c r="H15" s="154" t="s">
        <v>354</v>
      </c>
      <c r="I15" s="346">
        <v>46327</v>
      </c>
      <c r="K15" s="346"/>
      <c r="M15" s="346"/>
    </row>
    <row r="16" spans="4:23">
      <c r="D16" s="154" t="s">
        <v>365</v>
      </c>
      <c r="E16" s="183">
        <v>1000</v>
      </c>
      <c r="G16" s="325">
        <v>1.9E-2</v>
      </c>
      <c r="H16" s="154" t="s">
        <v>354</v>
      </c>
      <c r="I16" s="346">
        <v>46419</v>
      </c>
      <c r="K16" s="346"/>
      <c r="M16" s="346"/>
    </row>
    <row r="17" spans="4:13">
      <c r="D17" s="154" t="s">
        <v>366</v>
      </c>
      <c r="E17" s="154">
        <v>500</v>
      </c>
      <c r="G17" s="325">
        <v>2.8000000000000001E-2</v>
      </c>
      <c r="H17" s="154" t="s">
        <v>354</v>
      </c>
      <c r="I17" s="346">
        <v>46447</v>
      </c>
      <c r="K17" s="346"/>
      <c r="M17" s="346"/>
    </row>
    <row r="18" spans="4:13">
      <c r="D18" s="154" t="s">
        <v>367</v>
      </c>
      <c r="E18" s="183">
        <v>1069</v>
      </c>
      <c r="G18" s="325">
        <v>4.8800000000000003E-2</v>
      </c>
      <c r="H18" s="154" t="s">
        <v>356</v>
      </c>
      <c r="I18" s="346">
        <v>46508</v>
      </c>
      <c r="K18" s="346"/>
      <c r="M18" s="346"/>
    </row>
    <row r="19" spans="4:13">
      <c r="D19" s="154" t="s">
        <v>368</v>
      </c>
      <c r="E19" s="154">
        <v>750</v>
      </c>
      <c r="G19" s="325">
        <v>2.8500000000000001E-2</v>
      </c>
      <c r="H19" s="154" t="s">
        <v>354</v>
      </c>
      <c r="I19" s="346">
        <v>46600</v>
      </c>
      <c r="K19" s="346"/>
      <c r="M19" s="346"/>
    </row>
    <row r="20" spans="4:13">
      <c r="D20" s="154" t="s">
        <v>369</v>
      </c>
      <c r="E20" s="154">
        <v>600</v>
      </c>
      <c r="G20" s="325">
        <v>3.95E-2</v>
      </c>
      <c r="H20" s="154" t="s">
        <v>354</v>
      </c>
      <c r="I20" s="346">
        <v>46753</v>
      </c>
      <c r="K20" s="346"/>
      <c r="M20" s="346"/>
    </row>
    <row r="21" spans="4:13">
      <c r="D21" s="154" t="s">
        <v>370</v>
      </c>
      <c r="E21" s="154">
        <v>695</v>
      </c>
      <c r="G21" s="325">
        <v>3.15E-2</v>
      </c>
      <c r="H21" s="154" t="s">
        <v>356</v>
      </c>
      <c r="I21" s="346">
        <v>46844</v>
      </c>
      <c r="K21" s="346"/>
      <c r="M21" s="346"/>
    </row>
    <row r="22" spans="4:13">
      <c r="D22" s="154" t="s">
        <v>371</v>
      </c>
      <c r="E22" s="154">
        <v>855</v>
      </c>
      <c r="G22" s="325">
        <v>1.2E-2</v>
      </c>
      <c r="H22" s="154" t="s">
        <v>356</v>
      </c>
      <c r="I22" s="346">
        <v>47027</v>
      </c>
      <c r="K22" s="346"/>
      <c r="M22" s="346"/>
    </row>
    <row r="23" spans="4:13">
      <c r="D23" s="154" t="s">
        <v>372</v>
      </c>
      <c r="E23" s="154">
        <v>600</v>
      </c>
      <c r="G23" s="325">
        <v>4.3499999999999997E-2</v>
      </c>
      <c r="H23" s="154" t="s">
        <v>354</v>
      </c>
      <c r="I23" s="346">
        <v>47119</v>
      </c>
      <c r="K23" s="346"/>
      <c r="M23" s="346"/>
    </row>
    <row r="24" spans="4:13">
      <c r="D24" s="154" t="s">
        <v>373</v>
      </c>
      <c r="E24" s="154">
        <v>534</v>
      </c>
      <c r="G24" s="325">
        <v>1.2500000000000001E-2</v>
      </c>
      <c r="H24" s="154" t="s">
        <v>356</v>
      </c>
      <c r="I24" s="346">
        <v>47392</v>
      </c>
      <c r="K24" s="346"/>
      <c r="M24" s="346"/>
    </row>
    <row r="25" spans="4:13">
      <c r="D25" s="154" t="s">
        <v>374</v>
      </c>
      <c r="E25" s="183">
        <v>1500</v>
      </c>
      <c r="G25" s="325">
        <v>0.03</v>
      </c>
      <c r="H25" s="154" t="s">
        <v>354</v>
      </c>
      <c r="I25" s="346">
        <v>47543</v>
      </c>
      <c r="K25" s="346"/>
      <c r="M25" s="346"/>
    </row>
    <row r="26" spans="4:13">
      <c r="D26" s="154" t="s">
        <v>375</v>
      </c>
      <c r="E26" s="154">
        <v>534</v>
      </c>
      <c r="G26" s="325">
        <v>3.5000000000000001E-3</v>
      </c>
      <c r="H26" s="154" t="s">
        <v>356</v>
      </c>
      <c r="I26" s="346">
        <v>47604</v>
      </c>
      <c r="K26" s="346"/>
      <c r="M26" s="346"/>
    </row>
    <row r="27" spans="4:13">
      <c r="D27" s="154" t="s">
        <v>376</v>
      </c>
      <c r="E27" s="183">
        <v>1250</v>
      </c>
      <c r="G27" s="325">
        <v>1.2E-2</v>
      </c>
      <c r="H27" s="154" t="s">
        <v>354</v>
      </c>
      <c r="I27" s="346">
        <v>47757</v>
      </c>
      <c r="K27" s="346"/>
      <c r="M27" s="346"/>
    </row>
    <row r="28" spans="4:13">
      <c r="D28" s="154" t="s">
        <v>377</v>
      </c>
      <c r="E28" s="183">
        <v>1000</v>
      </c>
      <c r="G28" s="325">
        <v>1.95E-2</v>
      </c>
      <c r="H28" s="154" t="s">
        <v>354</v>
      </c>
      <c r="I28" s="346">
        <v>47939</v>
      </c>
      <c r="K28" s="346"/>
      <c r="M28" s="346"/>
    </row>
    <row r="29" spans="4:13">
      <c r="D29" s="154" t="s">
        <v>378</v>
      </c>
      <c r="E29" s="154">
        <v>695</v>
      </c>
      <c r="G29" s="325">
        <v>3.2500000000000001E-2</v>
      </c>
      <c r="H29" s="154" t="s">
        <v>356</v>
      </c>
      <c r="I29" s="346">
        <v>48061</v>
      </c>
      <c r="K29" s="346"/>
      <c r="M29" s="346"/>
    </row>
    <row r="30" spans="4:13">
      <c r="D30" s="154" t="s">
        <v>379</v>
      </c>
      <c r="E30" s="154">
        <v>850</v>
      </c>
      <c r="G30" s="325">
        <v>2.3E-2</v>
      </c>
      <c r="H30" s="154" t="s">
        <v>354</v>
      </c>
      <c r="I30" s="346">
        <v>48245</v>
      </c>
      <c r="K30" s="346"/>
      <c r="M30" s="346"/>
    </row>
    <row r="31" spans="4:13">
      <c r="D31" s="154" t="s">
        <v>380</v>
      </c>
      <c r="E31" s="154">
        <v>850</v>
      </c>
      <c r="G31" s="325">
        <v>4.0500000000000001E-2</v>
      </c>
      <c r="H31" s="154" t="s">
        <v>354</v>
      </c>
      <c r="I31" s="346">
        <v>48580</v>
      </c>
      <c r="K31" s="346"/>
      <c r="M31" s="346"/>
    </row>
    <row r="32" spans="4:13">
      <c r="D32" s="154" t="s">
        <v>381</v>
      </c>
      <c r="E32" s="154">
        <v>750</v>
      </c>
      <c r="G32" s="325">
        <v>4.5499999999999999E-2</v>
      </c>
      <c r="H32" s="154" t="s">
        <v>354</v>
      </c>
      <c r="I32" s="346">
        <v>48945</v>
      </c>
      <c r="K32" s="346"/>
      <c r="M32" s="346"/>
    </row>
    <row r="33" spans="4:13">
      <c r="D33" s="154" t="s">
        <v>382</v>
      </c>
      <c r="E33" s="154">
        <v>909</v>
      </c>
      <c r="G33" s="325">
        <v>3.2000000000000001E-2</v>
      </c>
      <c r="H33" s="154" t="s">
        <v>356</v>
      </c>
      <c r="I33" s="346">
        <v>49035</v>
      </c>
      <c r="K33" s="346"/>
      <c r="M33" s="346"/>
    </row>
    <row r="34" spans="4:13">
      <c r="D34" s="154" t="s">
        <v>383</v>
      </c>
      <c r="E34" s="154">
        <v>716</v>
      </c>
      <c r="G34" s="325">
        <v>5.5500000000000001E-2</v>
      </c>
      <c r="H34" s="154" t="s">
        <v>354</v>
      </c>
      <c r="I34" s="346">
        <v>50100</v>
      </c>
      <c r="K34" s="346"/>
      <c r="M34" s="346"/>
    </row>
    <row r="35" spans="4:13">
      <c r="D35" s="154" t="s">
        <v>384</v>
      </c>
      <c r="E35" s="154">
        <v>534</v>
      </c>
      <c r="G35" s="325">
        <v>1.8800000000000001E-2</v>
      </c>
      <c r="H35" s="154" t="s">
        <v>356</v>
      </c>
      <c r="I35" s="346">
        <v>50679</v>
      </c>
      <c r="K35" s="346"/>
      <c r="M35" s="346"/>
    </row>
    <row r="36" spans="4:13">
      <c r="D36" s="154" t="s">
        <v>385</v>
      </c>
      <c r="E36" s="154">
        <v>516</v>
      </c>
      <c r="G36" s="325">
        <v>3.5499999999999997E-2</v>
      </c>
      <c r="H36" s="154" t="s">
        <v>354</v>
      </c>
      <c r="I36" s="346">
        <v>51196</v>
      </c>
      <c r="K36" s="346"/>
      <c r="M36" s="346"/>
    </row>
    <row r="37" spans="4:13">
      <c r="D37" s="154" t="s">
        <v>386</v>
      </c>
      <c r="E37" s="154">
        <v>641</v>
      </c>
      <c r="G37" s="325">
        <v>8.9999999999999993E-3</v>
      </c>
      <c r="H37" s="154" t="s">
        <v>356</v>
      </c>
      <c r="I37" s="346">
        <v>51806</v>
      </c>
      <c r="K37" s="346"/>
      <c r="M37" s="346"/>
    </row>
    <row r="38" spans="4:13">
      <c r="D38" s="154" t="s">
        <v>387</v>
      </c>
      <c r="E38" s="183">
        <v>5550</v>
      </c>
    </row>
    <row r="39" spans="4:13">
      <c r="D39" s="154" t="s">
        <v>388</v>
      </c>
      <c r="E39" s="183">
        <v>-3838</v>
      </c>
    </row>
    <row r="40" spans="4:13">
      <c r="D40" s="154" t="s">
        <v>389</v>
      </c>
      <c r="E40" s="183">
        <f>SUM(E8:E39)</f>
        <v>25269</v>
      </c>
    </row>
    <row r="41" spans="4:13">
      <c r="D41" s="154" t="s">
        <v>390</v>
      </c>
      <c r="E41" s="168">
        <v>3.2000000000000001E-2</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5B37-9B54-9A47-9E4E-76FF2A01CDE4}">
  <dimension ref="B1:M202"/>
  <sheetViews>
    <sheetView showGridLines="0" workbookViewId="0">
      <selection activeCell="D13" sqref="D13"/>
    </sheetView>
  </sheetViews>
  <sheetFormatPr defaultColWidth="11.44140625" defaultRowHeight="15.95"/>
  <cols>
    <col min="1" max="1" width="2.6640625" customWidth="1"/>
  </cols>
  <sheetData>
    <row r="1" spans="2:13" ht="20.100000000000001" customHeight="1" thickBot="1"/>
    <row r="2" spans="2:13" ht="17.100000000000001" thickBot="1">
      <c r="B2" s="600" t="s">
        <v>391</v>
      </c>
      <c r="C2" s="601" t="s">
        <v>392</v>
      </c>
      <c r="D2" s="601" t="s">
        <v>393</v>
      </c>
      <c r="E2" s="601" t="s">
        <v>394</v>
      </c>
      <c r="F2" s="601" t="s">
        <v>395</v>
      </c>
      <c r="G2" s="602" t="s">
        <v>51</v>
      </c>
      <c r="H2" s="326"/>
      <c r="I2" s="326"/>
      <c r="J2" s="326"/>
      <c r="K2" s="326"/>
      <c r="L2" s="326"/>
      <c r="M2" s="326"/>
    </row>
    <row r="3" spans="2:13">
      <c r="B3" s="603" t="s">
        <v>392</v>
      </c>
      <c r="C3" s="326">
        <v>1</v>
      </c>
      <c r="D3" s="326">
        <v>0.58718725029999996</v>
      </c>
      <c r="E3" s="326">
        <v>0.37343428010000002</v>
      </c>
      <c r="F3" s="326">
        <v>0.1177116465</v>
      </c>
      <c r="G3" s="327">
        <v>-0.15184927370000001</v>
      </c>
      <c r="H3" s="326"/>
      <c r="I3" s="326"/>
      <c r="J3" s="326"/>
      <c r="K3" s="326"/>
      <c r="L3" s="326"/>
      <c r="M3" s="326"/>
    </row>
    <row r="4" spans="2:13">
      <c r="B4" s="603" t="s">
        <v>393</v>
      </c>
      <c r="C4" s="326">
        <v>0.58718725029999996</v>
      </c>
      <c r="D4" s="326">
        <v>1</v>
      </c>
      <c r="E4" s="326">
        <v>0.5760142882</v>
      </c>
      <c r="F4" s="326">
        <v>0.1712630601</v>
      </c>
      <c r="G4" s="327">
        <v>-8.7373040659999998E-2</v>
      </c>
      <c r="H4" s="326"/>
      <c r="I4" s="326"/>
      <c r="J4" s="326"/>
      <c r="K4" s="326"/>
      <c r="L4" s="326"/>
      <c r="M4" s="326"/>
    </row>
    <row r="5" spans="2:13">
      <c r="B5" s="603" t="s">
        <v>394</v>
      </c>
      <c r="C5" s="326">
        <v>0.37343428010000002</v>
      </c>
      <c r="D5" s="326">
        <v>0.5760142882</v>
      </c>
      <c r="E5" s="326">
        <v>1</v>
      </c>
      <c r="F5" s="326">
        <v>0.26107505939999998</v>
      </c>
      <c r="G5" s="327">
        <v>-0.1045225586</v>
      </c>
      <c r="H5" s="326"/>
      <c r="I5" s="326"/>
      <c r="J5" s="326"/>
      <c r="K5" s="326"/>
      <c r="L5" s="326"/>
      <c r="M5" s="326"/>
    </row>
    <row r="6" spans="2:13" ht="17.100000000000001" thickBot="1">
      <c r="B6" s="603" t="s">
        <v>395</v>
      </c>
      <c r="C6" s="326">
        <v>0.1177116465</v>
      </c>
      <c r="D6" s="326">
        <v>0.1712630601</v>
      </c>
      <c r="E6" s="326">
        <v>0.26107505939999998</v>
      </c>
      <c r="F6" s="326">
        <v>1</v>
      </c>
      <c r="G6" s="327">
        <v>5.8208129470000002E-2</v>
      </c>
      <c r="H6" s="326"/>
      <c r="I6" s="339"/>
      <c r="J6" s="326"/>
      <c r="K6" s="326"/>
      <c r="L6" s="326"/>
      <c r="M6" s="326"/>
    </row>
    <row r="7" spans="2:13" ht="17.100000000000001" thickBot="1">
      <c r="B7" s="604" t="s">
        <v>51</v>
      </c>
      <c r="C7" s="328">
        <v>-0.15184927370000001</v>
      </c>
      <c r="D7" s="328">
        <v>-8.7373040659999998E-2</v>
      </c>
      <c r="E7" s="328">
        <v>-0.1045225586</v>
      </c>
      <c r="F7" s="328">
        <v>5.8208129470000002E-2</v>
      </c>
      <c r="G7" s="329">
        <v>1</v>
      </c>
      <c r="H7" s="326"/>
      <c r="I7" s="398">
        <f>AVERAGE(I10:I201)</f>
        <v>-5.2482479990505432E-4</v>
      </c>
      <c r="J7" s="344">
        <f t="shared" ref="J7:L7" si="0">AVERAGE(J10:J201)</f>
        <v>-7.155176030962801E-4</v>
      </c>
      <c r="K7" s="344">
        <f t="shared" si="0"/>
        <v>3.2787683883463208E-4</v>
      </c>
      <c r="L7" s="344">
        <f t="shared" si="0"/>
        <v>5.1682524553481617E-4</v>
      </c>
      <c r="M7" s="345">
        <f>AVERAGE(M10:M201)</f>
        <v>3.6995332842448218E-3</v>
      </c>
    </row>
    <row r="8" spans="2:13" ht="17.100000000000001" thickBot="1">
      <c r="B8" s="326"/>
      <c r="C8" s="326"/>
      <c r="D8" s="326"/>
      <c r="E8" s="326"/>
      <c r="F8" s="326"/>
      <c r="G8" s="326"/>
      <c r="H8" s="326"/>
      <c r="I8" s="336">
        <f>STDEV(I10:I201)</f>
        <v>1.7913810858494042E-2</v>
      </c>
      <c r="J8" s="337">
        <f t="shared" ref="J8:M8" si="1">STDEV(J10:J201)</f>
        <v>1.2303347776212035E-2</v>
      </c>
      <c r="K8" s="337">
        <f t="shared" si="1"/>
        <v>1.171902527931659E-2</v>
      </c>
      <c r="L8" s="337">
        <f t="shared" si="1"/>
        <v>1.6998186481251239E-2</v>
      </c>
      <c r="M8" s="338">
        <f t="shared" si="1"/>
        <v>2.5415345992707901E-2</v>
      </c>
    </row>
    <row r="9" spans="2:13" ht="17.100000000000001" thickBot="1">
      <c r="B9" s="600" t="s">
        <v>396</v>
      </c>
      <c r="C9" s="601" t="s">
        <v>392</v>
      </c>
      <c r="D9" s="601" t="s">
        <v>393</v>
      </c>
      <c r="E9" s="601" t="s">
        <v>394</v>
      </c>
      <c r="F9" s="601" t="s">
        <v>395</v>
      </c>
      <c r="G9" s="602" t="s">
        <v>51</v>
      </c>
      <c r="H9" s="326"/>
      <c r="I9" s="605" t="s">
        <v>392</v>
      </c>
      <c r="J9" s="601" t="s">
        <v>393</v>
      </c>
      <c r="K9" s="601" t="s">
        <v>394</v>
      </c>
      <c r="L9" s="601" t="s">
        <v>395</v>
      </c>
      <c r="M9" s="602" t="s">
        <v>51</v>
      </c>
    </row>
    <row r="10" spans="2:13">
      <c r="B10" s="396">
        <v>45764</v>
      </c>
      <c r="C10" s="340">
        <v>166.59</v>
      </c>
      <c r="D10" s="340">
        <v>142.84</v>
      </c>
      <c r="E10" s="340">
        <v>142.81</v>
      </c>
      <c r="F10" s="340">
        <v>21.71</v>
      </c>
      <c r="G10" s="341">
        <v>160.15</v>
      </c>
      <c r="H10" s="326"/>
      <c r="I10" s="330">
        <f>C10/C11-1</f>
        <v>1.437009072642037E-2</v>
      </c>
      <c r="J10" s="331">
        <f t="shared" ref="J10:M10" si="2">D10/D11-1</f>
        <v>1.963023770433292E-2</v>
      </c>
      <c r="K10" s="331">
        <f t="shared" si="2"/>
        <v>2.2261989978525465E-2</v>
      </c>
      <c r="L10" s="331">
        <f t="shared" si="2"/>
        <v>2.6477541371158431E-2</v>
      </c>
      <c r="M10" s="332">
        <f t="shared" si="2"/>
        <v>4.4530858003011264E-3</v>
      </c>
    </row>
    <row r="11" spans="2:13">
      <c r="B11" s="396">
        <v>45763</v>
      </c>
      <c r="C11" s="340">
        <v>164.23</v>
      </c>
      <c r="D11" s="340">
        <v>140.09</v>
      </c>
      <c r="E11" s="340">
        <v>139.69999999999999</v>
      </c>
      <c r="F11" s="340">
        <v>21.15</v>
      </c>
      <c r="G11" s="341">
        <v>159.44</v>
      </c>
      <c r="H11" s="326"/>
      <c r="I11" s="330">
        <f t="shared" ref="I11:I36" si="3">C11/C12-1</f>
        <v>-2.2149449240845498E-2</v>
      </c>
      <c r="J11" s="331">
        <f t="shared" ref="J11:J36" si="4">D11/D12-1</f>
        <v>-1.9252310277233287E-2</v>
      </c>
      <c r="K11" s="331">
        <f t="shared" ref="K11:K36" si="5">E11/E12-1</f>
        <v>-1.2511486534247607E-2</v>
      </c>
      <c r="L11" s="331">
        <f t="shared" ref="L11:L36" si="6">F11/F12-1</f>
        <v>6.0682046138415213E-2</v>
      </c>
      <c r="M11" s="332">
        <f t="shared" ref="M11:M36" si="7">G11/G12-1</f>
        <v>-4.681940196017198E-3</v>
      </c>
    </row>
    <row r="12" spans="2:13">
      <c r="B12" s="396">
        <v>45762</v>
      </c>
      <c r="C12" s="340">
        <v>167.95</v>
      </c>
      <c r="D12" s="340">
        <v>142.84</v>
      </c>
      <c r="E12" s="340">
        <v>141.47</v>
      </c>
      <c r="F12" s="340">
        <v>19.940000000000001</v>
      </c>
      <c r="G12" s="341">
        <v>160.19</v>
      </c>
      <c r="H12" s="326"/>
      <c r="I12" s="330">
        <f t="shared" si="3"/>
        <v>-1.3799177921315464E-2</v>
      </c>
      <c r="J12" s="331">
        <f t="shared" si="4"/>
        <v>-2.6643952299829632E-2</v>
      </c>
      <c r="K12" s="331">
        <f t="shared" si="5"/>
        <v>-7.6459034792368819E-3</v>
      </c>
      <c r="L12" s="331">
        <f t="shared" si="6"/>
        <v>-7.5567918405192391E-2</v>
      </c>
      <c r="M12" s="332">
        <f t="shared" si="7"/>
        <v>-4.9915767142949541E-4</v>
      </c>
    </row>
    <row r="13" spans="2:13">
      <c r="B13" s="396">
        <v>45761</v>
      </c>
      <c r="C13" s="340">
        <v>170.3</v>
      </c>
      <c r="D13" s="340">
        <v>146.75</v>
      </c>
      <c r="E13" s="340">
        <v>142.56</v>
      </c>
      <c r="F13" s="340">
        <v>21.57</v>
      </c>
      <c r="G13" s="341">
        <v>160.27000000000001</v>
      </c>
      <c r="H13" s="326"/>
      <c r="I13" s="330">
        <f t="shared" si="3"/>
        <v>2.8071234530636868E-2</v>
      </c>
      <c r="J13" s="331">
        <f t="shared" si="4"/>
        <v>1.6063144776016003E-2</v>
      </c>
      <c r="K13" s="331">
        <f t="shared" si="5"/>
        <v>2.0034344590726949E-2</v>
      </c>
      <c r="L13" s="331">
        <f t="shared" si="6"/>
        <v>1.7932987258140631E-2</v>
      </c>
      <c r="M13" s="332">
        <f t="shared" si="7"/>
        <v>1.9075475297259503E-2</v>
      </c>
    </row>
    <row r="14" spans="2:13">
      <c r="B14" s="396">
        <v>45758</v>
      </c>
      <c r="C14" s="340">
        <v>165.65</v>
      </c>
      <c r="D14" s="340">
        <v>144.43</v>
      </c>
      <c r="E14" s="340">
        <v>139.76</v>
      </c>
      <c r="F14" s="340">
        <v>21.19</v>
      </c>
      <c r="G14" s="341">
        <v>157.27000000000001</v>
      </c>
      <c r="H14" s="326"/>
      <c r="I14" s="330">
        <f t="shared" si="3"/>
        <v>9.5069778779937053E-3</v>
      </c>
      <c r="J14" s="331">
        <f t="shared" si="4"/>
        <v>2.0119328430694416E-3</v>
      </c>
      <c r="K14" s="331">
        <f t="shared" si="5"/>
        <v>1.6510291657575005E-2</v>
      </c>
      <c r="L14" s="331">
        <f t="shared" si="6"/>
        <v>-7.9588014981272215E-3</v>
      </c>
      <c r="M14" s="332">
        <f t="shared" si="7"/>
        <v>2.1764553014553156E-2</v>
      </c>
    </row>
    <row r="15" spans="2:13">
      <c r="B15" s="396">
        <v>45757</v>
      </c>
      <c r="C15" s="340">
        <v>164.09</v>
      </c>
      <c r="D15" s="340">
        <v>144.13999999999999</v>
      </c>
      <c r="E15" s="340">
        <v>137.49</v>
      </c>
      <c r="F15" s="340">
        <v>21.36</v>
      </c>
      <c r="G15" s="341">
        <v>153.91999999999999</v>
      </c>
      <c r="H15" s="326"/>
      <c r="I15" s="330">
        <f t="shared" si="3"/>
        <v>-4.264132553606359E-4</v>
      </c>
      <c r="J15" s="331">
        <f t="shared" si="4"/>
        <v>-9.9594752386841234E-3</v>
      </c>
      <c r="K15" s="331">
        <f t="shared" si="5"/>
        <v>1.7314095449500577E-2</v>
      </c>
      <c r="L15" s="331">
        <f t="shared" si="6"/>
        <v>2.8169014084507005E-3</v>
      </c>
      <c r="M15" s="332">
        <f t="shared" si="7"/>
        <v>1.6920473773265332E-3</v>
      </c>
    </row>
    <row r="16" spans="2:13">
      <c r="B16" s="396">
        <v>45756</v>
      </c>
      <c r="C16" s="340">
        <v>164.16</v>
      </c>
      <c r="D16" s="340">
        <v>145.59</v>
      </c>
      <c r="E16" s="340">
        <v>135.15</v>
      </c>
      <c r="F16" s="340">
        <v>21.3</v>
      </c>
      <c r="G16" s="341">
        <v>153.66</v>
      </c>
      <c r="H16" s="326"/>
      <c r="I16" s="330">
        <f t="shared" si="3"/>
        <v>3.1803896920175934E-2</v>
      </c>
      <c r="J16" s="331">
        <f t="shared" si="4"/>
        <v>3.770491803278686E-2</v>
      </c>
      <c r="K16" s="331">
        <f t="shared" si="5"/>
        <v>1.40306122448981E-2</v>
      </c>
      <c r="L16" s="331">
        <f t="shared" si="6"/>
        <v>1.7191977077363862E-2</v>
      </c>
      <c r="M16" s="332">
        <f t="shared" si="7"/>
        <v>6.2435179423356191E-2</v>
      </c>
    </row>
    <row r="17" spans="2:13">
      <c r="B17" s="396">
        <v>45755</v>
      </c>
      <c r="C17" s="340">
        <v>159.1</v>
      </c>
      <c r="D17" s="340">
        <v>140.30000000000001</v>
      </c>
      <c r="E17" s="340">
        <v>133.28</v>
      </c>
      <c r="F17" s="340">
        <v>20.94</v>
      </c>
      <c r="G17" s="341">
        <v>144.63</v>
      </c>
      <c r="H17" s="326"/>
      <c r="I17" s="330">
        <f t="shared" si="3"/>
        <v>-2.1525215252152563E-2</v>
      </c>
      <c r="J17" s="331">
        <f t="shared" si="4"/>
        <v>-2.0182973671345694E-2</v>
      </c>
      <c r="K17" s="331">
        <f t="shared" si="5"/>
        <v>-9.3652445369406534E-3</v>
      </c>
      <c r="L17" s="331">
        <f t="shared" si="6"/>
        <v>-1.8284106891701679E-2</v>
      </c>
      <c r="M17" s="332">
        <f t="shared" si="7"/>
        <v>-1.8059610292619932E-2</v>
      </c>
    </row>
    <row r="18" spans="2:13">
      <c r="B18" s="396">
        <v>45754</v>
      </c>
      <c r="C18" s="340">
        <v>162.6</v>
      </c>
      <c r="D18" s="340">
        <v>143.19</v>
      </c>
      <c r="E18" s="340">
        <v>134.54</v>
      </c>
      <c r="F18" s="340">
        <v>21.33</v>
      </c>
      <c r="G18" s="341">
        <v>147.29</v>
      </c>
      <c r="H18" s="326"/>
      <c r="I18" s="330">
        <f t="shared" si="3"/>
        <v>2.2189349112424761E-3</v>
      </c>
      <c r="J18" s="331">
        <f t="shared" si="4"/>
        <v>-2.3327194597912881E-2</v>
      </c>
      <c r="K18" s="331">
        <f t="shared" si="5"/>
        <v>-2.4436226524545024E-2</v>
      </c>
      <c r="L18" s="331">
        <f t="shared" si="6"/>
        <v>-2.9130632680928525E-2</v>
      </c>
      <c r="M18" s="332">
        <f t="shared" si="7"/>
        <v>1.3765572303668483E-2</v>
      </c>
    </row>
    <row r="19" spans="2:13">
      <c r="B19" s="396">
        <v>45751</v>
      </c>
      <c r="C19" s="340">
        <v>162.24</v>
      </c>
      <c r="D19" s="340">
        <v>146.61000000000001</v>
      </c>
      <c r="E19" s="340">
        <v>137.91</v>
      </c>
      <c r="F19" s="340">
        <v>21.97</v>
      </c>
      <c r="G19" s="341">
        <v>145.29</v>
      </c>
      <c r="H19" s="326"/>
      <c r="I19" s="330">
        <f t="shared" si="3"/>
        <v>-2.7513037223520942E-2</v>
      </c>
      <c r="J19" s="331">
        <f t="shared" si="4"/>
        <v>-3.1446125388121748E-2</v>
      </c>
      <c r="K19" s="331">
        <f t="shared" si="5"/>
        <v>-5.0337419088279822E-2</v>
      </c>
      <c r="L19" s="331">
        <f t="shared" si="6"/>
        <v>-4.1030117852466241E-2</v>
      </c>
      <c r="M19" s="332">
        <f t="shared" si="7"/>
        <v>-5.212682672233826E-2</v>
      </c>
    </row>
    <row r="20" spans="2:13">
      <c r="B20" s="396">
        <v>45750</v>
      </c>
      <c r="C20" s="340">
        <v>166.83</v>
      </c>
      <c r="D20" s="340">
        <v>151.37</v>
      </c>
      <c r="E20" s="340">
        <v>145.22</v>
      </c>
      <c r="F20" s="340">
        <v>22.91</v>
      </c>
      <c r="G20" s="341">
        <v>153.28</v>
      </c>
      <c r="H20" s="326"/>
      <c r="I20" s="330">
        <f t="shared" si="3"/>
        <v>1.7566331198536345E-2</v>
      </c>
      <c r="J20" s="331">
        <f t="shared" si="4"/>
        <v>1.5088519313304793E-2</v>
      </c>
      <c r="K20" s="331">
        <f t="shared" si="5"/>
        <v>1.6235129461161568E-2</v>
      </c>
      <c r="L20" s="331">
        <f t="shared" si="6"/>
        <v>2.1399910833704849E-2</v>
      </c>
      <c r="M20" s="332">
        <f t="shared" si="7"/>
        <v>-3.1956549197928563E-2</v>
      </c>
    </row>
    <row r="21" spans="2:13">
      <c r="B21" s="396">
        <v>45749</v>
      </c>
      <c r="C21" s="340">
        <v>163.95</v>
      </c>
      <c r="D21" s="340">
        <v>149.12</v>
      </c>
      <c r="E21" s="340">
        <v>142.9</v>
      </c>
      <c r="F21" s="340">
        <v>22.43</v>
      </c>
      <c r="G21" s="341">
        <v>158.34</v>
      </c>
      <c r="H21" s="326"/>
      <c r="I21" s="330">
        <f t="shared" si="3"/>
        <v>-3.3427661832331146E-2</v>
      </c>
      <c r="J21" s="331">
        <f t="shared" si="4"/>
        <v>-3.6747511191286275E-3</v>
      </c>
      <c r="K21" s="331">
        <f t="shared" si="5"/>
        <v>-9.0890023072076609E-4</v>
      </c>
      <c r="L21" s="331">
        <f t="shared" si="6"/>
        <v>1.7865118356408249E-3</v>
      </c>
      <c r="M21" s="332">
        <f t="shared" si="7"/>
        <v>1.9903381642512041E-2</v>
      </c>
    </row>
    <row r="22" spans="2:13">
      <c r="B22" s="396">
        <v>45748</v>
      </c>
      <c r="C22" s="340">
        <v>169.62</v>
      </c>
      <c r="D22" s="340">
        <v>149.66999999999999</v>
      </c>
      <c r="E22" s="340">
        <v>143.03</v>
      </c>
      <c r="F22" s="340">
        <v>22.39</v>
      </c>
      <c r="G22" s="341">
        <v>155.25</v>
      </c>
      <c r="H22" s="326"/>
      <c r="I22" s="330">
        <f t="shared" si="3"/>
        <v>-8.2441676898789007E-3</v>
      </c>
      <c r="J22" s="331">
        <f t="shared" si="4"/>
        <v>-1.8007202881152873E-3</v>
      </c>
      <c r="K22" s="331">
        <f t="shared" si="5"/>
        <v>5.6954014906482886E-3</v>
      </c>
      <c r="L22" s="331">
        <f t="shared" si="6"/>
        <v>1.8190086402910532E-2</v>
      </c>
      <c r="M22" s="332">
        <f t="shared" si="7"/>
        <v>1.7099056603773644E-2</v>
      </c>
    </row>
    <row r="23" spans="2:13">
      <c r="B23" s="396">
        <v>45747</v>
      </c>
      <c r="C23" s="340">
        <v>171.03</v>
      </c>
      <c r="D23" s="340">
        <v>149.94</v>
      </c>
      <c r="E23" s="340">
        <v>142.22</v>
      </c>
      <c r="F23" s="340">
        <v>21.99</v>
      </c>
      <c r="G23" s="341">
        <v>152.63999999999999</v>
      </c>
      <c r="H23" s="326"/>
      <c r="I23" s="330">
        <f t="shared" si="3"/>
        <v>6.8880254327092771E-3</v>
      </c>
      <c r="J23" s="331">
        <f t="shared" si="4"/>
        <v>4.4885107523278123E-3</v>
      </c>
      <c r="K23" s="331">
        <f t="shared" si="5"/>
        <v>1.0731291308364588E-2</v>
      </c>
      <c r="L23" s="331">
        <f t="shared" si="6"/>
        <v>1.7113783533764915E-2</v>
      </c>
      <c r="M23" s="332">
        <f t="shared" si="7"/>
        <v>3.302652950730911E-2</v>
      </c>
    </row>
    <row r="24" spans="2:13">
      <c r="B24" s="396">
        <v>45744</v>
      </c>
      <c r="C24" s="340">
        <v>169.86</v>
      </c>
      <c r="D24" s="340">
        <v>149.27000000000001</v>
      </c>
      <c r="E24" s="340">
        <v>140.71</v>
      </c>
      <c r="F24" s="340">
        <v>21.62</v>
      </c>
      <c r="G24" s="341">
        <v>147.76</v>
      </c>
      <c r="H24" s="326"/>
      <c r="I24" s="330">
        <f t="shared" si="3"/>
        <v>-4.4543429844097204E-3</v>
      </c>
      <c r="J24" s="331">
        <f t="shared" si="4"/>
        <v>-2.6725462684571433E-3</v>
      </c>
      <c r="K24" s="331">
        <f t="shared" si="5"/>
        <v>1.067159931701811E-3</v>
      </c>
      <c r="L24" s="331">
        <f t="shared" si="6"/>
        <v>2.1256495040151036E-2</v>
      </c>
      <c r="M24" s="332">
        <f t="shared" si="7"/>
        <v>-3.7084485199919692E-3</v>
      </c>
    </row>
    <row r="25" spans="2:13">
      <c r="B25" s="396">
        <v>45743</v>
      </c>
      <c r="C25" s="340">
        <v>170.62</v>
      </c>
      <c r="D25" s="340">
        <v>149.66999999999999</v>
      </c>
      <c r="E25" s="340">
        <v>140.56</v>
      </c>
      <c r="F25" s="340">
        <v>21.17</v>
      </c>
      <c r="G25" s="341">
        <v>148.31</v>
      </c>
      <c r="H25" s="326"/>
      <c r="I25" s="330">
        <f t="shared" si="3"/>
        <v>1.2461428910514938E-2</v>
      </c>
      <c r="J25" s="331">
        <f t="shared" si="4"/>
        <v>6.9294940796555959E-3</v>
      </c>
      <c r="K25" s="331">
        <f t="shared" si="5"/>
        <v>6.8046701525676934E-3</v>
      </c>
      <c r="L25" s="331">
        <f t="shared" si="6"/>
        <v>4.7258979206055152E-4</v>
      </c>
      <c r="M25" s="332">
        <f t="shared" si="7"/>
        <v>-9.8143944451862808E-3</v>
      </c>
    </row>
    <row r="26" spans="2:13">
      <c r="B26" s="396">
        <v>45742</v>
      </c>
      <c r="C26" s="340">
        <v>168.52</v>
      </c>
      <c r="D26" s="340">
        <v>148.63999999999999</v>
      </c>
      <c r="E26" s="340">
        <v>139.61000000000001</v>
      </c>
      <c r="F26" s="340">
        <v>21.16</v>
      </c>
      <c r="G26" s="341">
        <v>149.78</v>
      </c>
      <c r="H26" s="326"/>
      <c r="I26" s="330">
        <f t="shared" si="3"/>
        <v>1.9911638322338776E-2</v>
      </c>
      <c r="J26" s="331">
        <f t="shared" si="4"/>
        <v>2.1299986258073389E-2</v>
      </c>
      <c r="K26" s="331">
        <f t="shared" si="5"/>
        <v>1.9125483611942551E-2</v>
      </c>
      <c r="L26" s="331">
        <f t="shared" si="6"/>
        <v>1.6818837097549277E-2</v>
      </c>
      <c r="M26" s="332">
        <f t="shared" si="7"/>
        <v>5.3440213760858057E-4</v>
      </c>
    </row>
    <row r="27" spans="2:13">
      <c r="B27" s="396">
        <v>45741</v>
      </c>
      <c r="C27" s="340">
        <v>165.23</v>
      </c>
      <c r="D27" s="340">
        <v>145.54</v>
      </c>
      <c r="E27" s="340">
        <v>136.99</v>
      </c>
      <c r="F27" s="340">
        <v>20.81</v>
      </c>
      <c r="G27" s="341">
        <v>149.69999999999999</v>
      </c>
      <c r="H27" s="326"/>
      <c r="I27" s="330">
        <f t="shared" si="3"/>
        <v>-1.6546634128920878E-2</v>
      </c>
      <c r="J27" s="331">
        <f t="shared" si="4"/>
        <v>-6.2137248207578821E-3</v>
      </c>
      <c r="K27" s="331">
        <f t="shared" si="5"/>
        <v>-6.0223479901319044E-3</v>
      </c>
      <c r="L27" s="331">
        <f t="shared" si="6"/>
        <v>4.8076923076911804E-4</v>
      </c>
      <c r="M27" s="332">
        <f t="shared" si="7"/>
        <v>2.9431990097648297E-2</v>
      </c>
    </row>
    <row r="28" spans="2:13">
      <c r="B28" s="396">
        <v>45740</v>
      </c>
      <c r="C28" s="340">
        <v>168.01</v>
      </c>
      <c r="D28" s="340">
        <v>146.44999999999999</v>
      </c>
      <c r="E28" s="340">
        <v>137.82</v>
      </c>
      <c r="F28" s="340">
        <v>20.8</v>
      </c>
      <c r="G28" s="341">
        <v>145.41999999999999</v>
      </c>
      <c r="H28" s="326"/>
      <c r="I28" s="330">
        <f t="shared" si="3"/>
        <v>4.9647086972124388E-3</v>
      </c>
      <c r="J28" s="331">
        <f t="shared" si="4"/>
        <v>6.8752148504640509E-3</v>
      </c>
      <c r="K28" s="331">
        <f t="shared" si="5"/>
        <v>-6.1296603447031917E-3</v>
      </c>
      <c r="L28" s="331">
        <f t="shared" si="6"/>
        <v>-1.6083254493850507E-2</v>
      </c>
      <c r="M28" s="332">
        <f t="shared" si="7"/>
        <v>2.1279584240466276E-2</v>
      </c>
    </row>
    <row r="29" spans="2:13">
      <c r="B29" s="396">
        <v>45737</v>
      </c>
      <c r="C29" s="340">
        <v>167.18</v>
      </c>
      <c r="D29" s="340">
        <v>145.44999999999999</v>
      </c>
      <c r="E29" s="340">
        <v>138.66999999999999</v>
      </c>
      <c r="F29" s="340">
        <v>21.14</v>
      </c>
      <c r="G29" s="341">
        <v>142.38999999999999</v>
      </c>
      <c r="H29" s="326"/>
      <c r="I29" s="330">
        <f t="shared" si="3"/>
        <v>1.6477169088587651E-2</v>
      </c>
      <c r="J29" s="331">
        <f t="shared" si="4"/>
        <v>-1.1552837240910718E-2</v>
      </c>
      <c r="K29" s="331">
        <f t="shared" si="5"/>
        <v>-2.9479436295658523E-3</v>
      </c>
      <c r="L29" s="331">
        <f t="shared" si="6"/>
        <v>-6.11189468735307E-3</v>
      </c>
      <c r="M29" s="332">
        <f t="shared" si="7"/>
        <v>1.8745081204836422E-2</v>
      </c>
    </row>
    <row r="30" spans="2:13">
      <c r="B30" s="396">
        <v>45736</v>
      </c>
      <c r="C30" s="340">
        <v>164.47</v>
      </c>
      <c r="D30" s="340">
        <v>147.15</v>
      </c>
      <c r="E30" s="340">
        <v>139.08000000000001</v>
      </c>
      <c r="F30" s="340">
        <v>21.27</v>
      </c>
      <c r="G30" s="341">
        <v>139.77000000000001</v>
      </c>
      <c r="H30" s="326"/>
      <c r="I30" s="330">
        <f t="shared" si="3"/>
        <v>-1.7209441290708116E-2</v>
      </c>
      <c r="J30" s="331">
        <f t="shared" si="4"/>
        <v>-6.4816690297752055E-3</v>
      </c>
      <c r="K30" s="331">
        <f t="shared" si="5"/>
        <v>-4.0816326530611624E-3</v>
      </c>
      <c r="L30" s="331">
        <f t="shared" si="6"/>
        <v>-1.6643550624133141E-2</v>
      </c>
      <c r="M30" s="332">
        <f t="shared" si="7"/>
        <v>-7.4563272262461178E-3</v>
      </c>
    </row>
    <row r="31" spans="2:13">
      <c r="B31" s="396">
        <v>45735</v>
      </c>
      <c r="C31" s="340">
        <v>167.35</v>
      </c>
      <c r="D31" s="340">
        <v>148.11000000000001</v>
      </c>
      <c r="E31" s="340">
        <v>139.65</v>
      </c>
      <c r="F31" s="340">
        <v>21.63</v>
      </c>
      <c r="G31" s="341">
        <v>140.82</v>
      </c>
      <c r="H31" s="326"/>
      <c r="I31" s="330">
        <f t="shared" si="3"/>
        <v>-1.2218156061858054E-2</v>
      </c>
      <c r="J31" s="331">
        <f t="shared" si="4"/>
        <v>-5.9064366736022444E-3</v>
      </c>
      <c r="K31" s="331">
        <f t="shared" si="5"/>
        <v>8.6003010105351052E-4</v>
      </c>
      <c r="L31" s="331">
        <f t="shared" si="6"/>
        <v>-1.7711171662125325E-2</v>
      </c>
      <c r="M31" s="332">
        <f t="shared" si="7"/>
        <v>2.1841666061969356E-2</v>
      </c>
    </row>
    <row r="32" spans="2:13">
      <c r="B32" s="396">
        <v>45734</v>
      </c>
      <c r="C32" s="340">
        <v>169.42</v>
      </c>
      <c r="D32" s="340">
        <v>148.99</v>
      </c>
      <c r="E32" s="340">
        <v>139.53</v>
      </c>
      <c r="F32" s="340">
        <v>22.02</v>
      </c>
      <c r="G32" s="341">
        <v>137.81</v>
      </c>
      <c r="H32" s="326"/>
      <c r="I32" s="330">
        <f t="shared" si="3"/>
        <v>-6.2760279195261948E-3</v>
      </c>
      <c r="J32" s="331">
        <f t="shared" si="4"/>
        <v>-1.552795031055898E-2</v>
      </c>
      <c r="K32" s="331">
        <f t="shared" si="5"/>
        <v>-2.716031734686597E-3</v>
      </c>
      <c r="L32" s="331">
        <f t="shared" si="6"/>
        <v>4.1039671682625567E-3</v>
      </c>
      <c r="M32" s="332">
        <f t="shared" si="7"/>
        <v>-2.2554791119937634E-2</v>
      </c>
    </row>
    <row r="33" spans="2:13">
      <c r="B33" s="396">
        <v>45733</v>
      </c>
      <c r="C33" s="340">
        <v>170.49</v>
      </c>
      <c r="D33" s="340">
        <v>151.34</v>
      </c>
      <c r="E33" s="340">
        <v>139.91</v>
      </c>
      <c r="F33" s="340">
        <v>21.93</v>
      </c>
      <c r="G33" s="341">
        <v>140.99</v>
      </c>
      <c r="H33" s="326"/>
      <c r="I33" s="330">
        <f t="shared" si="3"/>
        <v>1.5861825872400814E-3</v>
      </c>
      <c r="J33" s="331">
        <f t="shared" si="4"/>
        <v>1.8507301971868895E-2</v>
      </c>
      <c r="K33" s="331">
        <f t="shared" si="5"/>
        <v>1.9335433973073357E-3</v>
      </c>
      <c r="L33" s="331">
        <f t="shared" si="6"/>
        <v>4.0322580645161255E-2</v>
      </c>
      <c r="M33" s="332">
        <f t="shared" si="7"/>
        <v>3.1005484460694843E-2</v>
      </c>
    </row>
    <row r="34" spans="2:13">
      <c r="B34" s="396">
        <v>45730</v>
      </c>
      <c r="C34" s="340">
        <v>170.22</v>
      </c>
      <c r="D34" s="340">
        <v>148.59</v>
      </c>
      <c r="E34" s="340">
        <v>139.63999999999999</v>
      </c>
      <c r="F34" s="340">
        <v>21.08</v>
      </c>
      <c r="G34" s="341">
        <v>136.75</v>
      </c>
      <c r="H34" s="326"/>
      <c r="I34" s="330">
        <f t="shared" si="3"/>
        <v>-1.0003489589391679E-2</v>
      </c>
      <c r="J34" s="331">
        <f t="shared" si="4"/>
        <v>1.6853175138196175E-3</v>
      </c>
      <c r="K34" s="331">
        <f t="shared" si="5"/>
        <v>-3.5678607107179072E-3</v>
      </c>
      <c r="L34" s="331">
        <f t="shared" si="6"/>
        <v>-5.1911278905145686E-3</v>
      </c>
      <c r="M34" s="332">
        <f t="shared" si="7"/>
        <v>2.373109746968094E-2</v>
      </c>
    </row>
    <row r="35" spans="2:13">
      <c r="B35" s="396">
        <v>45729</v>
      </c>
      <c r="C35" s="340">
        <v>171.94</v>
      </c>
      <c r="D35" s="340">
        <v>148.34</v>
      </c>
      <c r="E35" s="340">
        <v>140.13999999999999</v>
      </c>
      <c r="F35" s="340">
        <v>21.19</v>
      </c>
      <c r="G35" s="341">
        <v>133.58000000000001</v>
      </c>
      <c r="H35" s="326"/>
      <c r="I35" s="330">
        <f t="shared" si="3"/>
        <v>5.850005850005946E-3</v>
      </c>
      <c r="J35" s="331">
        <f t="shared" si="4"/>
        <v>1.1473307687117629E-3</v>
      </c>
      <c r="K35" s="331">
        <f t="shared" si="5"/>
        <v>1.2145459741372822E-3</v>
      </c>
      <c r="L35" s="331">
        <f t="shared" si="6"/>
        <v>1.6306954436450916E-2</v>
      </c>
      <c r="M35" s="332">
        <f t="shared" si="7"/>
        <v>-2.7802037845705896E-2</v>
      </c>
    </row>
    <row r="36" spans="2:13">
      <c r="B36" s="396">
        <v>45728</v>
      </c>
      <c r="C36" s="340">
        <v>170.94</v>
      </c>
      <c r="D36" s="340">
        <v>148.16999999999999</v>
      </c>
      <c r="E36" s="340">
        <v>139.97</v>
      </c>
      <c r="F36" s="340">
        <v>20.85</v>
      </c>
      <c r="G36" s="341">
        <v>137.4</v>
      </c>
      <c r="H36" s="326"/>
      <c r="I36" s="330">
        <f t="shared" si="3"/>
        <v>-4.7900189372841684E-2</v>
      </c>
      <c r="J36" s="331">
        <f t="shared" si="4"/>
        <v>-2.7309131490842464E-2</v>
      </c>
      <c r="K36" s="331">
        <f t="shared" si="5"/>
        <v>-2.859324033590116E-2</v>
      </c>
      <c r="L36" s="331">
        <f t="shared" si="6"/>
        <v>-2.8424976700838767E-2</v>
      </c>
      <c r="M36" s="332">
        <f t="shared" si="7"/>
        <v>1.8456748943740386E-2</v>
      </c>
    </row>
    <row r="37" spans="2:13">
      <c r="B37" s="396">
        <v>45727</v>
      </c>
      <c r="C37" s="340">
        <v>179.54</v>
      </c>
      <c r="D37" s="340">
        <v>152.33000000000001</v>
      </c>
      <c r="E37" s="340">
        <v>144.09</v>
      </c>
      <c r="F37" s="340">
        <v>21.46</v>
      </c>
      <c r="G37" s="341">
        <v>134.91</v>
      </c>
      <c r="H37" s="326"/>
      <c r="I37" s="330">
        <f t="shared" ref="I37:I100" si="8">C37/C38-1</f>
        <v>-3.6595836016312666E-2</v>
      </c>
      <c r="J37" s="331">
        <f t="shared" ref="J37:J100" si="9">D37/D38-1</f>
        <v>-2.5087999999999888E-2</v>
      </c>
      <c r="K37" s="331">
        <f t="shared" ref="K37:K100" si="10">E37/E38-1</f>
        <v>-2.2455902306648623E-2</v>
      </c>
      <c r="L37" s="331">
        <f t="shared" ref="L37:L100" si="11">F37/F38-1</f>
        <v>1.4657210401891385E-2</v>
      </c>
      <c r="M37" s="332">
        <f t="shared" ref="M37:M100" si="12">G37/G38-1</f>
        <v>1.6271186440677932E-2</v>
      </c>
    </row>
    <row r="38" spans="2:13">
      <c r="B38" s="396">
        <v>45726</v>
      </c>
      <c r="C38" s="340">
        <v>186.36</v>
      </c>
      <c r="D38" s="340">
        <v>156.25</v>
      </c>
      <c r="E38" s="340">
        <v>147.4</v>
      </c>
      <c r="F38" s="340">
        <v>21.15</v>
      </c>
      <c r="G38" s="341">
        <v>132.75</v>
      </c>
      <c r="H38" s="326"/>
      <c r="I38" s="330">
        <f t="shared" si="8"/>
        <v>7.0247487301415834E-3</v>
      </c>
      <c r="J38" s="331">
        <f t="shared" si="9"/>
        <v>1.1719761719761745E-2</v>
      </c>
      <c r="K38" s="331">
        <f t="shared" si="10"/>
        <v>1.8026106775329787E-2</v>
      </c>
      <c r="L38" s="331">
        <f t="shared" si="11"/>
        <v>-1.4445479962721497E-2</v>
      </c>
      <c r="M38" s="332">
        <f t="shared" si="12"/>
        <v>-3.0809666350295695E-2</v>
      </c>
    </row>
    <row r="39" spans="2:13">
      <c r="B39" s="396">
        <v>45723</v>
      </c>
      <c r="C39" s="340">
        <v>185.06</v>
      </c>
      <c r="D39" s="340">
        <v>154.44</v>
      </c>
      <c r="E39" s="340">
        <v>144.79</v>
      </c>
      <c r="F39" s="340">
        <v>21.46</v>
      </c>
      <c r="G39" s="341">
        <v>136.97</v>
      </c>
      <c r="H39" s="326"/>
      <c r="I39" s="330">
        <f t="shared" si="8"/>
        <v>2.8053997000166753E-2</v>
      </c>
      <c r="J39" s="331">
        <f t="shared" si="9"/>
        <v>-1.099540780027275E-3</v>
      </c>
      <c r="K39" s="331">
        <f t="shared" si="10"/>
        <v>1.6712309528825298E-2</v>
      </c>
      <c r="L39" s="331">
        <f t="shared" si="11"/>
        <v>2.3366714353838969E-2</v>
      </c>
      <c r="M39" s="332">
        <f t="shared" si="12"/>
        <v>-8.254290058648972E-3</v>
      </c>
    </row>
    <row r="40" spans="2:13">
      <c r="B40" s="396">
        <v>45722</v>
      </c>
      <c r="C40" s="340">
        <v>180.01</v>
      </c>
      <c r="D40" s="340">
        <v>154.61000000000001</v>
      </c>
      <c r="E40" s="340">
        <v>142.41</v>
      </c>
      <c r="F40" s="340">
        <v>20.97</v>
      </c>
      <c r="G40" s="341">
        <v>138.11000000000001</v>
      </c>
      <c r="H40" s="326"/>
      <c r="I40" s="330">
        <f t="shared" si="8"/>
        <v>1.6833305089532846E-2</v>
      </c>
      <c r="J40" s="331">
        <f t="shared" si="9"/>
        <v>4.7439563296076681E-3</v>
      </c>
      <c r="K40" s="331">
        <f t="shared" si="10"/>
        <v>5.5073077737768372E-3</v>
      </c>
      <c r="L40" s="331">
        <f t="shared" si="11"/>
        <v>8.173076923076783E-3</v>
      </c>
      <c r="M40" s="332">
        <f t="shared" si="12"/>
        <v>-4.5608458295902099E-2</v>
      </c>
    </row>
    <row r="41" spans="2:13">
      <c r="B41" s="396">
        <v>45721</v>
      </c>
      <c r="C41" s="340">
        <v>177.03</v>
      </c>
      <c r="D41" s="340">
        <v>153.88</v>
      </c>
      <c r="E41" s="340">
        <v>141.63</v>
      </c>
      <c r="F41" s="340">
        <v>20.8</v>
      </c>
      <c r="G41" s="341">
        <v>144.71</v>
      </c>
      <c r="H41" s="326"/>
      <c r="I41" s="330">
        <f t="shared" si="8"/>
        <v>3.6852250822088095E-3</v>
      </c>
      <c r="J41" s="331">
        <f t="shared" si="9"/>
        <v>-2.0105065179324422E-3</v>
      </c>
      <c r="K41" s="331">
        <f t="shared" si="10"/>
        <v>3.4717301969675596E-3</v>
      </c>
      <c r="L41" s="331">
        <f t="shared" si="11"/>
        <v>5.2631578947368363E-2</v>
      </c>
      <c r="M41" s="332">
        <f t="shared" si="12"/>
        <v>-4.4031647746817226E-3</v>
      </c>
    </row>
    <row r="42" spans="2:13">
      <c r="B42" s="396">
        <v>45720</v>
      </c>
      <c r="C42" s="340">
        <v>176.38</v>
      </c>
      <c r="D42" s="340">
        <v>154.19</v>
      </c>
      <c r="E42" s="340">
        <v>141.13999999999999</v>
      </c>
      <c r="F42" s="340">
        <v>19.760000000000002</v>
      </c>
      <c r="G42" s="341">
        <v>145.35</v>
      </c>
      <c r="H42" s="326"/>
      <c r="I42" s="330">
        <f t="shared" si="8"/>
        <v>-1.1876750700280159E-2</v>
      </c>
      <c r="J42" s="331">
        <f t="shared" si="9"/>
        <v>-1.1539201230848173E-2</v>
      </c>
      <c r="K42" s="331">
        <f t="shared" si="10"/>
        <v>-1.5416811998604896E-2</v>
      </c>
      <c r="L42" s="331">
        <f t="shared" si="11"/>
        <v>-4.4949250845819244E-2</v>
      </c>
      <c r="M42" s="332">
        <f t="shared" si="12"/>
        <v>-1.102265768524191E-2</v>
      </c>
    </row>
    <row r="43" spans="2:13">
      <c r="B43" s="396">
        <v>45719</v>
      </c>
      <c r="C43" s="340">
        <v>178.5</v>
      </c>
      <c r="D43" s="340">
        <v>155.99</v>
      </c>
      <c r="E43" s="340">
        <v>143.35</v>
      </c>
      <c r="F43" s="340">
        <v>20.69</v>
      </c>
      <c r="G43" s="341">
        <v>146.97</v>
      </c>
      <c r="H43" s="326"/>
      <c r="I43" s="330">
        <f t="shared" si="8"/>
        <v>3.3524405072086205E-2</v>
      </c>
      <c r="J43" s="331">
        <f t="shared" si="9"/>
        <v>1.6420147260050921E-2</v>
      </c>
      <c r="K43" s="331">
        <f t="shared" si="10"/>
        <v>9.435955214421643E-3</v>
      </c>
      <c r="L43" s="331">
        <f t="shared" si="11"/>
        <v>-1.6634980988593062E-2</v>
      </c>
      <c r="M43" s="332">
        <f t="shared" si="12"/>
        <v>-9.6361185983827591E-3</v>
      </c>
    </row>
    <row r="44" spans="2:13">
      <c r="B44" s="396">
        <v>45716</v>
      </c>
      <c r="C44" s="340">
        <v>172.71</v>
      </c>
      <c r="D44" s="340">
        <v>153.47</v>
      </c>
      <c r="E44" s="340">
        <v>142.01</v>
      </c>
      <c r="F44" s="340">
        <v>21.04</v>
      </c>
      <c r="G44" s="341">
        <v>148.4</v>
      </c>
      <c r="H44" s="326"/>
      <c r="I44" s="330">
        <f t="shared" si="8"/>
        <v>2.1469188812812678E-3</v>
      </c>
      <c r="J44" s="331">
        <f t="shared" si="9"/>
        <v>9.5382186554400228E-3</v>
      </c>
      <c r="K44" s="331">
        <f t="shared" si="10"/>
        <v>1.2982381054283509E-2</v>
      </c>
      <c r="L44" s="331">
        <f t="shared" si="11"/>
        <v>1.0566762728146051E-2</v>
      </c>
      <c r="M44" s="332">
        <f t="shared" si="12"/>
        <v>3.870651641352274E-2</v>
      </c>
    </row>
    <row r="45" spans="2:13">
      <c r="B45" s="396">
        <v>45715</v>
      </c>
      <c r="C45" s="340">
        <v>172.34</v>
      </c>
      <c r="D45" s="340">
        <v>152.02000000000001</v>
      </c>
      <c r="E45" s="340">
        <v>140.19</v>
      </c>
      <c r="F45" s="340">
        <v>20.82</v>
      </c>
      <c r="G45" s="341">
        <v>142.87</v>
      </c>
      <c r="H45" s="326"/>
      <c r="I45" s="330">
        <f t="shared" si="8"/>
        <v>6.129955046996427E-3</v>
      </c>
      <c r="J45" s="331">
        <f t="shared" si="9"/>
        <v>3.3661144478913663E-3</v>
      </c>
      <c r="K45" s="331">
        <f t="shared" si="10"/>
        <v>7.4015521701638054E-3</v>
      </c>
      <c r="L45" s="331">
        <f t="shared" si="11"/>
        <v>6.2832286128564618E-3</v>
      </c>
      <c r="M45" s="332">
        <f t="shared" si="12"/>
        <v>-5.5030094582975031E-2</v>
      </c>
    </row>
    <row r="46" spans="2:13">
      <c r="B46" s="396">
        <v>45714</v>
      </c>
      <c r="C46" s="340">
        <v>171.29</v>
      </c>
      <c r="D46" s="340">
        <v>151.51</v>
      </c>
      <c r="E46" s="340">
        <v>139.16</v>
      </c>
      <c r="F46" s="340">
        <v>20.69</v>
      </c>
      <c r="G46" s="341">
        <v>151.19</v>
      </c>
      <c r="H46" s="326"/>
      <c r="I46" s="330">
        <f t="shared" si="8"/>
        <v>-4.1197872935908264E-2</v>
      </c>
      <c r="J46" s="331">
        <f t="shared" si="9"/>
        <v>-3.1389847845543994E-2</v>
      </c>
      <c r="K46" s="331">
        <f t="shared" si="10"/>
        <v>-1.5145081387119674E-2</v>
      </c>
      <c r="L46" s="331">
        <f t="shared" si="11"/>
        <v>1.9370460048426796E-3</v>
      </c>
      <c r="M46" s="332">
        <f t="shared" si="12"/>
        <v>4.4346204324100302E-2</v>
      </c>
    </row>
    <row r="47" spans="2:13">
      <c r="B47" s="396">
        <v>45713</v>
      </c>
      <c r="C47" s="340">
        <v>178.65</v>
      </c>
      <c r="D47" s="340">
        <v>156.41999999999999</v>
      </c>
      <c r="E47" s="340">
        <v>141.30000000000001</v>
      </c>
      <c r="F47" s="340">
        <v>20.65</v>
      </c>
      <c r="G47" s="341">
        <v>144.77000000000001</v>
      </c>
      <c r="H47" s="326"/>
      <c r="I47" s="330">
        <f t="shared" si="8"/>
        <v>4.5546558704454565E-3</v>
      </c>
      <c r="J47" s="331">
        <f t="shared" si="9"/>
        <v>1.670458238544037E-2</v>
      </c>
      <c r="K47" s="331">
        <f t="shared" si="10"/>
        <v>8.9974293059127408E-3</v>
      </c>
      <c r="L47" s="331">
        <f t="shared" si="11"/>
        <v>1.0768477728830161E-2</v>
      </c>
      <c r="M47" s="332">
        <f t="shared" si="12"/>
        <v>8.9908001115139857E-3</v>
      </c>
    </row>
    <row r="48" spans="2:13">
      <c r="B48" s="396">
        <v>45712</v>
      </c>
      <c r="C48" s="340">
        <v>177.84</v>
      </c>
      <c r="D48" s="340">
        <v>153.85</v>
      </c>
      <c r="E48" s="340">
        <v>140.04</v>
      </c>
      <c r="F48" s="340">
        <v>20.43</v>
      </c>
      <c r="G48" s="341">
        <v>143.47999999999999</v>
      </c>
      <c r="H48" s="326"/>
      <c r="I48" s="330">
        <f t="shared" si="8"/>
        <v>2.8809441166261607E-2</v>
      </c>
      <c r="J48" s="331">
        <f t="shared" si="9"/>
        <v>2.2801302931596545E-3</v>
      </c>
      <c r="K48" s="331">
        <f t="shared" si="10"/>
        <v>-1.5685156138599554E-3</v>
      </c>
      <c r="L48" s="331">
        <f t="shared" si="11"/>
        <v>-5.8394160583942201E-3</v>
      </c>
      <c r="M48" s="332">
        <f t="shared" si="12"/>
        <v>1.1163829193412411E-3</v>
      </c>
    </row>
    <row r="49" spans="2:13">
      <c r="B49" s="396">
        <v>45709</v>
      </c>
      <c r="C49" s="340">
        <v>172.86</v>
      </c>
      <c r="D49" s="340">
        <v>153.5</v>
      </c>
      <c r="E49" s="340">
        <v>140.26</v>
      </c>
      <c r="F49" s="340">
        <v>20.55</v>
      </c>
      <c r="G49" s="341">
        <v>143.32</v>
      </c>
      <c r="H49" s="326"/>
      <c r="I49" s="330">
        <f t="shared" si="8"/>
        <v>4.0698374473209009E-2</v>
      </c>
      <c r="J49" s="331">
        <f t="shared" si="9"/>
        <v>2.9510395707578851E-2</v>
      </c>
      <c r="K49" s="331">
        <f t="shared" si="10"/>
        <v>9.2825789738792963E-3</v>
      </c>
      <c r="L49" s="331">
        <f t="shared" si="11"/>
        <v>-4.8638132295708569E-4</v>
      </c>
      <c r="M49" s="332">
        <f t="shared" si="12"/>
        <v>-0.15594817432273267</v>
      </c>
    </row>
    <row r="50" spans="2:13">
      <c r="B50" s="396">
        <v>45708</v>
      </c>
      <c r="C50" s="340">
        <v>166.1</v>
      </c>
      <c r="D50" s="340">
        <v>149.1</v>
      </c>
      <c r="E50" s="340">
        <v>138.97</v>
      </c>
      <c r="F50" s="340">
        <v>20.56</v>
      </c>
      <c r="G50" s="341">
        <v>169.8</v>
      </c>
      <c r="H50" s="326"/>
      <c r="I50" s="330">
        <f t="shared" si="8"/>
        <v>1.3422818791946289E-2</v>
      </c>
      <c r="J50" s="331">
        <f t="shared" si="9"/>
        <v>2.2563610177628313E-2</v>
      </c>
      <c r="K50" s="331">
        <f t="shared" si="10"/>
        <v>7.5400565504240014E-3</v>
      </c>
      <c r="L50" s="331">
        <f t="shared" si="11"/>
        <v>1.4612761811980679E-3</v>
      </c>
      <c r="M50" s="332">
        <f t="shared" si="12"/>
        <v>-3.5062794794567198E-2</v>
      </c>
    </row>
    <row r="51" spans="2:13">
      <c r="B51" s="396">
        <v>45707</v>
      </c>
      <c r="C51" s="340">
        <v>163.9</v>
      </c>
      <c r="D51" s="340">
        <v>145.81</v>
      </c>
      <c r="E51" s="340">
        <v>137.93</v>
      </c>
      <c r="F51" s="340">
        <v>20.53</v>
      </c>
      <c r="G51" s="341">
        <v>175.97</v>
      </c>
      <c r="H51" s="326"/>
      <c r="I51" s="330">
        <f t="shared" si="8"/>
        <v>5.5831646113257971E-3</v>
      </c>
      <c r="J51" s="331">
        <f t="shared" si="9"/>
        <v>1.1866759195003462E-2</v>
      </c>
      <c r="K51" s="331">
        <f t="shared" si="10"/>
        <v>1.6882925390740322E-2</v>
      </c>
      <c r="L51" s="331">
        <f t="shared" si="11"/>
        <v>-5.3294573643410947E-3</v>
      </c>
      <c r="M51" s="332">
        <f t="shared" si="12"/>
        <v>2.6064139941690989E-2</v>
      </c>
    </row>
    <row r="52" spans="2:13">
      <c r="B52" s="396">
        <v>45706</v>
      </c>
      <c r="C52" s="340">
        <v>162.99</v>
      </c>
      <c r="D52" s="340">
        <v>144.1</v>
      </c>
      <c r="E52" s="340">
        <v>135.63999999999999</v>
      </c>
      <c r="F52" s="340">
        <v>20.64</v>
      </c>
      <c r="G52" s="341">
        <v>171.5</v>
      </c>
      <c r="H52" s="326"/>
      <c r="I52" s="330">
        <f t="shared" si="8"/>
        <v>0</v>
      </c>
      <c r="J52" s="331">
        <f t="shared" si="9"/>
        <v>0</v>
      </c>
      <c r="K52" s="331">
        <f t="shared" si="10"/>
        <v>0</v>
      </c>
      <c r="L52" s="331">
        <f t="shared" si="11"/>
        <v>0</v>
      </c>
      <c r="M52" s="332">
        <f t="shared" si="12"/>
        <v>0</v>
      </c>
    </row>
    <row r="53" spans="2:13">
      <c r="B53" s="396">
        <v>45705</v>
      </c>
      <c r="C53" s="340">
        <v>162.99</v>
      </c>
      <c r="D53" s="340">
        <v>144.1</v>
      </c>
      <c r="E53" s="340">
        <v>135.63999999999999</v>
      </c>
      <c r="F53" s="340">
        <v>20.64</v>
      </c>
      <c r="G53" s="341">
        <v>171.5</v>
      </c>
      <c r="H53" s="326"/>
      <c r="I53" s="330">
        <f t="shared" si="8"/>
        <v>3.2366354193058111E-2</v>
      </c>
      <c r="J53" s="331">
        <f t="shared" si="9"/>
        <v>4.9515307901528693E-3</v>
      </c>
      <c r="K53" s="331">
        <f t="shared" si="10"/>
        <v>2.2386372201703475E-2</v>
      </c>
      <c r="L53" s="331">
        <f t="shared" si="11"/>
        <v>-9.1214594335092825E-3</v>
      </c>
      <c r="M53" s="332">
        <f t="shared" si="12"/>
        <v>-3.1729900632339714E-2</v>
      </c>
    </row>
    <row r="54" spans="2:13">
      <c r="B54" s="396">
        <v>45702</v>
      </c>
      <c r="C54" s="340">
        <v>157.88</v>
      </c>
      <c r="D54" s="340">
        <v>143.38999999999999</v>
      </c>
      <c r="E54" s="340">
        <v>132.66999999999999</v>
      </c>
      <c r="F54" s="340">
        <v>20.83</v>
      </c>
      <c r="G54" s="341">
        <v>177.12</v>
      </c>
      <c r="H54" s="326"/>
      <c r="I54" s="330">
        <f t="shared" si="8"/>
        <v>-1.8220259934083716E-2</v>
      </c>
      <c r="J54" s="331">
        <f t="shared" si="9"/>
        <v>-8.2307373080648949E-3</v>
      </c>
      <c r="K54" s="331">
        <f t="shared" si="10"/>
        <v>-1.9872931442080577E-2</v>
      </c>
      <c r="L54" s="331">
        <f t="shared" si="11"/>
        <v>-2.389878163074044E-2</v>
      </c>
      <c r="M54" s="332">
        <f t="shared" si="12"/>
        <v>4.2524238816126214E-3</v>
      </c>
    </row>
    <row r="55" spans="2:13">
      <c r="B55" s="396">
        <v>45701</v>
      </c>
      <c r="C55" s="340">
        <v>160.81</v>
      </c>
      <c r="D55" s="340">
        <v>144.58000000000001</v>
      </c>
      <c r="E55" s="340">
        <v>135.36000000000001</v>
      </c>
      <c r="F55" s="340">
        <v>21.34</v>
      </c>
      <c r="G55" s="341">
        <v>176.37</v>
      </c>
      <c r="H55" s="326"/>
      <c r="I55" s="330">
        <f t="shared" si="8"/>
        <v>1.7269736842105088E-2</v>
      </c>
      <c r="J55" s="331">
        <f t="shared" si="9"/>
        <v>4.0975067713036051E-3</v>
      </c>
      <c r="K55" s="331">
        <f t="shared" si="10"/>
        <v>1.1054675829100802E-2</v>
      </c>
      <c r="L55" s="331">
        <f t="shared" si="11"/>
        <v>-1.0204081632652962E-2</v>
      </c>
      <c r="M55" s="332">
        <f t="shared" si="12"/>
        <v>3.4549507273580637E-2</v>
      </c>
    </row>
    <row r="56" spans="2:13">
      <c r="B56" s="396">
        <v>45700</v>
      </c>
      <c r="C56" s="340">
        <v>158.08000000000001</v>
      </c>
      <c r="D56" s="340">
        <v>143.99</v>
      </c>
      <c r="E56" s="340">
        <v>133.88</v>
      </c>
      <c r="F56" s="340">
        <v>21.56</v>
      </c>
      <c r="G56" s="341">
        <v>170.48</v>
      </c>
      <c r="H56" s="326"/>
      <c r="I56" s="330">
        <f t="shared" si="8"/>
        <v>-1.137368886642065E-3</v>
      </c>
      <c r="J56" s="331">
        <f t="shared" si="9"/>
        <v>-1.132930513595154E-2</v>
      </c>
      <c r="K56" s="331">
        <f t="shared" si="10"/>
        <v>5.180569111795208E-3</v>
      </c>
      <c r="L56" s="331">
        <f t="shared" si="11"/>
        <v>1.2682010333489924E-2</v>
      </c>
      <c r="M56" s="332">
        <f t="shared" si="12"/>
        <v>2.6184313489435951E-2</v>
      </c>
    </row>
    <row r="57" spans="2:13">
      <c r="B57" s="396">
        <v>45699</v>
      </c>
      <c r="C57" s="340">
        <v>158.26</v>
      </c>
      <c r="D57" s="340">
        <v>145.63999999999999</v>
      </c>
      <c r="E57" s="340">
        <v>133.19</v>
      </c>
      <c r="F57" s="340">
        <v>21.29</v>
      </c>
      <c r="G57" s="341">
        <v>166.13</v>
      </c>
      <c r="H57" s="326"/>
      <c r="I57" s="330">
        <f t="shared" si="8"/>
        <v>2.453550851297992E-2</v>
      </c>
      <c r="J57" s="331">
        <f t="shared" si="9"/>
        <v>8.9366124004155445E-3</v>
      </c>
      <c r="K57" s="331">
        <f t="shared" si="10"/>
        <v>1.3391158791752122E-2</v>
      </c>
      <c r="L57" s="331">
        <f t="shared" si="11"/>
        <v>3.771805752003754E-3</v>
      </c>
      <c r="M57" s="332">
        <f t="shared" si="12"/>
        <v>-1.6400236826524583E-2</v>
      </c>
    </row>
    <row r="58" spans="2:13">
      <c r="B58" s="396">
        <v>45698</v>
      </c>
      <c r="C58" s="340">
        <v>154.47</v>
      </c>
      <c r="D58" s="340">
        <v>144.35</v>
      </c>
      <c r="E58" s="340">
        <v>131.43</v>
      </c>
      <c r="F58" s="340">
        <v>21.21</v>
      </c>
      <c r="G58" s="341">
        <v>168.9</v>
      </c>
      <c r="H58" s="326"/>
      <c r="I58" s="330">
        <f t="shared" si="8"/>
        <v>-2.9690828115923606E-3</v>
      </c>
      <c r="J58" s="331">
        <f t="shared" si="9"/>
        <v>-1.5908147738277201E-3</v>
      </c>
      <c r="K58" s="331">
        <f t="shared" si="10"/>
        <v>8.6722947045279053E-3</v>
      </c>
      <c r="L58" s="331">
        <f t="shared" si="11"/>
        <v>1.5318334131163347E-2</v>
      </c>
      <c r="M58" s="332">
        <f t="shared" si="12"/>
        <v>5.536702982675612E-3</v>
      </c>
    </row>
    <row r="59" spans="2:13">
      <c r="B59" s="396">
        <v>45695</v>
      </c>
      <c r="C59" s="340">
        <v>154.93</v>
      </c>
      <c r="D59" s="340">
        <v>144.58000000000001</v>
      </c>
      <c r="E59" s="340">
        <v>130.30000000000001</v>
      </c>
      <c r="F59" s="340">
        <v>20.89</v>
      </c>
      <c r="G59" s="341">
        <v>167.97</v>
      </c>
      <c r="H59" s="326"/>
      <c r="I59" s="330">
        <f t="shared" si="8"/>
        <v>1.700144413811211E-2</v>
      </c>
      <c r="J59" s="331">
        <f t="shared" si="9"/>
        <v>-5.2975576195388729E-3</v>
      </c>
      <c r="K59" s="331">
        <f t="shared" si="10"/>
        <v>1.2510684590877341E-2</v>
      </c>
      <c r="L59" s="331">
        <f t="shared" si="11"/>
        <v>1.2603005332040729E-2</v>
      </c>
      <c r="M59" s="332">
        <f t="shared" si="12"/>
        <v>-1.1708637326429794E-2</v>
      </c>
    </row>
    <row r="60" spans="2:13">
      <c r="B60" s="396">
        <v>45694</v>
      </c>
      <c r="C60" s="340">
        <v>152.34</v>
      </c>
      <c r="D60" s="340">
        <v>145.35</v>
      </c>
      <c r="E60" s="340">
        <v>128.69</v>
      </c>
      <c r="F60" s="340">
        <v>20.63</v>
      </c>
      <c r="G60" s="341">
        <v>169.96</v>
      </c>
      <c r="H60" s="326"/>
      <c r="I60" s="330">
        <f t="shared" si="8"/>
        <v>4.399671052631593E-2</v>
      </c>
      <c r="J60" s="331">
        <f t="shared" si="9"/>
        <v>-2.1282438555539906E-3</v>
      </c>
      <c r="K60" s="331">
        <f t="shared" si="10"/>
        <v>-4.332688588007727E-3</v>
      </c>
      <c r="L60" s="331">
        <f t="shared" si="11"/>
        <v>1.1274509803921529E-2</v>
      </c>
      <c r="M60" s="332">
        <f t="shared" si="12"/>
        <v>3.1281355131913546E-3</v>
      </c>
    </row>
    <row r="61" spans="2:13">
      <c r="B61" s="396">
        <v>45693</v>
      </c>
      <c r="C61" s="340">
        <v>145.91999999999999</v>
      </c>
      <c r="D61" s="340">
        <v>145.66</v>
      </c>
      <c r="E61" s="340">
        <v>129.25</v>
      </c>
      <c r="F61" s="340">
        <v>20.399999999999999</v>
      </c>
      <c r="G61" s="341">
        <v>169.43</v>
      </c>
      <c r="H61" s="326"/>
      <c r="I61" s="330">
        <f t="shared" si="8"/>
        <v>8.152549398922071E-3</v>
      </c>
      <c r="J61" s="331">
        <f t="shared" si="9"/>
        <v>1.5123005087462449E-2</v>
      </c>
      <c r="K61" s="331">
        <f t="shared" si="10"/>
        <v>-3.8669760247500573E-4</v>
      </c>
      <c r="L61" s="331">
        <f t="shared" si="11"/>
        <v>7.4074074074073071E-3</v>
      </c>
      <c r="M61" s="332">
        <f t="shared" si="12"/>
        <v>2.1585770274344274E-2</v>
      </c>
    </row>
    <row r="62" spans="2:13">
      <c r="B62" s="396">
        <v>45692</v>
      </c>
      <c r="C62" s="340">
        <v>144.74</v>
      </c>
      <c r="D62" s="340">
        <v>143.49</v>
      </c>
      <c r="E62" s="340">
        <v>129.30000000000001</v>
      </c>
      <c r="F62" s="340">
        <v>20.25</v>
      </c>
      <c r="G62" s="341">
        <v>165.85</v>
      </c>
      <c r="H62" s="326"/>
      <c r="I62" s="330">
        <f t="shared" si="8"/>
        <v>-2.063739089248251E-2</v>
      </c>
      <c r="J62" s="331">
        <f t="shared" si="9"/>
        <v>-4.5118786184867199E-2</v>
      </c>
      <c r="K62" s="331">
        <f t="shared" si="10"/>
        <v>-8.8156381755459812E-3</v>
      </c>
      <c r="L62" s="331">
        <f t="shared" si="11"/>
        <v>3.4218590398365833E-2</v>
      </c>
      <c r="M62" s="332">
        <f t="shared" si="12"/>
        <v>3.8184663536776187E-2</v>
      </c>
    </row>
    <row r="63" spans="2:13">
      <c r="B63" s="396">
        <v>45691</v>
      </c>
      <c r="C63" s="340">
        <v>147.79</v>
      </c>
      <c r="D63" s="340">
        <v>150.27000000000001</v>
      </c>
      <c r="E63" s="340">
        <v>130.44999999999999</v>
      </c>
      <c r="F63" s="340">
        <v>19.579999999999998</v>
      </c>
      <c r="G63" s="341">
        <v>159.75</v>
      </c>
      <c r="H63" s="326"/>
      <c r="I63" s="330">
        <f t="shared" si="8"/>
        <v>-9.7822445561139837E-3</v>
      </c>
      <c r="J63" s="331">
        <f t="shared" si="9"/>
        <v>-2.7871789767071053E-3</v>
      </c>
      <c r="K63" s="331">
        <f t="shared" si="10"/>
        <v>3.693159959990755E-3</v>
      </c>
      <c r="L63" s="331">
        <f t="shared" si="11"/>
        <v>-2.344139650872834E-2</v>
      </c>
      <c r="M63" s="332">
        <f t="shared" si="12"/>
        <v>8.9048882152329423E-3</v>
      </c>
    </row>
    <row r="64" spans="2:13">
      <c r="B64" s="396">
        <v>45688</v>
      </c>
      <c r="C64" s="340">
        <v>149.25</v>
      </c>
      <c r="D64" s="340">
        <v>150.69</v>
      </c>
      <c r="E64" s="340">
        <v>129.97</v>
      </c>
      <c r="F64" s="340">
        <v>20.05</v>
      </c>
      <c r="G64" s="341">
        <v>158.34</v>
      </c>
      <c r="H64" s="326"/>
      <c r="I64" s="330">
        <f t="shared" si="8"/>
        <v>-1.8995661890364057E-2</v>
      </c>
      <c r="J64" s="331">
        <f t="shared" si="9"/>
        <v>-7.965766951942066E-3</v>
      </c>
      <c r="K64" s="331">
        <f t="shared" si="10"/>
        <v>-6.7252579289261982E-3</v>
      </c>
      <c r="L64" s="331">
        <f t="shared" si="11"/>
        <v>0</v>
      </c>
      <c r="M64" s="332">
        <f t="shared" si="12"/>
        <v>1.3376000000000055E-2</v>
      </c>
    </row>
    <row r="65" spans="2:13">
      <c r="B65" s="396">
        <v>45687</v>
      </c>
      <c r="C65" s="340">
        <v>152.13999999999999</v>
      </c>
      <c r="D65" s="340">
        <v>151.9</v>
      </c>
      <c r="E65" s="340">
        <v>130.85</v>
      </c>
      <c r="F65" s="340">
        <v>20.05</v>
      </c>
      <c r="G65" s="341">
        <v>156.25</v>
      </c>
      <c r="H65" s="326"/>
      <c r="I65" s="330">
        <f t="shared" si="8"/>
        <v>1.9500100515982055E-2</v>
      </c>
      <c r="J65" s="331">
        <f t="shared" si="9"/>
        <v>1.0174901908625467E-2</v>
      </c>
      <c r="K65" s="331">
        <f t="shared" si="10"/>
        <v>9.1000231356521688E-3</v>
      </c>
      <c r="L65" s="331">
        <f t="shared" si="11"/>
        <v>1.4985014985016143E-3</v>
      </c>
      <c r="M65" s="332">
        <f t="shared" si="12"/>
        <v>7.3496228483012072E-3</v>
      </c>
    </row>
    <row r="66" spans="2:13">
      <c r="B66" s="396">
        <v>45686</v>
      </c>
      <c r="C66" s="340">
        <v>149.22999999999999</v>
      </c>
      <c r="D66" s="340">
        <v>150.37</v>
      </c>
      <c r="E66" s="340">
        <v>129.66999999999999</v>
      </c>
      <c r="F66" s="340">
        <v>20.02</v>
      </c>
      <c r="G66" s="341">
        <v>155.11000000000001</v>
      </c>
      <c r="H66" s="326"/>
      <c r="I66" s="330">
        <f t="shared" si="8"/>
        <v>-3.3393441528083434E-3</v>
      </c>
      <c r="J66" s="331">
        <f t="shared" si="9"/>
        <v>7.9866888519131152E-4</v>
      </c>
      <c r="K66" s="331">
        <f t="shared" si="10"/>
        <v>1.7768850432631211E-3</v>
      </c>
      <c r="L66" s="331">
        <f t="shared" si="11"/>
        <v>9.0725806451612545E-3</v>
      </c>
      <c r="M66" s="332">
        <f t="shared" si="12"/>
        <v>1.8450426789231811E-2</v>
      </c>
    </row>
    <row r="67" spans="2:13">
      <c r="B67" s="396">
        <v>45685</v>
      </c>
      <c r="C67" s="340">
        <v>149.72999999999999</v>
      </c>
      <c r="D67" s="340">
        <v>150.25</v>
      </c>
      <c r="E67" s="340">
        <v>129.44</v>
      </c>
      <c r="F67" s="340">
        <v>19.84</v>
      </c>
      <c r="G67" s="341">
        <v>152.30000000000001</v>
      </c>
      <c r="H67" s="326"/>
      <c r="I67" s="330">
        <f t="shared" si="8"/>
        <v>-2.5956284153005549E-2</v>
      </c>
      <c r="J67" s="331">
        <f t="shared" si="9"/>
        <v>-2.8199987064226217E-2</v>
      </c>
      <c r="K67" s="331">
        <f t="shared" si="10"/>
        <v>-1.4991248763412179E-2</v>
      </c>
      <c r="L67" s="331">
        <f t="shared" si="11"/>
        <v>2.0202020202020332E-3</v>
      </c>
      <c r="M67" s="332">
        <f t="shared" si="12"/>
        <v>1.4319014319014389E-2</v>
      </c>
    </row>
    <row r="68" spans="2:13">
      <c r="B68" s="396">
        <v>45684</v>
      </c>
      <c r="C68" s="340">
        <v>153.72</v>
      </c>
      <c r="D68" s="340">
        <v>154.61000000000001</v>
      </c>
      <c r="E68" s="340">
        <v>131.41</v>
      </c>
      <c r="F68" s="340">
        <v>19.8</v>
      </c>
      <c r="G68" s="341">
        <v>150.15</v>
      </c>
      <c r="H68" s="326"/>
      <c r="I68" s="330">
        <f t="shared" si="8"/>
        <v>1.9972131908964075E-2</v>
      </c>
      <c r="J68" s="331">
        <f t="shared" si="9"/>
        <v>3.6815987124463545E-2</v>
      </c>
      <c r="K68" s="331">
        <f t="shared" si="10"/>
        <v>2.3362666458998538E-2</v>
      </c>
      <c r="L68" s="331">
        <f t="shared" si="11"/>
        <v>-5.5248618784530246E-3</v>
      </c>
      <c r="M68" s="332">
        <f t="shared" si="12"/>
        <v>2.3168654173765013E-2</v>
      </c>
    </row>
    <row r="69" spans="2:13">
      <c r="B69" s="396">
        <v>45681</v>
      </c>
      <c r="C69" s="340">
        <v>150.71</v>
      </c>
      <c r="D69" s="340">
        <v>149.12</v>
      </c>
      <c r="E69" s="340">
        <v>128.41</v>
      </c>
      <c r="F69" s="340">
        <v>19.91</v>
      </c>
      <c r="G69" s="341">
        <v>146.75</v>
      </c>
      <c r="H69" s="326"/>
      <c r="I69" s="330">
        <f t="shared" si="8"/>
        <v>5.4706784975651068E-3</v>
      </c>
      <c r="J69" s="331">
        <f t="shared" si="9"/>
        <v>3.3642847530614972E-3</v>
      </c>
      <c r="K69" s="331">
        <f t="shared" si="10"/>
        <v>1.086357553333861E-2</v>
      </c>
      <c r="L69" s="331">
        <f t="shared" si="11"/>
        <v>6.5722952477249574E-3</v>
      </c>
      <c r="M69" s="332">
        <f t="shared" si="12"/>
        <v>2.2537904657835561E-3</v>
      </c>
    </row>
    <row r="70" spans="2:13">
      <c r="B70" s="396">
        <v>45680</v>
      </c>
      <c r="C70" s="340">
        <v>149.88999999999999</v>
      </c>
      <c r="D70" s="340">
        <v>148.62</v>
      </c>
      <c r="E70" s="340">
        <v>127.03</v>
      </c>
      <c r="F70" s="340">
        <v>19.78</v>
      </c>
      <c r="G70" s="341">
        <v>146.41999999999999</v>
      </c>
      <c r="H70" s="326"/>
      <c r="I70" s="330">
        <f t="shared" si="8"/>
        <v>-8.1392271042880493E-3</v>
      </c>
      <c r="J70" s="331">
        <f t="shared" si="9"/>
        <v>3.5789047201026936E-3</v>
      </c>
      <c r="K70" s="331">
        <f t="shared" si="10"/>
        <v>7.2153504598795326E-3</v>
      </c>
      <c r="L70" s="331">
        <f t="shared" si="11"/>
        <v>8.1549439347603503E-3</v>
      </c>
      <c r="M70" s="332">
        <f t="shared" si="12"/>
        <v>1.1623931623929717E-3</v>
      </c>
    </row>
    <row r="71" spans="2:13">
      <c r="B71" s="396">
        <v>45679</v>
      </c>
      <c r="C71" s="340">
        <v>151.12</v>
      </c>
      <c r="D71" s="340">
        <v>148.09</v>
      </c>
      <c r="E71" s="340">
        <v>126.12</v>
      </c>
      <c r="F71" s="340">
        <v>19.62</v>
      </c>
      <c r="G71" s="341">
        <v>146.25</v>
      </c>
      <c r="H71" s="326"/>
      <c r="I71" s="330">
        <f t="shared" si="8"/>
        <v>-1.5953636778016422E-2</v>
      </c>
      <c r="J71" s="331">
        <f t="shared" si="9"/>
        <v>-3.0966004712218442E-3</v>
      </c>
      <c r="K71" s="331">
        <f t="shared" si="10"/>
        <v>-3.1615554852987282E-3</v>
      </c>
      <c r="L71" s="331">
        <f t="shared" si="11"/>
        <v>-4.0609137055837019E-3</v>
      </c>
      <c r="M71" s="332">
        <f t="shared" si="12"/>
        <v>-5.1020408163264808E-3</v>
      </c>
    </row>
    <row r="72" spans="2:13">
      <c r="B72" s="396">
        <v>45678</v>
      </c>
      <c r="C72" s="340">
        <v>153.57</v>
      </c>
      <c r="D72" s="340">
        <v>148.55000000000001</v>
      </c>
      <c r="E72" s="340">
        <v>126.52</v>
      </c>
      <c r="F72" s="340">
        <v>19.7</v>
      </c>
      <c r="G72" s="341">
        <v>147</v>
      </c>
      <c r="H72" s="326"/>
      <c r="I72" s="330">
        <f t="shared" si="8"/>
        <v>0</v>
      </c>
      <c r="J72" s="331">
        <f t="shared" si="9"/>
        <v>0</v>
      </c>
      <c r="K72" s="331">
        <f t="shared" si="10"/>
        <v>0</v>
      </c>
      <c r="L72" s="331">
        <f t="shared" si="11"/>
        <v>0</v>
      </c>
      <c r="M72" s="332">
        <f t="shared" si="12"/>
        <v>0</v>
      </c>
    </row>
    <row r="73" spans="2:13">
      <c r="B73" s="396">
        <v>45677</v>
      </c>
      <c r="C73" s="340">
        <v>153.57</v>
      </c>
      <c r="D73" s="340">
        <v>148.55000000000001</v>
      </c>
      <c r="E73" s="340">
        <v>126.52</v>
      </c>
      <c r="F73" s="340">
        <v>19.7</v>
      </c>
      <c r="G73" s="341">
        <v>147</v>
      </c>
      <c r="H73" s="326"/>
      <c r="I73" s="330">
        <f t="shared" si="8"/>
        <v>4.5790540982533212E-3</v>
      </c>
      <c r="J73" s="331">
        <f t="shared" si="9"/>
        <v>2.0236087689713411E-3</v>
      </c>
      <c r="K73" s="331">
        <f t="shared" si="10"/>
        <v>-5.502279515799402E-3</v>
      </c>
      <c r="L73" s="331">
        <f t="shared" si="11"/>
        <v>3.054989816700493E-3</v>
      </c>
      <c r="M73" s="332">
        <f t="shared" si="12"/>
        <v>5.5655296229802476E-2</v>
      </c>
    </row>
    <row r="74" spans="2:13">
      <c r="B74" s="396">
        <v>45674</v>
      </c>
      <c r="C74" s="340">
        <v>152.87</v>
      </c>
      <c r="D74" s="340">
        <v>148.25</v>
      </c>
      <c r="E74" s="340">
        <v>127.22</v>
      </c>
      <c r="F74" s="340">
        <v>19.64</v>
      </c>
      <c r="G74" s="341">
        <v>139.25</v>
      </c>
      <c r="H74" s="326"/>
      <c r="I74" s="330">
        <f t="shared" si="8"/>
        <v>-7.4665627840541093E-3</v>
      </c>
      <c r="J74" s="331">
        <f t="shared" si="9"/>
        <v>1.166916882762381E-2</v>
      </c>
      <c r="K74" s="331">
        <f t="shared" si="10"/>
        <v>4.5005921831819951E-3</v>
      </c>
      <c r="L74" s="331">
        <f t="shared" si="11"/>
        <v>-2.7722772277227636E-2</v>
      </c>
      <c r="M74" s="332">
        <f t="shared" si="12"/>
        <v>-9.1083754358499691E-3</v>
      </c>
    </row>
    <row r="75" spans="2:13">
      <c r="B75" s="396">
        <v>45673</v>
      </c>
      <c r="C75" s="340">
        <v>154.02000000000001</v>
      </c>
      <c r="D75" s="340">
        <v>146.54</v>
      </c>
      <c r="E75" s="340">
        <v>126.65</v>
      </c>
      <c r="F75" s="340">
        <v>20.2</v>
      </c>
      <c r="G75" s="341">
        <v>140.53</v>
      </c>
      <c r="H75" s="326"/>
      <c r="I75" s="330">
        <f t="shared" si="8"/>
        <v>1.4958813838550356E-2</v>
      </c>
      <c r="J75" s="331">
        <f t="shared" si="9"/>
        <v>1.2156375189943391E-2</v>
      </c>
      <c r="K75" s="331">
        <f t="shared" si="10"/>
        <v>8.6811086333227205E-3</v>
      </c>
      <c r="L75" s="331">
        <f t="shared" si="11"/>
        <v>-1.0773751224290029E-2</v>
      </c>
      <c r="M75" s="332">
        <f t="shared" si="12"/>
        <v>3.7857142857142811E-3</v>
      </c>
    </row>
    <row r="76" spans="2:13">
      <c r="B76" s="396">
        <v>45672</v>
      </c>
      <c r="C76" s="340">
        <v>151.75</v>
      </c>
      <c r="D76" s="340">
        <v>144.78</v>
      </c>
      <c r="E76" s="340">
        <v>125.56</v>
      </c>
      <c r="F76" s="340">
        <v>20.420000000000002</v>
      </c>
      <c r="G76" s="341">
        <v>140</v>
      </c>
      <c r="H76" s="326"/>
      <c r="I76" s="330">
        <f t="shared" si="8"/>
        <v>-2.2921898139205421E-2</v>
      </c>
      <c r="J76" s="331">
        <f t="shared" si="9"/>
        <v>-1.1728182131768294E-3</v>
      </c>
      <c r="K76" s="331">
        <f t="shared" si="10"/>
        <v>-4.9136154699636059E-3</v>
      </c>
      <c r="L76" s="331">
        <f t="shared" si="11"/>
        <v>-1.4954172696574952E-2</v>
      </c>
      <c r="M76" s="332">
        <f t="shared" si="12"/>
        <v>1.3978416745129341E-2</v>
      </c>
    </row>
    <row r="77" spans="2:13">
      <c r="B77" s="396">
        <v>45671</v>
      </c>
      <c r="C77" s="340">
        <v>155.31</v>
      </c>
      <c r="D77" s="340">
        <v>144.94999999999999</v>
      </c>
      <c r="E77" s="340">
        <v>126.18</v>
      </c>
      <c r="F77" s="340">
        <v>20.73</v>
      </c>
      <c r="G77" s="341">
        <v>138.07</v>
      </c>
      <c r="H77" s="326"/>
      <c r="I77" s="330">
        <f t="shared" si="8"/>
        <v>-1.2525432349949073E-2</v>
      </c>
      <c r="J77" s="331">
        <f t="shared" si="9"/>
        <v>3.1141868512110094E-3</v>
      </c>
      <c r="K77" s="331">
        <f t="shared" si="10"/>
        <v>5.9794307581917394E-3</v>
      </c>
      <c r="L77" s="331">
        <f t="shared" si="11"/>
        <v>3.3881897386254245E-3</v>
      </c>
      <c r="M77" s="332">
        <f t="shared" si="12"/>
        <v>-3.9676814312510356E-3</v>
      </c>
    </row>
    <row r="78" spans="2:13">
      <c r="B78" s="396">
        <v>45670</v>
      </c>
      <c r="C78" s="340">
        <v>157.28</v>
      </c>
      <c r="D78" s="340">
        <v>144.5</v>
      </c>
      <c r="E78" s="340">
        <v>125.43</v>
      </c>
      <c r="F78" s="340">
        <v>20.66</v>
      </c>
      <c r="G78" s="341">
        <v>138.62</v>
      </c>
      <c r="H78" s="326"/>
      <c r="I78" s="330">
        <f t="shared" si="8"/>
        <v>-5.8154235145384536E-3</v>
      </c>
      <c r="J78" s="331">
        <f t="shared" si="9"/>
        <v>1.303982052720154E-2</v>
      </c>
      <c r="K78" s="331">
        <f t="shared" si="10"/>
        <v>7.7936686485617912E-3</v>
      </c>
      <c r="L78" s="331">
        <f t="shared" si="11"/>
        <v>3.5588972431077837E-2</v>
      </c>
      <c r="M78" s="332">
        <f t="shared" si="12"/>
        <v>4.6383533845486546E-3</v>
      </c>
    </row>
    <row r="79" spans="2:13">
      <c r="B79" s="396">
        <v>45667</v>
      </c>
      <c r="C79" s="340">
        <v>158.19999999999999</v>
      </c>
      <c r="D79" s="340">
        <v>142.63999999999999</v>
      </c>
      <c r="E79" s="340">
        <v>124.46</v>
      </c>
      <c r="F79" s="340">
        <v>19.95</v>
      </c>
      <c r="G79" s="341">
        <v>137.97999999999999</v>
      </c>
      <c r="H79" s="326"/>
      <c r="I79" s="330">
        <f t="shared" si="8"/>
        <v>0</v>
      </c>
      <c r="J79" s="331">
        <f t="shared" si="9"/>
        <v>0</v>
      </c>
      <c r="K79" s="331">
        <f t="shared" si="10"/>
        <v>0</v>
      </c>
      <c r="L79" s="331">
        <f t="shared" si="11"/>
        <v>0</v>
      </c>
      <c r="M79" s="332">
        <f t="shared" si="12"/>
        <v>0</v>
      </c>
    </row>
    <row r="80" spans="2:13">
      <c r="B80" s="396">
        <v>45666</v>
      </c>
      <c r="C80" s="340">
        <v>158.19999999999999</v>
      </c>
      <c r="D80" s="340">
        <v>142.63999999999999</v>
      </c>
      <c r="E80" s="340">
        <v>124.46</v>
      </c>
      <c r="F80" s="340">
        <v>19.95</v>
      </c>
      <c r="G80" s="341">
        <v>137.97999999999999</v>
      </c>
      <c r="H80" s="326"/>
      <c r="I80" s="330">
        <f t="shared" si="8"/>
        <v>-2.4781161385772466E-2</v>
      </c>
      <c r="J80" s="331">
        <f t="shared" si="9"/>
        <v>-2.6613893817387768E-2</v>
      </c>
      <c r="K80" s="331">
        <f t="shared" si="10"/>
        <v>-1.8221976808393214E-2</v>
      </c>
      <c r="L80" s="331">
        <f t="shared" si="11"/>
        <v>3.5211267605634866E-3</v>
      </c>
      <c r="M80" s="332">
        <f t="shared" si="12"/>
        <v>-1.5834522111269567E-2</v>
      </c>
    </row>
    <row r="81" spans="2:13">
      <c r="B81" s="396">
        <v>45665</v>
      </c>
      <c r="C81" s="340">
        <v>162.22</v>
      </c>
      <c r="D81" s="340">
        <v>146.54</v>
      </c>
      <c r="E81" s="340">
        <v>126.77</v>
      </c>
      <c r="F81" s="340">
        <v>19.88</v>
      </c>
      <c r="G81" s="341">
        <v>140.19999999999999</v>
      </c>
      <c r="H81" s="326"/>
      <c r="I81" s="330">
        <f t="shared" si="8"/>
        <v>-1.9937167713871551E-2</v>
      </c>
      <c r="J81" s="331">
        <f t="shared" si="9"/>
        <v>7.8404401650618016E-3</v>
      </c>
      <c r="K81" s="331">
        <f t="shared" si="10"/>
        <v>-4.1633935585231319E-3</v>
      </c>
      <c r="L81" s="331">
        <f t="shared" si="11"/>
        <v>8.113590263691739E-3</v>
      </c>
      <c r="M81" s="332">
        <f t="shared" si="12"/>
        <v>9.0686627321145963E-3</v>
      </c>
    </row>
    <row r="82" spans="2:13">
      <c r="B82" s="396">
        <v>45664</v>
      </c>
      <c r="C82" s="340">
        <v>165.52</v>
      </c>
      <c r="D82" s="340">
        <v>145.4</v>
      </c>
      <c r="E82" s="340">
        <v>127.3</v>
      </c>
      <c r="F82" s="340">
        <v>19.72</v>
      </c>
      <c r="G82" s="341">
        <v>138.94</v>
      </c>
      <c r="H82" s="326"/>
      <c r="I82" s="330">
        <f t="shared" si="8"/>
        <v>-7.3167806165287397E-3</v>
      </c>
      <c r="J82" s="331">
        <f t="shared" si="9"/>
        <v>-5.9479045600602243E-3</v>
      </c>
      <c r="K82" s="331">
        <f t="shared" si="10"/>
        <v>9.3561687281953354E-3</v>
      </c>
      <c r="L82" s="331">
        <f t="shared" si="11"/>
        <v>6.1224489795916881E-3</v>
      </c>
      <c r="M82" s="332">
        <f t="shared" si="12"/>
        <v>-1.2929809605001341E-2</v>
      </c>
    </row>
    <row r="83" spans="2:13">
      <c r="B83" s="396">
        <v>45663</v>
      </c>
      <c r="C83" s="340">
        <v>166.74</v>
      </c>
      <c r="D83" s="340">
        <v>146.27000000000001</v>
      </c>
      <c r="E83" s="340">
        <v>126.12</v>
      </c>
      <c r="F83" s="340">
        <v>19.600000000000001</v>
      </c>
      <c r="G83" s="341">
        <v>140.76</v>
      </c>
      <c r="H83" s="326"/>
      <c r="I83" s="330">
        <f t="shared" si="8"/>
        <v>-1.354789090693953E-2</v>
      </c>
      <c r="J83" s="331">
        <f t="shared" si="9"/>
        <v>-2.2586034079518869E-2</v>
      </c>
      <c r="K83" s="331">
        <f t="shared" si="10"/>
        <v>-2.8051787916152815E-2</v>
      </c>
      <c r="L83" s="331">
        <f t="shared" si="11"/>
        <v>-1.0101010101010055E-2</v>
      </c>
      <c r="M83" s="332">
        <f t="shared" si="12"/>
        <v>4.5376903082064546E-2</v>
      </c>
    </row>
    <row r="84" spans="2:13">
      <c r="B84" s="396">
        <v>45660</v>
      </c>
      <c r="C84" s="340">
        <v>169.03</v>
      </c>
      <c r="D84" s="340">
        <v>149.65</v>
      </c>
      <c r="E84" s="340">
        <v>129.76</v>
      </c>
      <c r="F84" s="340">
        <v>19.8</v>
      </c>
      <c r="G84" s="341">
        <v>134.65</v>
      </c>
      <c r="H84" s="326"/>
      <c r="I84" s="330">
        <f t="shared" si="8"/>
        <v>1.4218851827716428E-3</v>
      </c>
      <c r="J84" s="331">
        <f t="shared" si="9"/>
        <v>-3.7281139737700419E-3</v>
      </c>
      <c r="K84" s="331">
        <f t="shared" si="10"/>
        <v>-6.6600321518793804E-3</v>
      </c>
      <c r="L84" s="331">
        <f t="shared" si="11"/>
        <v>7.1210579857579059E-3</v>
      </c>
      <c r="M84" s="332">
        <f t="shared" si="12"/>
        <v>1.2710589651022897E-2</v>
      </c>
    </row>
    <row r="85" spans="2:13">
      <c r="B85" s="396">
        <v>45659</v>
      </c>
      <c r="C85" s="340">
        <v>168.79</v>
      </c>
      <c r="D85" s="340">
        <v>150.21</v>
      </c>
      <c r="E85" s="340">
        <v>130.63</v>
      </c>
      <c r="F85" s="340">
        <v>19.66</v>
      </c>
      <c r="G85" s="341">
        <v>132.96</v>
      </c>
      <c r="H85" s="326"/>
      <c r="I85" s="330">
        <f t="shared" si="8"/>
        <v>0</v>
      </c>
      <c r="J85" s="331">
        <f t="shared" si="9"/>
        <v>0</v>
      </c>
      <c r="K85" s="331">
        <f t="shared" si="10"/>
        <v>0</v>
      </c>
      <c r="L85" s="331">
        <f t="shared" si="11"/>
        <v>0</v>
      </c>
      <c r="M85" s="332">
        <f t="shared" si="12"/>
        <v>0</v>
      </c>
    </row>
    <row r="86" spans="2:13">
      <c r="B86" s="396">
        <v>45658</v>
      </c>
      <c r="C86" s="340">
        <v>168.79</v>
      </c>
      <c r="D86" s="340">
        <v>150.21</v>
      </c>
      <c r="E86" s="340">
        <v>130.63</v>
      </c>
      <c r="F86" s="340">
        <v>19.66</v>
      </c>
      <c r="G86" s="341">
        <v>132.96</v>
      </c>
      <c r="H86" s="326"/>
      <c r="I86" s="330">
        <f t="shared" si="8"/>
        <v>-3.3067611455565027E-3</v>
      </c>
      <c r="J86" s="331">
        <f t="shared" si="9"/>
        <v>-1.2166250164408754E-2</v>
      </c>
      <c r="K86" s="331">
        <f t="shared" si="10"/>
        <v>-3.1288156288156177E-3</v>
      </c>
      <c r="L86" s="331">
        <f t="shared" si="11"/>
        <v>1.0183299389001643E-3</v>
      </c>
      <c r="M86" s="332">
        <f t="shared" si="12"/>
        <v>4.6352404186668972E-2</v>
      </c>
    </row>
    <row r="87" spans="2:13">
      <c r="B87" s="396">
        <v>45657</v>
      </c>
      <c r="C87" s="340">
        <v>169.35</v>
      </c>
      <c r="D87" s="340">
        <v>152.06</v>
      </c>
      <c r="E87" s="340">
        <v>131.04</v>
      </c>
      <c r="F87" s="340">
        <v>19.64</v>
      </c>
      <c r="G87" s="341">
        <v>127.07</v>
      </c>
      <c r="H87" s="326"/>
      <c r="I87" s="330">
        <f t="shared" si="8"/>
        <v>4.031540878638884E-3</v>
      </c>
      <c r="J87" s="331">
        <f t="shared" si="9"/>
        <v>2.2409702082784033E-3</v>
      </c>
      <c r="K87" s="331">
        <f t="shared" si="10"/>
        <v>3.215434083601254E-3</v>
      </c>
      <c r="L87" s="331">
        <f t="shared" si="11"/>
        <v>1.0193679918450993E-3</v>
      </c>
      <c r="M87" s="332">
        <f t="shared" si="12"/>
        <v>-1.806755695208162E-3</v>
      </c>
    </row>
    <row r="88" spans="2:13">
      <c r="B88" s="396">
        <v>45656</v>
      </c>
      <c r="C88" s="340">
        <v>168.67</v>
      </c>
      <c r="D88" s="340">
        <v>151.72</v>
      </c>
      <c r="E88" s="340">
        <v>130.62</v>
      </c>
      <c r="F88" s="340">
        <v>19.62</v>
      </c>
      <c r="G88" s="341">
        <v>127.3</v>
      </c>
      <c r="H88" s="326"/>
      <c r="I88" s="330">
        <f t="shared" si="8"/>
        <v>-1.7990218910107103E-2</v>
      </c>
      <c r="J88" s="331">
        <f t="shared" si="9"/>
        <v>-7.652560664530017E-3</v>
      </c>
      <c r="K88" s="331">
        <f t="shared" si="10"/>
        <v>-8.9529590288316419E-3</v>
      </c>
      <c r="L88" s="331">
        <f t="shared" si="11"/>
        <v>-1.5060240963855498E-2</v>
      </c>
      <c r="M88" s="332">
        <f t="shared" si="12"/>
        <v>-9.3385214007781769E-3</v>
      </c>
    </row>
    <row r="89" spans="2:13">
      <c r="B89" s="396">
        <v>45653</v>
      </c>
      <c r="C89" s="340">
        <v>171.76</v>
      </c>
      <c r="D89" s="340">
        <v>152.88999999999999</v>
      </c>
      <c r="E89" s="340">
        <v>131.80000000000001</v>
      </c>
      <c r="F89" s="340">
        <v>19.920000000000002</v>
      </c>
      <c r="G89" s="341">
        <v>128.5</v>
      </c>
      <c r="H89" s="326"/>
      <c r="I89" s="330">
        <f t="shared" si="8"/>
        <v>9.2842872252907327E-3</v>
      </c>
      <c r="J89" s="331">
        <f t="shared" si="9"/>
        <v>2.9519811073208668E-3</v>
      </c>
      <c r="K89" s="331">
        <f t="shared" si="10"/>
        <v>-9.9902351085403573E-3</v>
      </c>
      <c r="L89" s="331">
        <f t="shared" si="11"/>
        <v>4.5385779122544267E-3</v>
      </c>
      <c r="M89" s="332">
        <f t="shared" si="12"/>
        <v>-1.5551980387650377E-2</v>
      </c>
    </row>
    <row r="90" spans="2:13">
      <c r="B90" s="396">
        <v>45652</v>
      </c>
      <c r="C90" s="340">
        <v>170.18</v>
      </c>
      <c r="D90" s="340">
        <v>152.44</v>
      </c>
      <c r="E90" s="340">
        <v>133.13</v>
      </c>
      <c r="F90" s="340">
        <v>19.829999999999998</v>
      </c>
      <c r="G90" s="341">
        <v>130.53</v>
      </c>
      <c r="H90" s="326"/>
      <c r="I90" s="330">
        <f t="shared" si="8"/>
        <v>0</v>
      </c>
      <c r="J90" s="331">
        <f t="shared" si="9"/>
        <v>0</v>
      </c>
      <c r="K90" s="331">
        <f t="shared" si="10"/>
        <v>0</v>
      </c>
      <c r="L90" s="331">
        <f t="shared" si="11"/>
        <v>0</v>
      </c>
      <c r="M90" s="332">
        <f t="shared" si="12"/>
        <v>0</v>
      </c>
    </row>
    <row r="91" spans="2:13">
      <c r="B91" s="396">
        <v>45651</v>
      </c>
      <c r="C91" s="340">
        <v>170.18</v>
      </c>
      <c r="D91" s="340">
        <v>152.44</v>
      </c>
      <c r="E91" s="340">
        <v>133.13</v>
      </c>
      <c r="F91" s="340">
        <v>19.829999999999998</v>
      </c>
      <c r="G91" s="341">
        <v>130.53</v>
      </c>
      <c r="H91" s="326"/>
      <c r="I91" s="330">
        <f t="shared" si="8"/>
        <v>-1.8182884626664064E-3</v>
      </c>
      <c r="J91" s="331">
        <f t="shared" si="9"/>
        <v>-2.421307506053294E-3</v>
      </c>
      <c r="K91" s="331">
        <f t="shared" si="10"/>
        <v>7.187169011953376E-3</v>
      </c>
      <c r="L91" s="331">
        <f t="shared" si="11"/>
        <v>1.0188487009679115E-2</v>
      </c>
      <c r="M91" s="332">
        <f t="shared" si="12"/>
        <v>-6.8477516548733908E-3</v>
      </c>
    </row>
    <row r="92" spans="2:13">
      <c r="B92" s="396">
        <v>45650</v>
      </c>
      <c r="C92" s="340">
        <v>170.49</v>
      </c>
      <c r="D92" s="340">
        <v>152.81</v>
      </c>
      <c r="E92" s="340">
        <v>132.18</v>
      </c>
      <c r="F92" s="340">
        <v>19.63</v>
      </c>
      <c r="G92" s="341">
        <v>131.43</v>
      </c>
      <c r="H92" s="326"/>
      <c r="I92" s="330">
        <f t="shared" si="8"/>
        <v>8.8165680473373254E-3</v>
      </c>
      <c r="J92" s="331">
        <f t="shared" si="9"/>
        <v>1.0046929737590027E-2</v>
      </c>
      <c r="K92" s="331">
        <f t="shared" si="10"/>
        <v>5.6299452221546531E-3</v>
      </c>
      <c r="L92" s="331">
        <f t="shared" si="11"/>
        <v>0</v>
      </c>
      <c r="M92" s="332">
        <f t="shared" si="12"/>
        <v>1.5687789799072593E-2</v>
      </c>
    </row>
    <row r="93" spans="2:13">
      <c r="B93" s="396">
        <v>45649</v>
      </c>
      <c r="C93" s="340">
        <v>169</v>
      </c>
      <c r="D93" s="340">
        <v>151.29</v>
      </c>
      <c r="E93" s="340">
        <v>131.44</v>
      </c>
      <c r="F93" s="340">
        <v>19.63</v>
      </c>
      <c r="G93" s="341">
        <v>129.4</v>
      </c>
      <c r="H93" s="326"/>
      <c r="I93" s="330">
        <f t="shared" si="8"/>
        <v>-7.4004463761305761E-3</v>
      </c>
      <c r="J93" s="331">
        <f t="shared" si="9"/>
        <v>-9.8173964264677283E-3</v>
      </c>
      <c r="K93" s="331">
        <f t="shared" si="10"/>
        <v>9.1379835516303132E-4</v>
      </c>
      <c r="L93" s="331">
        <f t="shared" si="11"/>
        <v>5.6352459016393297E-3</v>
      </c>
      <c r="M93" s="332">
        <f t="shared" si="12"/>
        <v>-1.7463933181472879E-2</v>
      </c>
    </row>
    <row r="94" spans="2:13">
      <c r="B94" s="396">
        <v>45646</v>
      </c>
      <c r="C94" s="340">
        <v>170.26</v>
      </c>
      <c r="D94" s="340">
        <v>152.79</v>
      </c>
      <c r="E94" s="340">
        <v>131.32</v>
      </c>
      <c r="F94" s="340">
        <v>19.52</v>
      </c>
      <c r="G94" s="341">
        <v>131.69999999999999</v>
      </c>
      <c r="H94" s="326"/>
      <c r="I94" s="330">
        <f t="shared" si="8"/>
        <v>7.8134248845742604E-3</v>
      </c>
      <c r="J94" s="331">
        <f t="shared" si="9"/>
        <v>8.7145969498909626E-3</v>
      </c>
      <c r="K94" s="331">
        <f t="shared" si="10"/>
        <v>-9.8896918980595494E-4</v>
      </c>
      <c r="L94" s="331">
        <f t="shared" si="11"/>
        <v>5.6671818650180228E-3</v>
      </c>
      <c r="M94" s="332">
        <f t="shared" si="12"/>
        <v>-2.2199123914173335E-2</v>
      </c>
    </row>
    <row r="95" spans="2:13">
      <c r="B95" s="396">
        <v>45645</v>
      </c>
      <c r="C95" s="340">
        <v>168.94</v>
      </c>
      <c r="D95" s="340">
        <v>151.47</v>
      </c>
      <c r="E95" s="340">
        <v>131.44999999999999</v>
      </c>
      <c r="F95" s="340">
        <v>19.41</v>
      </c>
      <c r="G95" s="341">
        <v>134.69</v>
      </c>
      <c r="H95" s="326"/>
      <c r="I95" s="330">
        <f t="shared" si="8"/>
        <v>-2.0410529977965997E-2</v>
      </c>
      <c r="J95" s="331">
        <f t="shared" si="9"/>
        <v>-1.9167260247361262E-2</v>
      </c>
      <c r="K95" s="331">
        <f t="shared" si="10"/>
        <v>8.2841144435068514E-3</v>
      </c>
      <c r="L95" s="331">
        <f t="shared" si="11"/>
        <v>2.4274406332453813E-2</v>
      </c>
      <c r="M95" s="332">
        <f t="shared" si="12"/>
        <v>-3.6984984096456452E-3</v>
      </c>
    </row>
    <row r="96" spans="2:13">
      <c r="B96" s="396">
        <v>45644</v>
      </c>
      <c r="C96" s="340">
        <v>172.46</v>
      </c>
      <c r="D96" s="340">
        <v>154.43</v>
      </c>
      <c r="E96" s="340">
        <v>130.37</v>
      </c>
      <c r="F96" s="340">
        <v>18.95</v>
      </c>
      <c r="G96" s="341">
        <v>135.19</v>
      </c>
      <c r="H96" s="326"/>
      <c r="I96" s="330">
        <f t="shared" si="8"/>
        <v>-2.9105443900242056E-2</v>
      </c>
      <c r="J96" s="331">
        <f t="shared" si="9"/>
        <v>-1.0951710003842541E-2</v>
      </c>
      <c r="K96" s="331">
        <f t="shared" si="10"/>
        <v>-5.87158761628781E-3</v>
      </c>
      <c r="L96" s="331">
        <f t="shared" si="11"/>
        <v>-1.9151138716356209E-2</v>
      </c>
      <c r="M96" s="332">
        <f t="shared" si="12"/>
        <v>-2.4603174603174627E-2</v>
      </c>
    </row>
    <row r="97" spans="2:13">
      <c r="B97" s="396">
        <v>45643</v>
      </c>
      <c r="C97" s="340">
        <v>177.63</v>
      </c>
      <c r="D97" s="340">
        <v>156.13999999999999</v>
      </c>
      <c r="E97" s="340">
        <v>131.13999999999999</v>
      </c>
      <c r="F97" s="340">
        <v>19.32</v>
      </c>
      <c r="G97" s="341">
        <v>138.6</v>
      </c>
      <c r="H97" s="326"/>
      <c r="I97" s="330">
        <f t="shared" si="8"/>
        <v>-3.1986531986532007E-3</v>
      </c>
      <c r="J97" s="331">
        <f t="shared" si="9"/>
        <v>7.6913216254315131E-4</v>
      </c>
      <c r="K97" s="331">
        <f t="shared" si="10"/>
        <v>-1.6747868453107495E-3</v>
      </c>
      <c r="L97" s="331">
        <f t="shared" si="11"/>
        <v>-2.6700251889168802E-2</v>
      </c>
      <c r="M97" s="332">
        <f t="shared" si="12"/>
        <v>-3.0226700251889116E-2</v>
      </c>
    </row>
    <row r="98" spans="2:13">
      <c r="B98" s="396">
        <v>45642</v>
      </c>
      <c r="C98" s="340">
        <v>178.2</v>
      </c>
      <c r="D98" s="340">
        <v>156.02000000000001</v>
      </c>
      <c r="E98" s="340">
        <v>131.36000000000001</v>
      </c>
      <c r="F98" s="340">
        <v>19.850000000000001</v>
      </c>
      <c r="G98" s="341">
        <v>142.91999999999999</v>
      </c>
      <c r="H98" s="326"/>
      <c r="I98" s="330">
        <f t="shared" si="8"/>
        <v>-2.6761332605133803E-2</v>
      </c>
      <c r="J98" s="331">
        <f t="shared" si="9"/>
        <v>-1.2344115971386849E-2</v>
      </c>
      <c r="K98" s="331">
        <f t="shared" si="10"/>
        <v>1.5227653418614651E-4</v>
      </c>
      <c r="L98" s="331">
        <f t="shared" si="11"/>
        <v>1.7948717948718107E-2</v>
      </c>
      <c r="M98" s="332">
        <f t="shared" si="12"/>
        <v>-3.2952161851275474E-2</v>
      </c>
    </row>
    <row r="99" spans="2:13">
      <c r="B99" s="396">
        <v>45639</v>
      </c>
      <c r="C99" s="340">
        <v>183.1</v>
      </c>
      <c r="D99" s="340">
        <v>157.97</v>
      </c>
      <c r="E99" s="340">
        <v>131.34</v>
      </c>
      <c r="F99" s="340">
        <v>19.5</v>
      </c>
      <c r="G99" s="341">
        <v>147.79</v>
      </c>
      <c r="H99" s="326"/>
      <c r="I99" s="330">
        <f t="shared" si="8"/>
        <v>-4.6208208752378521E-3</v>
      </c>
      <c r="J99" s="331">
        <f t="shared" si="9"/>
        <v>-5.8527375707992935E-3</v>
      </c>
      <c r="K99" s="331">
        <f t="shared" si="10"/>
        <v>3.4380013752006722E-3</v>
      </c>
      <c r="L99" s="331">
        <f t="shared" si="11"/>
        <v>1.9874476987447709E-2</v>
      </c>
      <c r="M99" s="332">
        <f t="shared" si="12"/>
        <v>-1.1504247207544616E-2</v>
      </c>
    </row>
    <row r="100" spans="2:13">
      <c r="B100" s="396">
        <v>45638</v>
      </c>
      <c r="C100" s="340">
        <v>183.95</v>
      </c>
      <c r="D100" s="340">
        <v>158.9</v>
      </c>
      <c r="E100" s="340">
        <v>130.88999999999999</v>
      </c>
      <c r="F100" s="340">
        <v>19.12</v>
      </c>
      <c r="G100" s="341">
        <v>149.51</v>
      </c>
      <c r="H100" s="326"/>
      <c r="I100" s="330">
        <f t="shared" si="8"/>
        <v>3.9265536723163796E-2</v>
      </c>
      <c r="J100" s="331">
        <f t="shared" si="9"/>
        <v>1.3586783185558504E-2</v>
      </c>
      <c r="K100" s="331">
        <f t="shared" si="10"/>
        <v>2.1437868463363152E-3</v>
      </c>
      <c r="L100" s="331">
        <f t="shared" si="11"/>
        <v>4.8820625342841595E-2</v>
      </c>
      <c r="M100" s="332">
        <f t="shared" si="12"/>
        <v>4.029279430528554E-3</v>
      </c>
    </row>
    <row r="101" spans="2:13">
      <c r="B101" s="396">
        <v>45637</v>
      </c>
      <c r="C101" s="340">
        <v>177</v>
      </c>
      <c r="D101" s="340">
        <v>156.77000000000001</v>
      </c>
      <c r="E101" s="340">
        <v>130.61000000000001</v>
      </c>
      <c r="F101" s="340">
        <v>18.23</v>
      </c>
      <c r="G101" s="341">
        <v>148.91</v>
      </c>
      <c r="H101" s="326"/>
      <c r="I101" s="330">
        <f t="shared" ref="I101:I164" si="13">C101/C102-1</f>
        <v>-5.4436668625460705E-2</v>
      </c>
      <c r="J101" s="331">
        <f t="shared" ref="J101:J164" si="14">D101/D102-1</f>
        <v>-1.9206706706706655E-2</v>
      </c>
      <c r="K101" s="331">
        <f t="shared" ref="K101:K164" si="15">E101/E102-1</f>
        <v>-1.8486510858946259E-2</v>
      </c>
      <c r="L101" s="331">
        <f t="shared" ref="L101:L164" si="16">F101/F102-1</f>
        <v>-1.5126958400864421E-2</v>
      </c>
      <c r="M101" s="332">
        <f t="shared" ref="M101:M164" si="17">G101/G102-1</f>
        <v>1.3544786278246734E-2</v>
      </c>
    </row>
    <row r="102" spans="2:13">
      <c r="B102" s="396">
        <v>45636</v>
      </c>
      <c r="C102" s="340">
        <v>187.19</v>
      </c>
      <c r="D102" s="340">
        <v>159.84</v>
      </c>
      <c r="E102" s="340">
        <v>133.07</v>
      </c>
      <c r="F102" s="340">
        <v>18.510000000000002</v>
      </c>
      <c r="G102" s="341">
        <v>146.91999999999999</v>
      </c>
      <c r="H102" s="326"/>
      <c r="I102" s="330">
        <f t="shared" si="13"/>
        <v>-3.3359153111283235E-2</v>
      </c>
      <c r="J102" s="331">
        <f t="shared" si="14"/>
        <v>2.3201856148491462E-3</v>
      </c>
      <c r="K102" s="331">
        <f t="shared" si="15"/>
        <v>9.0259496051148247E-4</v>
      </c>
      <c r="L102" s="331">
        <f t="shared" si="16"/>
        <v>-2.2703273495248144E-2</v>
      </c>
      <c r="M102" s="332">
        <f t="shared" si="17"/>
        <v>1.8792039387004911E-2</v>
      </c>
    </row>
    <row r="103" spans="2:13">
      <c r="B103" s="396">
        <v>45635</v>
      </c>
      <c r="C103" s="340">
        <v>193.65</v>
      </c>
      <c r="D103" s="340">
        <v>159.47</v>
      </c>
      <c r="E103" s="340">
        <v>132.94999999999999</v>
      </c>
      <c r="F103" s="340">
        <v>18.940000000000001</v>
      </c>
      <c r="G103" s="341">
        <v>144.21</v>
      </c>
      <c r="H103" s="326"/>
      <c r="I103" s="330">
        <f t="shared" si="13"/>
        <v>0.10847166571265032</v>
      </c>
      <c r="J103" s="331">
        <f t="shared" si="14"/>
        <v>1.0647062551492503E-2</v>
      </c>
      <c r="K103" s="331">
        <f t="shared" si="15"/>
        <v>-1.3211608401989205E-2</v>
      </c>
      <c r="L103" s="331">
        <f t="shared" si="16"/>
        <v>-1.0449320794148398E-2</v>
      </c>
      <c r="M103" s="332">
        <f t="shared" si="17"/>
        <v>-4.5219809322033844E-2</v>
      </c>
    </row>
    <row r="104" spans="2:13">
      <c r="B104" s="396">
        <v>45632</v>
      </c>
      <c r="C104" s="340">
        <v>174.7</v>
      </c>
      <c r="D104" s="340">
        <v>157.79</v>
      </c>
      <c r="E104" s="340">
        <v>134.72999999999999</v>
      </c>
      <c r="F104" s="340">
        <v>19.14</v>
      </c>
      <c r="G104" s="341">
        <v>151.04</v>
      </c>
      <c r="H104" s="326"/>
      <c r="I104" s="330">
        <f t="shared" si="13"/>
        <v>1.1461318051575464E-3</v>
      </c>
      <c r="J104" s="331">
        <f t="shared" si="14"/>
        <v>-1.6823478098323963E-2</v>
      </c>
      <c r="K104" s="331">
        <f t="shared" si="15"/>
        <v>-2.4755700325733043E-2</v>
      </c>
      <c r="L104" s="331">
        <f t="shared" si="16"/>
        <v>0</v>
      </c>
      <c r="M104" s="332">
        <f t="shared" si="17"/>
        <v>-4.4163206116935028E-3</v>
      </c>
    </row>
    <row r="105" spans="2:13">
      <c r="B105" s="396">
        <v>45631</v>
      </c>
      <c r="C105" s="340">
        <v>174.5</v>
      </c>
      <c r="D105" s="340">
        <v>160.49</v>
      </c>
      <c r="E105" s="340">
        <v>138.15</v>
      </c>
      <c r="F105" s="340">
        <v>19.14</v>
      </c>
      <c r="G105" s="341">
        <v>151.71</v>
      </c>
      <c r="H105" s="326"/>
      <c r="I105" s="330">
        <f t="shared" si="13"/>
        <v>-1.8946421543824199E-2</v>
      </c>
      <c r="J105" s="331">
        <f t="shared" si="14"/>
        <v>1.9353227618927882E-3</v>
      </c>
      <c r="K105" s="331">
        <f t="shared" si="15"/>
        <v>9.9422472402954654E-3</v>
      </c>
      <c r="L105" s="331">
        <f t="shared" si="16"/>
        <v>-8.8037286380112656E-3</v>
      </c>
      <c r="M105" s="332">
        <f t="shared" si="17"/>
        <v>-1.5189873417721489E-2</v>
      </c>
    </row>
    <row r="106" spans="2:13">
      <c r="B106" s="396">
        <v>45630</v>
      </c>
      <c r="C106" s="340">
        <v>177.87</v>
      </c>
      <c r="D106" s="340">
        <v>160.18</v>
      </c>
      <c r="E106" s="340">
        <v>136.79</v>
      </c>
      <c r="F106" s="340">
        <v>19.309999999999999</v>
      </c>
      <c r="G106" s="341">
        <v>154.05000000000001</v>
      </c>
      <c r="H106" s="326"/>
      <c r="I106" s="330">
        <f t="shared" si="13"/>
        <v>-8.9703588143524859E-3</v>
      </c>
      <c r="J106" s="331">
        <f t="shared" si="14"/>
        <v>-9.4001236858378689E-3</v>
      </c>
      <c r="K106" s="331">
        <f t="shared" si="15"/>
        <v>-1.461881441415791E-4</v>
      </c>
      <c r="L106" s="331">
        <f t="shared" si="16"/>
        <v>-1.5511892450880138E-3</v>
      </c>
      <c r="M106" s="332">
        <f t="shared" si="17"/>
        <v>1.9388565378507083E-2</v>
      </c>
    </row>
    <row r="107" spans="2:13">
      <c r="B107" s="396">
        <v>45629</v>
      </c>
      <c r="C107" s="340">
        <v>179.48</v>
      </c>
      <c r="D107" s="340">
        <v>161.69999999999999</v>
      </c>
      <c r="E107" s="340">
        <v>136.81</v>
      </c>
      <c r="F107" s="340">
        <v>19.34</v>
      </c>
      <c r="G107" s="341">
        <v>151.12</v>
      </c>
      <c r="H107" s="326"/>
      <c r="I107" s="330">
        <f t="shared" si="13"/>
        <v>9.3352828703183732E-3</v>
      </c>
      <c r="J107" s="331">
        <f t="shared" si="14"/>
        <v>-8.2796688132475982E-3</v>
      </c>
      <c r="K107" s="331">
        <f t="shared" si="15"/>
        <v>-1.9704786471768432E-2</v>
      </c>
      <c r="L107" s="331">
        <f t="shared" si="16"/>
        <v>-5.6555269922878848E-3</v>
      </c>
      <c r="M107" s="332">
        <f t="shared" si="17"/>
        <v>1.3252054068382257E-3</v>
      </c>
    </row>
    <row r="108" spans="2:13">
      <c r="B108" s="396">
        <v>45628</v>
      </c>
      <c r="C108" s="340">
        <v>177.82</v>
      </c>
      <c r="D108" s="340">
        <v>163.05000000000001</v>
      </c>
      <c r="E108" s="340">
        <v>139.56</v>
      </c>
      <c r="F108" s="340">
        <v>19.45</v>
      </c>
      <c r="G108" s="341">
        <v>150.91999999999999</v>
      </c>
      <c r="H108" s="326"/>
      <c r="I108" s="330">
        <f t="shared" si="13"/>
        <v>9.5951853744393745E-3</v>
      </c>
      <c r="J108" s="331">
        <f t="shared" si="14"/>
        <v>-2.4472315692870561E-3</v>
      </c>
      <c r="K108" s="331">
        <f t="shared" si="15"/>
        <v>1.5069967707213028E-3</v>
      </c>
      <c r="L108" s="331">
        <f t="shared" si="16"/>
        <v>-2.0151133501259522E-2</v>
      </c>
      <c r="M108" s="332">
        <f t="shared" si="17"/>
        <v>-2.3045054375971041E-2</v>
      </c>
    </row>
    <row r="109" spans="2:13">
      <c r="B109" s="396">
        <v>45625</v>
      </c>
      <c r="C109" s="340">
        <v>176.13</v>
      </c>
      <c r="D109" s="340">
        <v>163.44999999999999</v>
      </c>
      <c r="E109" s="340">
        <v>139.35</v>
      </c>
      <c r="F109" s="340">
        <v>19.850000000000001</v>
      </c>
      <c r="G109" s="341">
        <v>154.47999999999999</v>
      </c>
      <c r="H109" s="326"/>
      <c r="I109" s="330">
        <f t="shared" si="13"/>
        <v>0</v>
      </c>
      <c r="J109" s="331">
        <f t="shared" si="14"/>
        <v>0</v>
      </c>
      <c r="K109" s="331">
        <f t="shared" si="15"/>
        <v>0</v>
      </c>
      <c r="L109" s="331">
        <f t="shared" si="16"/>
        <v>0</v>
      </c>
      <c r="M109" s="332">
        <f t="shared" si="17"/>
        <v>0</v>
      </c>
    </row>
    <row r="110" spans="2:13">
      <c r="B110" s="396">
        <v>45624</v>
      </c>
      <c r="C110" s="340">
        <v>176.13</v>
      </c>
      <c r="D110" s="340">
        <v>163.44999999999999</v>
      </c>
      <c r="E110" s="340">
        <v>139.35</v>
      </c>
      <c r="F110" s="340">
        <v>19.850000000000001</v>
      </c>
      <c r="G110" s="341">
        <v>154.47999999999999</v>
      </c>
      <c r="H110" s="326"/>
      <c r="I110" s="330">
        <f t="shared" si="13"/>
        <v>1.1718076856798154E-2</v>
      </c>
      <c r="J110" s="331">
        <f t="shared" si="14"/>
        <v>4.4862340216322849E-3</v>
      </c>
      <c r="K110" s="331">
        <f t="shared" si="15"/>
        <v>1.0775862068965747E-3</v>
      </c>
      <c r="L110" s="331">
        <f t="shared" si="16"/>
        <v>1.1722731906218087E-2</v>
      </c>
      <c r="M110" s="332">
        <f t="shared" si="17"/>
        <v>1.6516417714022458E-2</v>
      </c>
    </row>
    <row r="111" spans="2:13">
      <c r="B111" s="396">
        <v>45623</v>
      </c>
      <c r="C111" s="340">
        <v>174.09</v>
      </c>
      <c r="D111" s="340">
        <v>162.72</v>
      </c>
      <c r="E111" s="340">
        <v>139.19999999999999</v>
      </c>
      <c r="F111" s="340">
        <v>19.62</v>
      </c>
      <c r="G111" s="341">
        <v>151.97</v>
      </c>
      <c r="H111" s="326"/>
      <c r="I111" s="330">
        <f t="shared" si="13"/>
        <v>4.6165387500722854E-3</v>
      </c>
      <c r="J111" s="331">
        <f t="shared" si="14"/>
        <v>3.453379378391741E-3</v>
      </c>
      <c r="K111" s="331">
        <f t="shared" si="15"/>
        <v>-3.7930294138696086E-3</v>
      </c>
      <c r="L111" s="331">
        <f t="shared" si="16"/>
        <v>4.0941658137154668E-3</v>
      </c>
      <c r="M111" s="332">
        <f t="shared" si="17"/>
        <v>-8.7404605048594375E-3</v>
      </c>
    </row>
    <row r="112" spans="2:13">
      <c r="B112" s="396">
        <v>45622</v>
      </c>
      <c r="C112" s="340">
        <v>173.29</v>
      </c>
      <c r="D112" s="340">
        <v>162.16</v>
      </c>
      <c r="E112" s="340">
        <v>139.72999999999999</v>
      </c>
      <c r="F112" s="340">
        <v>19.54</v>
      </c>
      <c r="G112" s="341">
        <v>153.31</v>
      </c>
      <c r="H112" s="326"/>
      <c r="I112" s="330">
        <f t="shared" si="13"/>
        <v>-1.281759143215222E-2</v>
      </c>
      <c r="J112" s="331">
        <f t="shared" si="14"/>
        <v>-5.458448328733656E-3</v>
      </c>
      <c r="K112" s="331">
        <f t="shared" si="15"/>
        <v>4.2403334770735324E-3</v>
      </c>
      <c r="L112" s="331">
        <f t="shared" si="16"/>
        <v>8.2559339525283271E-3</v>
      </c>
      <c r="M112" s="332">
        <f t="shared" si="17"/>
        <v>3.6018380862278709E-2</v>
      </c>
    </row>
    <row r="113" spans="2:13">
      <c r="B113" s="396">
        <v>45621</v>
      </c>
      <c r="C113" s="340">
        <v>175.54</v>
      </c>
      <c r="D113" s="340">
        <v>163.05000000000001</v>
      </c>
      <c r="E113" s="340">
        <v>139.13999999999999</v>
      </c>
      <c r="F113" s="340">
        <v>19.38</v>
      </c>
      <c r="G113" s="341">
        <v>147.97999999999999</v>
      </c>
      <c r="H113" s="326"/>
      <c r="I113" s="330">
        <f t="shared" si="13"/>
        <v>4.1759624735426826E-3</v>
      </c>
      <c r="J113" s="331">
        <f t="shared" si="14"/>
        <v>6.4814814814815325E-3</v>
      </c>
      <c r="K113" s="331">
        <f t="shared" si="15"/>
        <v>5.2015604681403538E-3</v>
      </c>
      <c r="L113" s="331">
        <f t="shared" si="16"/>
        <v>5.162622612286949E-4</v>
      </c>
      <c r="M113" s="332">
        <f t="shared" si="17"/>
        <v>5.7772038333445686E-3</v>
      </c>
    </row>
    <row r="114" spans="2:13">
      <c r="B114" s="396">
        <v>45618</v>
      </c>
      <c r="C114" s="340">
        <v>174.81</v>
      </c>
      <c r="D114" s="340">
        <v>162</v>
      </c>
      <c r="E114" s="340">
        <v>138.41999999999999</v>
      </c>
      <c r="F114" s="340">
        <v>19.37</v>
      </c>
      <c r="G114" s="341">
        <v>147.13</v>
      </c>
      <c r="H114" s="326"/>
      <c r="I114" s="330">
        <f t="shared" si="13"/>
        <v>-8.0022863675333067E-4</v>
      </c>
      <c r="J114" s="331">
        <f t="shared" si="14"/>
        <v>1.0352999875264945E-2</v>
      </c>
      <c r="K114" s="331">
        <f t="shared" si="15"/>
        <v>1.0143764139239453E-2</v>
      </c>
      <c r="L114" s="331">
        <f t="shared" si="16"/>
        <v>1.626442812172102E-2</v>
      </c>
      <c r="M114" s="332">
        <f t="shared" si="17"/>
        <v>8.4995544588388761E-3</v>
      </c>
    </row>
    <row r="115" spans="2:13">
      <c r="B115" s="396">
        <v>45617</v>
      </c>
      <c r="C115" s="340">
        <v>174.95</v>
      </c>
      <c r="D115" s="340">
        <v>160.34</v>
      </c>
      <c r="E115" s="340">
        <v>137.03</v>
      </c>
      <c r="F115" s="340">
        <v>19.059999999999999</v>
      </c>
      <c r="G115" s="341">
        <v>145.88999999999999</v>
      </c>
      <c r="H115" s="326"/>
      <c r="I115" s="330">
        <f t="shared" si="13"/>
        <v>5.4597701149423639E-3</v>
      </c>
      <c r="J115" s="331">
        <f t="shared" si="14"/>
        <v>1.0079375078745123E-2</v>
      </c>
      <c r="K115" s="331">
        <f t="shared" si="15"/>
        <v>4.8397741438732655E-3</v>
      </c>
      <c r="L115" s="331">
        <f t="shared" si="16"/>
        <v>-3.138075313807609E-3</v>
      </c>
      <c r="M115" s="332">
        <f t="shared" si="17"/>
        <v>2.1996497373029777E-2</v>
      </c>
    </row>
    <row r="116" spans="2:13">
      <c r="B116" s="396">
        <v>45616</v>
      </c>
      <c r="C116" s="340">
        <v>174</v>
      </c>
      <c r="D116" s="340">
        <v>158.74</v>
      </c>
      <c r="E116" s="340">
        <v>136.37</v>
      </c>
      <c r="F116" s="340">
        <v>19.12</v>
      </c>
      <c r="G116" s="341">
        <v>142.75</v>
      </c>
      <c r="H116" s="326"/>
      <c r="I116" s="330">
        <f t="shared" si="13"/>
        <v>2.2086466165413432E-2</v>
      </c>
      <c r="J116" s="331">
        <f t="shared" si="14"/>
        <v>1.2889229198570717E-2</v>
      </c>
      <c r="K116" s="331">
        <f t="shared" si="15"/>
        <v>5.604306467074549E-3</v>
      </c>
      <c r="L116" s="331">
        <f t="shared" si="16"/>
        <v>-7.7841203943953552E-3</v>
      </c>
      <c r="M116" s="332">
        <f t="shared" si="17"/>
        <v>-4.810373675404378E-3</v>
      </c>
    </row>
    <row r="117" spans="2:13">
      <c r="B117" s="396">
        <v>45615</v>
      </c>
      <c r="C117" s="340">
        <v>170.24</v>
      </c>
      <c r="D117" s="340">
        <v>156.72</v>
      </c>
      <c r="E117" s="340">
        <v>135.61000000000001</v>
      </c>
      <c r="F117" s="340">
        <v>19.27</v>
      </c>
      <c r="G117" s="341">
        <v>143.44</v>
      </c>
      <c r="H117" s="326"/>
      <c r="I117" s="330">
        <f t="shared" si="13"/>
        <v>1.4706747455732749E-3</v>
      </c>
      <c r="J117" s="331">
        <f t="shared" si="14"/>
        <v>-1.0168635129160664E-2</v>
      </c>
      <c r="K117" s="331">
        <f t="shared" si="15"/>
        <v>-2.9409602235127563E-3</v>
      </c>
      <c r="L117" s="331">
        <f t="shared" si="16"/>
        <v>1.3677012098895158E-2</v>
      </c>
      <c r="M117" s="332">
        <f t="shared" si="17"/>
        <v>1.4283693961250288E-2</v>
      </c>
    </row>
    <row r="118" spans="2:13">
      <c r="B118" s="396">
        <v>45614</v>
      </c>
      <c r="C118" s="340">
        <v>169.99</v>
      </c>
      <c r="D118" s="340">
        <v>158.33000000000001</v>
      </c>
      <c r="E118" s="340">
        <v>136.01</v>
      </c>
      <c r="F118" s="340">
        <v>19.010000000000002</v>
      </c>
      <c r="G118" s="341">
        <v>141.41999999999999</v>
      </c>
      <c r="H118" s="326"/>
      <c r="I118" s="330">
        <f t="shared" si="13"/>
        <v>-5.4411420547623157E-3</v>
      </c>
      <c r="J118" s="331">
        <f t="shared" si="14"/>
        <v>-1.8282688185600193E-3</v>
      </c>
      <c r="K118" s="331">
        <f t="shared" si="15"/>
        <v>1.4394391408114382E-2</v>
      </c>
      <c r="L118" s="331">
        <f t="shared" si="16"/>
        <v>6.8855932203391035E-3</v>
      </c>
      <c r="M118" s="332">
        <f t="shared" si="17"/>
        <v>-4.0845070422536045E-3</v>
      </c>
    </row>
    <row r="119" spans="2:13">
      <c r="B119" s="396">
        <v>45611</v>
      </c>
      <c r="C119" s="340">
        <v>170.92</v>
      </c>
      <c r="D119" s="340">
        <v>158.62</v>
      </c>
      <c r="E119" s="340">
        <v>134.08000000000001</v>
      </c>
      <c r="F119" s="340">
        <v>18.88</v>
      </c>
      <c r="G119" s="341">
        <v>142</v>
      </c>
      <c r="H119" s="326"/>
      <c r="I119" s="330">
        <f t="shared" si="13"/>
        <v>-4.4819492567341079E-2</v>
      </c>
      <c r="J119" s="331">
        <f t="shared" si="14"/>
        <v>-3.953981229185588E-2</v>
      </c>
      <c r="K119" s="331">
        <f t="shared" si="15"/>
        <v>1.8226002430133725E-2</v>
      </c>
      <c r="L119" s="331">
        <f t="shared" si="16"/>
        <v>-1.1518324607329933E-2</v>
      </c>
      <c r="M119" s="332">
        <f t="shared" si="17"/>
        <v>1.1986180638792199E-3</v>
      </c>
    </row>
    <row r="120" spans="2:13">
      <c r="B120" s="396">
        <v>45610</v>
      </c>
      <c r="C120" s="340">
        <v>178.94</v>
      </c>
      <c r="D120" s="340">
        <v>165.15</v>
      </c>
      <c r="E120" s="340">
        <v>131.68</v>
      </c>
      <c r="F120" s="340">
        <v>19.100000000000001</v>
      </c>
      <c r="G120" s="341">
        <v>141.83000000000001</v>
      </c>
      <c r="H120" s="326"/>
      <c r="I120" s="330">
        <f t="shared" si="13"/>
        <v>-2.9872594198969815E-2</v>
      </c>
      <c r="J120" s="331">
        <f t="shared" si="14"/>
        <v>2.4887701833191667E-3</v>
      </c>
      <c r="K120" s="331">
        <f t="shared" si="15"/>
        <v>-3.8580830622587658E-3</v>
      </c>
      <c r="L120" s="331">
        <f t="shared" si="16"/>
        <v>0</v>
      </c>
      <c r="M120" s="332">
        <f t="shared" si="17"/>
        <v>-2.4888277758679744E-2</v>
      </c>
    </row>
    <row r="121" spans="2:13">
      <c r="B121" s="396">
        <v>45609</v>
      </c>
      <c r="C121" s="340">
        <v>184.45</v>
      </c>
      <c r="D121" s="340">
        <v>164.74</v>
      </c>
      <c r="E121" s="340">
        <v>132.19</v>
      </c>
      <c r="F121" s="340">
        <v>19.100000000000001</v>
      </c>
      <c r="G121" s="341">
        <v>145.44999999999999</v>
      </c>
      <c r="H121" s="326"/>
      <c r="I121" s="330">
        <f t="shared" si="13"/>
        <v>1.6253443526170752E-2</v>
      </c>
      <c r="J121" s="331">
        <f t="shared" si="14"/>
        <v>2.4339783375928459E-3</v>
      </c>
      <c r="K121" s="331">
        <f t="shared" si="15"/>
        <v>3.7838655970956481E-4</v>
      </c>
      <c r="L121" s="331">
        <f t="shared" si="16"/>
        <v>-2.1516393442622905E-2</v>
      </c>
      <c r="M121" s="332">
        <f t="shared" si="17"/>
        <v>-4.2445402889026429E-3</v>
      </c>
    </row>
    <row r="122" spans="2:13">
      <c r="B122" s="396">
        <v>45608</v>
      </c>
      <c r="C122" s="340">
        <v>181.5</v>
      </c>
      <c r="D122" s="340">
        <v>164.34</v>
      </c>
      <c r="E122" s="340">
        <v>132.13999999999999</v>
      </c>
      <c r="F122" s="340">
        <v>19.52</v>
      </c>
      <c r="G122" s="341">
        <v>146.07</v>
      </c>
      <c r="H122" s="326"/>
      <c r="I122" s="330">
        <f t="shared" si="13"/>
        <v>1.6749761918099848E-2</v>
      </c>
      <c r="J122" s="331">
        <f t="shared" si="14"/>
        <v>4.8703275295269854E-4</v>
      </c>
      <c r="K122" s="331">
        <f t="shared" si="15"/>
        <v>-8.4046225423983767E-3</v>
      </c>
      <c r="L122" s="331">
        <f t="shared" si="16"/>
        <v>8.2644628099173278E-3</v>
      </c>
      <c r="M122" s="332">
        <f t="shared" si="17"/>
        <v>-3.0032079721520333E-3</v>
      </c>
    </row>
    <row r="123" spans="2:13">
      <c r="B123" s="396">
        <v>45607</v>
      </c>
      <c r="C123" s="340">
        <v>178.51</v>
      </c>
      <c r="D123" s="340">
        <v>164.26</v>
      </c>
      <c r="E123" s="340">
        <v>133.26</v>
      </c>
      <c r="F123" s="340">
        <v>19.36</v>
      </c>
      <c r="G123" s="341">
        <v>146.51</v>
      </c>
      <c r="H123" s="326"/>
      <c r="I123" s="330">
        <f t="shared" si="13"/>
        <v>1.6166676154152793E-2</v>
      </c>
      <c r="J123" s="331">
        <f t="shared" si="14"/>
        <v>-5.1480830961179169E-3</v>
      </c>
      <c r="K123" s="331">
        <f t="shared" si="15"/>
        <v>-2.6195644038621291E-3</v>
      </c>
      <c r="L123" s="331">
        <f t="shared" si="16"/>
        <v>5.1921079958461291E-3</v>
      </c>
      <c r="M123" s="332">
        <f t="shared" si="17"/>
        <v>9.3696176369271189E-3</v>
      </c>
    </row>
    <row r="124" spans="2:13">
      <c r="B124" s="396">
        <v>45604</v>
      </c>
      <c r="C124" s="340">
        <v>175.67</v>
      </c>
      <c r="D124" s="340">
        <v>165.11</v>
      </c>
      <c r="E124" s="340">
        <v>133.61000000000001</v>
      </c>
      <c r="F124" s="340">
        <v>19.260000000000002</v>
      </c>
      <c r="G124" s="341">
        <v>145.15</v>
      </c>
      <c r="H124" s="326"/>
      <c r="I124" s="330">
        <f t="shared" si="13"/>
        <v>1.6314723748915183E-2</v>
      </c>
      <c r="J124" s="331">
        <f t="shared" si="14"/>
        <v>6.7682926829268908E-3</v>
      </c>
      <c r="K124" s="331">
        <f t="shared" si="15"/>
        <v>1.0283553875236384E-2</v>
      </c>
      <c r="L124" s="331">
        <f t="shared" si="16"/>
        <v>-4.1365046535676298E-3</v>
      </c>
      <c r="M124" s="332">
        <f t="shared" si="17"/>
        <v>3.1994312122289426E-2</v>
      </c>
    </row>
    <row r="125" spans="2:13">
      <c r="B125" s="396">
        <v>45603</v>
      </c>
      <c r="C125" s="340">
        <v>172.85</v>
      </c>
      <c r="D125" s="340">
        <v>164</v>
      </c>
      <c r="E125" s="340">
        <v>132.25</v>
      </c>
      <c r="F125" s="340">
        <v>19.34</v>
      </c>
      <c r="G125" s="341">
        <v>140.65</v>
      </c>
      <c r="H125" s="326"/>
      <c r="I125" s="330">
        <f t="shared" si="13"/>
        <v>-2.245221128831576E-2</v>
      </c>
      <c r="J125" s="331">
        <f t="shared" si="14"/>
        <v>-4.3106065205513744E-3</v>
      </c>
      <c r="K125" s="331">
        <f t="shared" si="15"/>
        <v>4.6338498936493444E-3</v>
      </c>
      <c r="L125" s="331">
        <f t="shared" si="16"/>
        <v>2.5994694960212117E-2</v>
      </c>
      <c r="M125" s="332">
        <f t="shared" si="17"/>
        <v>-1.4908419707511111E-3</v>
      </c>
    </row>
    <row r="126" spans="2:13">
      <c r="B126" s="396">
        <v>45602</v>
      </c>
      <c r="C126" s="340">
        <v>176.82</v>
      </c>
      <c r="D126" s="340">
        <v>164.71</v>
      </c>
      <c r="E126" s="340">
        <v>131.63999999999999</v>
      </c>
      <c r="F126" s="340">
        <v>18.850000000000001</v>
      </c>
      <c r="G126" s="341">
        <v>140.86000000000001</v>
      </c>
      <c r="H126" s="326"/>
      <c r="I126" s="330">
        <f t="shared" si="13"/>
        <v>-1.8266614846482843E-2</v>
      </c>
      <c r="J126" s="331">
        <f t="shared" si="14"/>
        <v>-1.8707179028894738E-2</v>
      </c>
      <c r="K126" s="331">
        <f t="shared" si="15"/>
        <v>-2.3659422977082456E-2</v>
      </c>
      <c r="L126" s="331">
        <f t="shared" si="16"/>
        <v>1.6172506738544534E-2</v>
      </c>
      <c r="M126" s="332">
        <f t="shared" si="17"/>
        <v>3.5050334337570765E-2</v>
      </c>
    </row>
    <row r="127" spans="2:13">
      <c r="B127" s="396">
        <v>45601</v>
      </c>
      <c r="C127" s="340">
        <v>180.11</v>
      </c>
      <c r="D127" s="340">
        <v>167.85</v>
      </c>
      <c r="E127" s="340">
        <v>134.83000000000001</v>
      </c>
      <c r="F127" s="340">
        <v>18.55</v>
      </c>
      <c r="G127" s="341">
        <v>136.09</v>
      </c>
      <c r="H127" s="326"/>
      <c r="I127" s="330">
        <f t="shared" si="13"/>
        <v>6.201117318435756E-3</v>
      </c>
      <c r="J127" s="331">
        <f t="shared" si="14"/>
        <v>9.0777924732474702E-3</v>
      </c>
      <c r="K127" s="331">
        <f t="shared" si="15"/>
        <v>8.1501420666965085E-3</v>
      </c>
      <c r="L127" s="331">
        <f t="shared" si="16"/>
        <v>5.4200542005420349E-3</v>
      </c>
      <c r="M127" s="332">
        <f t="shared" si="17"/>
        <v>3.2627665224979285E-2</v>
      </c>
    </row>
    <row r="128" spans="2:13">
      <c r="B128" s="396">
        <v>45600</v>
      </c>
      <c r="C128" s="340">
        <v>179</v>
      </c>
      <c r="D128" s="340">
        <v>166.34</v>
      </c>
      <c r="E128" s="340">
        <v>133.74</v>
      </c>
      <c r="F128" s="340">
        <v>18.45</v>
      </c>
      <c r="G128" s="341">
        <v>131.79</v>
      </c>
      <c r="H128" s="326"/>
      <c r="I128" s="330">
        <f t="shared" si="13"/>
        <v>-1.4504072297221171E-3</v>
      </c>
      <c r="J128" s="331">
        <f t="shared" si="14"/>
        <v>4.5292590132255395E-3</v>
      </c>
      <c r="K128" s="331">
        <f t="shared" si="15"/>
        <v>-6.4631156674839207E-3</v>
      </c>
      <c r="L128" s="331">
        <f t="shared" si="16"/>
        <v>-1.12540192926045E-2</v>
      </c>
      <c r="M128" s="332">
        <f t="shared" si="17"/>
        <v>1.2134244681667905E-2</v>
      </c>
    </row>
    <row r="129" spans="2:13">
      <c r="B129" s="396">
        <v>45597</v>
      </c>
      <c r="C129" s="340">
        <v>179.26</v>
      </c>
      <c r="D129" s="340">
        <v>165.59</v>
      </c>
      <c r="E129" s="340">
        <v>134.61000000000001</v>
      </c>
      <c r="F129" s="340">
        <v>18.66</v>
      </c>
      <c r="G129" s="341">
        <v>130.21</v>
      </c>
      <c r="H129" s="326"/>
      <c r="I129" s="330">
        <f t="shared" si="13"/>
        <v>9.4605248338774928E-3</v>
      </c>
      <c r="J129" s="331">
        <f t="shared" si="14"/>
        <v>-2.9503853564547544E-3</v>
      </c>
      <c r="K129" s="331">
        <f t="shared" si="15"/>
        <v>3.2046504695186773E-3</v>
      </c>
      <c r="L129" s="331">
        <f t="shared" si="16"/>
        <v>3.0939226519336893E-2</v>
      </c>
      <c r="M129" s="332">
        <f t="shared" si="17"/>
        <v>1.3859690103558364E-2</v>
      </c>
    </row>
    <row r="130" spans="2:13">
      <c r="B130" s="396">
        <v>45596</v>
      </c>
      <c r="C130" s="340">
        <v>177.58</v>
      </c>
      <c r="D130" s="340">
        <v>166.08</v>
      </c>
      <c r="E130" s="340">
        <v>134.18</v>
      </c>
      <c r="F130" s="340">
        <v>18.100000000000001</v>
      </c>
      <c r="G130" s="341">
        <v>128.43</v>
      </c>
      <c r="H130" s="326"/>
      <c r="I130" s="330">
        <f t="shared" si="13"/>
        <v>4.5070422535209431E-4</v>
      </c>
      <c r="J130" s="331">
        <f t="shared" si="14"/>
        <v>-7.8214307201729394E-4</v>
      </c>
      <c r="K130" s="331">
        <f t="shared" si="15"/>
        <v>-1.7111822037050306E-3</v>
      </c>
      <c r="L130" s="331">
        <f t="shared" si="16"/>
        <v>-7.1311025781678472E-3</v>
      </c>
      <c r="M130" s="332">
        <f t="shared" si="17"/>
        <v>8.0696735106025042E-2</v>
      </c>
    </row>
    <row r="131" spans="2:13">
      <c r="B131" s="396">
        <v>45595</v>
      </c>
      <c r="C131" s="340">
        <v>177.5</v>
      </c>
      <c r="D131" s="340">
        <v>166.21</v>
      </c>
      <c r="E131" s="340">
        <v>134.41</v>
      </c>
      <c r="F131" s="340">
        <v>18.23</v>
      </c>
      <c r="G131" s="341">
        <v>118.84</v>
      </c>
      <c r="H131" s="326"/>
      <c r="I131" s="330">
        <f t="shared" si="13"/>
        <v>-1.3998444617264849E-2</v>
      </c>
      <c r="J131" s="331">
        <f t="shared" si="14"/>
        <v>-7.7014925373133369E-3</v>
      </c>
      <c r="K131" s="331">
        <f t="shared" si="15"/>
        <v>-7.4343914950558698E-4</v>
      </c>
      <c r="L131" s="331">
        <f t="shared" si="16"/>
        <v>1.2215435868961677E-2</v>
      </c>
      <c r="M131" s="332">
        <f t="shared" si="17"/>
        <v>-7.1016793382905341E-3</v>
      </c>
    </row>
    <row r="132" spans="2:13">
      <c r="B132" s="396">
        <v>45594</v>
      </c>
      <c r="C132" s="340">
        <v>180.02</v>
      </c>
      <c r="D132" s="340">
        <v>167.5</v>
      </c>
      <c r="E132" s="340">
        <v>134.51</v>
      </c>
      <c r="F132" s="340">
        <v>18.010000000000002</v>
      </c>
      <c r="G132" s="341">
        <v>119.69</v>
      </c>
      <c r="H132" s="326"/>
      <c r="I132" s="330">
        <f t="shared" si="13"/>
        <v>-1.5477167076838882E-2</v>
      </c>
      <c r="J132" s="331">
        <f t="shared" si="14"/>
        <v>-1.3777673104097943E-2</v>
      </c>
      <c r="K132" s="331">
        <f t="shared" si="15"/>
        <v>-8.1846335348769728E-3</v>
      </c>
      <c r="L132" s="331">
        <f t="shared" si="16"/>
        <v>-1.7993456924754514E-2</v>
      </c>
      <c r="M132" s="332">
        <f t="shared" si="17"/>
        <v>-4.0772175070727945E-3</v>
      </c>
    </row>
    <row r="133" spans="2:13">
      <c r="B133" s="396">
        <v>45593</v>
      </c>
      <c r="C133" s="340">
        <v>182.85</v>
      </c>
      <c r="D133" s="340">
        <v>169.84</v>
      </c>
      <c r="E133" s="340">
        <v>135.62</v>
      </c>
      <c r="F133" s="340">
        <v>18.34</v>
      </c>
      <c r="G133" s="341">
        <v>120.18</v>
      </c>
      <c r="H133" s="326"/>
      <c r="I133" s="330">
        <f t="shared" si="13"/>
        <v>8.7719298245614308E-3</v>
      </c>
      <c r="J133" s="331">
        <f t="shared" si="14"/>
        <v>-1.1351068164619504E-2</v>
      </c>
      <c r="K133" s="331">
        <f t="shared" si="15"/>
        <v>7.3789846517113844E-4</v>
      </c>
      <c r="L133" s="331">
        <f t="shared" si="16"/>
        <v>-3.8022813688213253E-3</v>
      </c>
      <c r="M133" s="332">
        <f t="shared" si="17"/>
        <v>7.2075092189072265E-3</v>
      </c>
    </row>
    <row r="134" spans="2:13">
      <c r="B134" s="396">
        <v>45590</v>
      </c>
      <c r="C134" s="340">
        <v>181.26</v>
      </c>
      <c r="D134" s="340">
        <v>171.79</v>
      </c>
      <c r="E134" s="340">
        <v>135.52000000000001</v>
      </c>
      <c r="F134" s="340">
        <v>18.41</v>
      </c>
      <c r="G134" s="341">
        <v>119.32</v>
      </c>
      <c r="H134" s="326"/>
      <c r="I134" s="330">
        <f t="shared" si="13"/>
        <v>-5.159165751920991E-3</v>
      </c>
      <c r="J134" s="331">
        <f t="shared" si="14"/>
        <v>-2.1491635687732602E-3</v>
      </c>
      <c r="K134" s="331">
        <f t="shared" si="15"/>
        <v>-1.0875118604481315E-2</v>
      </c>
      <c r="L134" s="331">
        <f t="shared" si="16"/>
        <v>-1.917954182205639E-2</v>
      </c>
      <c r="M134" s="332">
        <f t="shared" si="17"/>
        <v>4.5462199023404981E-3</v>
      </c>
    </row>
    <row r="135" spans="2:13">
      <c r="B135" s="396">
        <v>45589</v>
      </c>
      <c r="C135" s="340">
        <v>182.2</v>
      </c>
      <c r="D135" s="340">
        <v>172.16</v>
      </c>
      <c r="E135" s="340">
        <v>137.01</v>
      </c>
      <c r="F135" s="340">
        <v>18.77</v>
      </c>
      <c r="G135" s="341">
        <v>118.78</v>
      </c>
      <c r="H135" s="326"/>
      <c r="I135" s="330">
        <f t="shared" si="13"/>
        <v>1.2089240575887672E-3</v>
      </c>
      <c r="J135" s="331">
        <f t="shared" si="14"/>
        <v>-4.5677941601618421E-3</v>
      </c>
      <c r="K135" s="331">
        <f t="shared" si="15"/>
        <v>8.7661626123169967E-4</v>
      </c>
      <c r="L135" s="331">
        <f t="shared" si="16"/>
        <v>-8.9757127771912248E-3</v>
      </c>
      <c r="M135" s="332">
        <f t="shared" si="17"/>
        <v>-5.8897770298693697E-4</v>
      </c>
    </row>
    <row r="136" spans="2:13">
      <c r="B136" s="396">
        <v>45588</v>
      </c>
      <c r="C136" s="340">
        <v>181.98</v>
      </c>
      <c r="D136" s="340">
        <v>172.95</v>
      </c>
      <c r="E136" s="340">
        <v>136.88999999999999</v>
      </c>
      <c r="F136" s="340">
        <v>18.940000000000001</v>
      </c>
      <c r="G136" s="341">
        <v>118.85</v>
      </c>
      <c r="H136" s="326"/>
      <c r="I136" s="330">
        <f t="shared" si="13"/>
        <v>-8.1212187278574266E-3</v>
      </c>
      <c r="J136" s="331">
        <f t="shared" si="14"/>
        <v>-8.1436026839479814E-3</v>
      </c>
      <c r="K136" s="331">
        <f t="shared" si="15"/>
        <v>-6.2431941923776213E-3</v>
      </c>
      <c r="L136" s="331">
        <f t="shared" si="16"/>
        <v>2.1574973031283751E-2</v>
      </c>
      <c r="M136" s="332">
        <f t="shared" si="17"/>
        <v>4.9040331444998309E-3</v>
      </c>
    </row>
    <row r="137" spans="2:13">
      <c r="B137" s="396">
        <v>45587</v>
      </c>
      <c r="C137" s="340">
        <v>183.47</v>
      </c>
      <c r="D137" s="340">
        <v>174.37</v>
      </c>
      <c r="E137" s="340">
        <v>137.75</v>
      </c>
      <c r="F137" s="340">
        <v>18.54</v>
      </c>
      <c r="G137" s="341">
        <v>118.27</v>
      </c>
      <c r="H137" s="326"/>
      <c r="I137" s="330">
        <f t="shared" si="13"/>
        <v>-6.4980776520279226E-3</v>
      </c>
      <c r="J137" s="331">
        <f t="shared" si="14"/>
        <v>-3.6569338894919534E-3</v>
      </c>
      <c r="K137" s="331">
        <f t="shared" si="15"/>
        <v>-4.4795783926218746E-2</v>
      </c>
      <c r="L137" s="331">
        <f t="shared" si="16"/>
        <v>-1.0672358591248599E-2</v>
      </c>
      <c r="M137" s="332">
        <f t="shared" si="17"/>
        <v>7.2389712144438345E-3</v>
      </c>
    </row>
    <row r="138" spans="2:13">
      <c r="B138" s="396">
        <v>45586</v>
      </c>
      <c r="C138" s="340">
        <v>184.67</v>
      </c>
      <c r="D138" s="340">
        <v>175.01</v>
      </c>
      <c r="E138" s="340">
        <v>144.21</v>
      </c>
      <c r="F138" s="340">
        <v>18.739999999999998</v>
      </c>
      <c r="G138" s="341">
        <v>117.42</v>
      </c>
      <c r="H138" s="326"/>
      <c r="I138" s="330">
        <f t="shared" si="13"/>
        <v>-5.4394657475227426E-3</v>
      </c>
      <c r="J138" s="331">
        <f t="shared" si="14"/>
        <v>-2.8561636010515645E-4</v>
      </c>
      <c r="K138" s="331">
        <f t="shared" si="15"/>
        <v>-8.2525273364967289E-3</v>
      </c>
      <c r="L138" s="331">
        <f t="shared" si="16"/>
        <v>-1.3684210526315854E-2</v>
      </c>
      <c r="M138" s="332">
        <f t="shared" si="17"/>
        <v>1.3989637305699576E-2</v>
      </c>
    </row>
    <row r="139" spans="2:13">
      <c r="B139" s="396">
        <v>45583</v>
      </c>
      <c r="C139" s="340">
        <v>185.68</v>
      </c>
      <c r="D139" s="340">
        <v>175.06</v>
      </c>
      <c r="E139" s="340">
        <v>145.41</v>
      </c>
      <c r="F139" s="340">
        <v>19</v>
      </c>
      <c r="G139" s="341">
        <v>115.8</v>
      </c>
      <c r="H139" s="326"/>
      <c r="I139" s="330">
        <f t="shared" si="13"/>
        <v>9.6791734638390636E-3</v>
      </c>
      <c r="J139" s="331">
        <f t="shared" si="14"/>
        <v>2.2327818171410385E-3</v>
      </c>
      <c r="K139" s="331">
        <f t="shared" si="15"/>
        <v>-4.6546649325758249E-3</v>
      </c>
      <c r="L139" s="331">
        <f t="shared" si="16"/>
        <v>3.0927835051546504E-2</v>
      </c>
      <c r="M139" s="332">
        <f t="shared" si="17"/>
        <v>-7.2867552507501765E-3</v>
      </c>
    </row>
    <row r="140" spans="2:13">
      <c r="B140" s="396">
        <v>45582</v>
      </c>
      <c r="C140" s="340">
        <v>183.9</v>
      </c>
      <c r="D140" s="340">
        <v>174.67</v>
      </c>
      <c r="E140" s="340">
        <v>146.09</v>
      </c>
      <c r="F140" s="340">
        <v>18.43</v>
      </c>
      <c r="G140" s="341">
        <v>116.65</v>
      </c>
      <c r="H140" s="326"/>
      <c r="I140" s="330">
        <f t="shared" si="13"/>
        <v>-4.9239759753260115E-3</v>
      </c>
      <c r="J140" s="331">
        <f t="shared" si="14"/>
        <v>1.0889500229251947E-3</v>
      </c>
      <c r="K140" s="331">
        <f t="shared" si="15"/>
        <v>1.0278196519117877E-3</v>
      </c>
      <c r="L140" s="331">
        <f t="shared" si="16"/>
        <v>6.5537957400327862E-3</v>
      </c>
      <c r="M140" s="332">
        <f t="shared" si="17"/>
        <v>-2.2239329398682228E-3</v>
      </c>
    </row>
    <row r="141" spans="2:13">
      <c r="B141" s="396">
        <v>45581</v>
      </c>
      <c r="C141" s="340">
        <v>184.81</v>
      </c>
      <c r="D141" s="340">
        <v>174.48</v>
      </c>
      <c r="E141" s="340">
        <v>145.94</v>
      </c>
      <c r="F141" s="340">
        <v>18.309999999999999</v>
      </c>
      <c r="G141" s="341">
        <v>116.91</v>
      </c>
      <c r="H141" s="326"/>
      <c r="I141" s="330">
        <f t="shared" si="13"/>
        <v>2.6040253892474219E-3</v>
      </c>
      <c r="J141" s="331">
        <f t="shared" si="14"/>
        <v>-8.0727686185333436E-3</v>
      </c>
      <c r="K141" s="331">
        <f t="shared" si="15"/>
        <v>4.888797080493168E-3</v>
      </c>
      <c r="L141" s="331">
        <f t="shared" si="16"/>
        <v>-7.5880758807588267E-3</v>
      </c>
      <c r="M141" s="332">
        <f t="shared" si="17"/>
        <v>3.4226063147069219E-4</v>
      </c>
    </row>
    <row r="142" spans="2:13">
      <c r="B142" s="396">
        <v>45580</v>
      </c>
      <c r="C142" s="340">
        <v>184.33</v>
      </c>
      <c r="D142" s="340">
        <v>175.9</v>
      </c>
      <c r="E142" s="340">
        <v>145.22999999999999</v>
      </c>
      <c r="F142" s="340">
        <v>18.45</v>
      </c>
      <c r="G142" s="341">
        <v>116.87</v>
      </c>
      <c r="H142" s="326"/>
      <c r="I142" s="330">
        <f t="shared" si="13"/>
        <v>-8.9784946236558527E-3</v>
      </c>
      <c r="J142" s="331">
        <f t="shared" si="14"/>
        <v>-1.1357183418511108E-3</v>
      </c>
      <c r="K142" s="331">
        <f t="shared" si="15"/>
        <v>1.1773721610700782E-2</v>
      </c>
      <c r="L142" s="331">
        <f t="shared" si="16"/>
        <v>1.0405257393208966E-2</v>
      </c>
      <c r="M142" s="332">
        <f t="shared" si="17"/>
        <v>1.3440860215053974E-2</v>
      </c>
    </row>
    <row r="143" spans="2:13">
      <c r="B143" s="396">
        <v>45579</v>
      </c>
      <c r="C143" s="340">
        <v>186</v>
      </c>
      <c r="D143" s="340">
        <v>176.1</v>
      </c>
      <c r="E143" s="340">
        <v>143.54</v>
      </c>
      <c r="F143" s="340">
        <v>18.260000000000002</v>
      </c>
      <c r="G143" s="341">
        <v>115.32</v>
      </c>
      <c r="H143" s="326"/>
      <c r="I143" s="330">
        <f t="shared" si="13"/>
        <v>1.0753844499422627E-4</v>
      </c>
      <c r="J143" s="331">
        <f t="shared" si="14"/>
        <v>7.3794405354383752E-3</v>
      </c>
      <c r="K143" s="331">
        <f t="shared" si="15"/>
        <v>9.0685413005271442E-3</v>
      </c>
      <c r="L143" s="331">
        <f t="shared" si="16"/>
        <v>-5.9880239520957446E-3</v>
      </c>
      <c r="M143" s="332">
        <f t="shared" si="17"/>
        <v>-6.8894247330348879E-3</v>
      </c>
    </row>
    <row r="144" spans="2:13">
      <c r="B144" s="396">
        <v>45576</v>
      </c>
      <c r="C144" s="340">
        <v>185.98</v>
      </c>
      <c r="D144" s="340">
        <v>174.81</v>
      </c>
      <c r="E144" s="340">
        <v>142.25</v>
      </c>
      <c r="F144" s="340">
        <v>18.37</v>
      </c>
      <c r="G144" s="341">
        <v>116.12</v>
      </c>
      <c r="H144" s="326"/>
      <c r="I144" s="330">
        <f t="shared" si="13"/>
        <v>-8.4768353148158004E-3</v>
      </c>
      <c r="J144" s="331">
        <f t="shared" si="14"/>
        <v>1.052083935487591E-2</v>
      </c>
      <c r="K144" s="331">
        <f t="shared" si="15"/>
        <v>8.4361264710053341E-3</v>
      </c>
      <c r="L144" s="331">
        <f t="shared" si="16"/>
        <v>3.8251366120218844E-3</v>
      </c>
      <c r="M144" s="332">
        <f t="shared" si="17"/>
        <v>2.8247587000796992E-2</v>
      </c>
    </row>
    <row r="145" spans="2:13">
      <c r="B145" s="396">
        <v>45575</v>
      </c>
      <c r="C145" s="340">
        <v>187.57</v>
      </c>
      <c r="D145" s="340">
        <v>172.99</v>
      </c>
      <c r="E145" s="340">
        <v>141.06</v>
      </c>
      <c r="F145" s="340">
        <v>18.3</v>
      </c>
      <c r="G145" s="341">
        <v>112.93</v>
      </c>
      <c r="H145" s="326"/>
      <c r="I145" s="330">
        <f t="shared" si="13"/>
        <v>3.2090709739529544E-3</v>
      </c>
      <c r="J145" s="331">
        <f t="shared" si="14"/>
        <v>2.608090877477709E-3</v>
      </c>
      <c r="K145" s="331">
        <f t="shared" si="15"/>
        <v>-7.8773385848923683E-3</v>
      </c>
      <c r="L145" s="331">
        <f t="shared" si="16"/>
        <v>-7.5921908893709089E-3</v>
      </c>
      <c r="M145" s="332">
        <f t="shared" si="17"/>
        <v>-7.6449912126537178E-3</v>
      </c>
    </row>
    <row r="146" spans="2:13">
      <c r="B146" s="396">
        <v>45574</v>
      </c>
      <c r="C146" s="340">
        <v>186.97</v>
      </c>
      <c r="D146" s="340">
        <v>172.54</v>
      </c>
      <c r="E146" s="340">
        <v>142.18</v>
      </c>
      <c r="F146" s="340">
        <v>18.440000000000001</v>
      </c>
      <c r="G146" s="341">
        <v>113.8</v>
      </c>
      <c r="H146" s="326"/>
      <c r="I146" s="330">
        <f t="shared" si="13"/>
        <v>-3.2519458364431708E-3</v>
      </c>
      <c r="J146" s="331">
        <f t="shared" si="14"/>
        <v>1.2439854477173995E-2</v>
      </c>
      <c r="K146" s="331">
        <f t="shared" si="15"/>
        <v>1.197098795859608E-3</v>
      </c>
      <c r="L146" s="331">
        <f t="shared" si="16"/>
        <v>1.0410958904109702E-2</v>
      </c>
      <c r="M146" s="332">
        <f t="shared" si="17"/>
        <v>-1.138041872991058E-2</v>
      </c>
    </row>
    <row r="147" spans="2:13">
      <c r="B147" s="396">
        <v>45573</v>
      </c>
      <c r="C147" s="340">
        <v>187.58</v>
      </c>
      <c r="D147" s="340">
        <v>170.42</v>
      </c>
      <c r="E147" s="340">
        <v>142.01</v>
      </c>
      <c r="F147" s="340">
        <v>18.25</v>
      </c>
      <c r="G147" s="341">
        <v>115.11</v>
      </c>
      <c r="H147" s="326"/>
      <c r="I147" s="330">
        <f t="shared" si="13"/>
        <v>2.6662400682564424E-4</v>
      </c>
      <c r="J147" s="331">
        <f t="shared" si="14"/>
        <v>1.9197416422462643E-2</v>
      </c>
      <c r="K147" s="331">
        <f t="shared" si="15"/>
        <v>8.7370365108678794E-3</v>
      </c>
      <c r="L147" s="331">
        <f t="shared" si="16"/>
        <v>0</v>
      </c>
      <c r="M147" s="332">
        <f t="shared" si="17"/>
        <v>1.8041920933934863E-2</v>
      </c>
    </row>
    <row r="148" spans="2:13">
      <c r="B148" s="396">
        <v>45572</v>
      </c>
      <c r="C148" s="340">
        <v>187.53</v>
      </c>
      <c r="D148" s="340">
        <v>167.21</v>
      </c>
      <c r="E148" s="340">
        <v>140.78</v>
      </c>
      <c r="F148" s="340">
        <v>18.25</v>
      </c>
      <c r="G148" s="341">
        <v>113.07</v>
      </c>
      <c r="H148" s="326"/>
      <c r="I148" s="330">
        <f t="shared" si="13"/>
        <v>-2.2466638865721422E-2</v>
      </c>
      <c r="J148" s="331">
        <f t="shared" si="14"/>
        <v>-4.5246174912185744E-3</v>
      </c>
      <c r="K148" s="331">
        <f t="shared" si="15"/>
        <v>-7.8075094044993687E-4</v>
      </c>
      <c r="L148" s="331">
        <f t="shared" si="16"/>
        <v>-1.7761033369214085E-2</v>
      </c>
      <c r="M148" s="332">
        <f t="shared" si="17"/>
        <v>1.5057573073515851E-3</v>
      </c>
    </row>
    <row r="149" spans="2:13">
      <c r="B149" s="396">
        <v>45569</v>
      </c>
      <c r="C149" s="340">
        <v>191.84</v>
      </c>
      <c r="D149" s="340">
        <v>167.97</v>
      </c>
      <c r="E149" s="340">
        <v>140.88999999999999</v>
      </c>
      <c r="F149" s="340">
        <v>18.579999999999998</v>
      </c>
      <c r="G149" s="341">
        <v>112.9</v>
      </c>
      <c r="H149" s="326"/>
      <c r="I149" s="330">
        <f t="shared" si="13"/>
        <v>4.4504947903030168E-3</v>
      </c>
      <c r="J149" s="331">
        <f t="shared" si="14"/>
        <v>-3.3228505310627376E-3</v>
      </c>
      <c r="K149" s="331">
        <f t="shared" si="15"/>
        <v>6.0696943730362829E-3</v>
      </c>
      <c r="L149" s="331">
        <f t="shared" si="16"/>
        <v>4.3243243243242802E-3</v>
      </c>
      <c r="M149" s="332">
        <f t="shared" si="17"/>
        <v>1.6750720461095048E-2</v>
      </c>
    </row>
    <row r="150" spans="2:13">
      <c r="B150" s="396">
        <v>45568</v>
      </c>
      <c r="C150" s="340">
        <v>190.99</v>
      </c>
      <c r="D150" s="340">
        <v>168.53</v>
      </c>
      <c r="E150" s="340">
        <v>140.04</v>
      </c>
      <c r="F150" s="340">
        <v>18.5</v>
      </c>
      <c r="G150" s="341">
        <v>111.04</v>
      </c>
      <c r="H150" s="326"/>
      <c r="I150" s="330">
        <f t="shared" si="13"/>
        <v>-1.2512279613256738E-2</v>
      </c>
      <c r="J150" s="331">
        <f t="shared" si="14"/>
        <v>-6.0159245060454891E-3</v>
      </c>
      <c r="K150" s="331">
        <f t="shared" si="15"/>
        <v>-1.2133182844243806E-2</v>
      </c>
      <c r="L150" s="331">
        <f t="shared" si="16"/>
        <v>-3.2327586206896131E-3</v>
      </c>
      <c r="M150" s="332">
        <f t="shared" si="17"/>
        <v>3.1619839190533128E-3</v>
      </c>
    </row>
    <row r="151" spans="2:13">
      <c r="B151" s="396">
        <v>45567</v>
      </c>
      <c r="C151" s="340">
        <v>193.41</v>
      </c>
      <c r="D151" s="340">
        <v>169.55</v>
      </c>
      <c r="E151" s="340">
        <v>141.76</v>
      </c>
      <c r="F151" s="340">
        <v>18.559999999999999</v>
      </c>
      <c r="G151" s="341">
        <v>110.69</v>
      </c>
      <c r="H151" s="326"/>
      <c r="I151" s="330">
        <f t="shared" si="13"/>
        <v>8.3415880298212119E-3</v>
      </c>
      <c r="J151" s="331">
        <f t="shared" si="14"/>
        <v>-1.0678025440541417E-2</v>
      </c>
      <c r="K151" s="331">
        <f t="shared" si="15"/>
        <v>-4.5642862158556952E-3</v>
      </c>
      <c r="L151" s="331">
        <f t="shared" si="16"/>
        <v>0</v>
      </c>
      <c r="M151" s="332">
        <f t="shared" si="17"/>
        <v>-2.5232044696764655E-3</v>
      </c>
    </row>
    <row r="152" spans="2:13">
      <c r="B152" s="396">
        <v>45566</v>
      </c>
      <c r="C152" s="340">
        <v>191.81</v>
      </c>
      <c r="D152" s="340">
        <v>171.38</v>
      </c>
      <c r="E152" s="340">
        <v>142.41</v>
      </c>
      <c r="F152" s="340">
        <v>18.559999999999999</v>
      </c>
      <c r="G152" s="341">
        <v>110.97</v>
      </c>
      <c r="H152" s="326"/>
      <c r="I152" s="330">
        <f t="shared" si="13"/>
        <v>1.5642924183967288E-4</v>
      </c>
      <c r="J152" s="331">
        <f t="shared" si="14"/>
        <v>7.8212290502792658E-3</v>
      </c>
      <c r="K152" s="331">
        <f t="shared" si="15"/>
        <v>9.1369131290419681E-4</v>
      </c>
      <c r="L152" s="331">
        <f t="shared" si="16"/>
        <v>4.3290043290042934E-3</v>
      </c>
      <c r="M152" s="332">
        <f t="shared" si="17"/>
        <v>5.0720043474323795E-3</v>
      </c>
    </row>
    <row r="153" spans="2:13">
      <c r="B153" s="396">
        <v>45565</v>
      </c>
      <c r="C153" s="340">
        <v>191.78</v>
      </c>
      <c r="D153" s="340">
        <v>170.05</v>
      </c>
      <c r="E153" s="340">
        <v>142.28</v>
      </c>
      <c r="F153" s="340">
        <v>18.48</v>
      </c>
      <c r="G153" s="341">
        <v>110.41</v>
      </c>
      <c r="H153" s="326"/>
      <c r="I153" s="330">
        <f t="shared" si="13"/>
        <v>-8.1712867190733007E-3</v>
      </c>
      <c r="J153" s="331">
        <f t="shared" si="14"/>
        <v>2.9411764705900012E-4</v>
      </c>
      <c r="K153" s="331">
        <f t="shared" si="15"/>
        <v>-1.8240493896449772E-3</v>
      </c>
      <c r="L153" s="331">
        <f t="shared" si="16"/>
        <v>-5.4083288263917506E-4</v>
      </c>
      <c r="M153" s="332">
        <f t="shared" si="17"/>
        <v>2.3357122995643742E-2</v>
      </c>
    </row>
    <row r="154" spans="2:13">
      <c r="B154" s="396">
        <v>45562</v>
      </c>
      <c r="C154" s="340">
        <v>193.36</v>
      </c>
      <c r="D154" s="340">
        <v>170</v>
      </c>
      <c r="E154" s="340">
        <v>142.54</v>
      </c>
      <c r="F154" s="340">
        <v>18.489999999999998</v>
      </c>
      <c r="G154" s="341">
        <v>107.89</v>
      </c>
      <c r="H154" s="326"/>
      <c r="I154" s="330">
        <f t="shared" si="13"/>
        <v>1.4906571488557674E-2</v>
      </c>
      <c r="J154" s="331">
        <f t="shared" si="14"/>
        <v>1.8268607460663056E-3</v>
      </c>
      <c r="K154" s="331">
        <f t="shared" si="15"/>
        <v>2.532001688001051E-3</v>
      </c>
      <c r="L154" s="331">
        <f t="shared" si="16"/>
        <v>-5.4054054054064604E-4</v>
      </c>
      <c r="M154" s="332">
        <f t="shared" si="17"/>
        <v>-5.3471005808057859E-3</v>
      </c>
    </row>
    <row r="155" spans="2:13">
      <c r="B155" s="396">
        <v>45561</v>
      </c>
      <c r="C155" s="340">
        <v>190.52</v>
      </c>
      <c r="D155" s="340">
        <v>169.69</v>
      </c>
      <c r="E155" s="340">
        <v>142.18</v>
      </c>
      <c r="F155" s="340">
        <v>18.5</v>
      </c>
      <c r="G155" s="341">
        <v>108.47</v>
      </c>
      <c r="H155" s="326"/>
      <c r="I155" s="330">
        <f t="shared" si="13"/>
        <v>-2.5130890052355026E-3</v>
      </c>
      <c r="J155" s="331">
        <f t="shared" si="14"/>
        <v>1.7119244391972099E-3</v>
      </c>
      <c r="K155" s="331">
        <f t="shared" si="15"/>
        <v>6.9405099150143812E-3</v>
      </c>
      <c r="L155" s="331">
        <f t="shared" si="16"/>
        <v>3.7981551817689585E-3</v>
      </c>
      <c r="M155" s="332">
        <f t="shared" si="17"/>
        <v>-1.516252042854549E-2</v>
      </c>
    </row>
    <row r="156" spans="2:13">
      <c r="B156" s="396">
        <v>45560</v>
      </c>
      <c r="C156" s="340">
        <v>191</v>
      </c>
      <c r="D156" s="340">
        <v>169.4</v>
      </c>
      <c r="E156" s="340">
        <v>141.19999999999999</v>
      </c>
      <c r="F156" s="340">
        <v>18.43</v>
      </c>
      <c r="G156" s="341">
        <v>110.14</v>
      </c>
      <c r="H156" s="326"/>
      <c r="I156" s="330">
        <f t="shared" si="13"/>
        <v>-1.2103030929967895E-2</v>
      </c>
      <c r="J156" s="331">
        <f t="shared" si="14"/>
        <v>-3.0602636534838856E-3</v>
      </c>
      <c r="K156" s="331">
        <f t="shared" si="15"/>
        <v>1.0634526763557695E-3</v>
      </c>
      <c r="L156" s="331">
        <f t="shared" si="16"/>
        <v>-4.8596112311014572E-3</v>
      </c>
      <c r="M156" s="332">
        <f t="shared" si="17"/>
        <v>1.3433934486565935E-2</v>
      </c>
    </row>
    <row r="157" spans="2:13">
      <c r="B157" s="396">
        <v>45559</v>
      </c>
      <c r="C157" s="340">
        <v>193.34</v>
      </c>
      <c r="D157" s="340">
        <v>169.92</v>
      </c>
      <c r="E157" s="340">
        <v>141.05000000000001</v>
      </c>
      <c r="F157" s="340">
        <v>18.52</v>
      </c>
      <c r="G157" s="341">
        <v>108.68</v>
      </c>
      <c r="H157" s="326"/>
      <c r="I157" s="330">
        <f t="shared" si="13"/>
        <v>-9.224146766424024E-3</v>
      </c>
      <c r="J157" s="331">
        <f t="shared" si="14"/>
        <v>-1.2724420428795735E-2</v>
      </c>
      <c r="K157" s="331">
        <f t="shared" si="15"/>
        <v>-1.1330642305785732E-3</v>
      </c>
      <c r="L157" s="331">
        <f t="shared" si="16"/>
        <v>-5.3966540744743163E-4</v>
      </c>
      <c r="M157" s="332">
        <f t="shared" si="17"/>
        <v>-1.9285517494719295E-3</v>
      </c>
    </row>
    <row r="158" spans="2:13">
      <c r="B158" s="396">
        <v>45558</v>
      </c>
      <c r="C158" s="340">
        <v>195.14</v>
      </c>
      <c r="D158" s="340">
        <v>172.11</v>
      </c>
      <c r="E158" s="340">
        <v>141.21</v>
      </c>
      <c r="F158" s="340">
        <v>18.53</v>
      </c>
      <c r="G158" s="341">
        <v>108.89</v>
      </c>
      <c r="H158" s="326"/>
      <c r="I158" s="330">
        <f t="shared" si="13"/>
        <v>-1.4839072813795928E-3</v>
      </c>
      <c r="J158" s="331">
        <f t="shared" si="14"/>
        <v>5.4328776726253469E-3</v>
      </c>
      <c r="K158" s="331">
        <f t="shared" si="15"/>
        <v>3.2682060390765155E-3</v>
      </c>
      <c r="L158" s="331">
        <f t="shared" si="16"/>
        <v>-7.4986609534012372E-3</v>
      </c>
      <c r="M158" s="332">
        <f t="shared" si="17"/>
        <v>3.0179754020813521E-2</v>
      </c>
    </row>
    <row r="159" spans="2:13">
      <c r="B159" s="396">
        <v>45555</v>
      </c>
      <c r="C159" s="340">
        <v>195.43</v>
      </c>
      <c r="D159" s="340">
        <v>171.18</v>
      </c>
      <c r="E159" s="340">
        <v>140.75</v>
      </c>
      <c r="F159" s="340">
        <v>18.670000000000002</v>
      </c>
      <c r="G159" s="341">
        <v>105.7</v>
      </c>
      <c r="H159" s="326"/>
      <c r="I159" s="330">
        <f t="shared" si="13"/>
        <v>-4.6031096563015073E-4</v>
      </c>
      <c r="J159" s="331">
        <f t="shared" si="14"/>
        <v>-1.992442459635857E-2</v>
      </c>
      <c r="K159" s="331">
        <f t="shared" si="15"/>
        <v>4.6395431834405088E-3</v>
      </c>
      <c r="L159" s="331">
        <f t="shared" si="16"/>
        <v>5.9267241379312718E-3</v>
      </c>
      <c r="M159" s="332">
        <f t="shared" si="17"/>
        <v>2.4658573596358924E-3</v>
      </c>
    </row>
    <row r="160" spans="2:13">
      <c r="B160" s="396">
        <v>45554</v>
      </c>
      <c r="C160" s="340">
        <v>195.52</v>
      </c>
      <c r="D160" s="340">
        <v>174.66</v>
      </c>
      <c r="E160" s="340">
        <v>140.1</v>
      </c>
      <c r="F160" s="340">
        <v>18.559999999999999</v>
      </c>
      <c r="G160" s="341">
        <v>105.44</v>
      </c>
      <c r="H160" s="326"/>
      <c r="I160" s="330">
        <f t="shared" si="13"/>
        <v>-1.0676516723169494E-2</v>
      </c>
      <c r="J160" s="331">
        <f t="shared" si="14"/>
        <v>-3.1390902345757032E-3</v>
      </c>
      <c r="K160" s="331">
        <f t="shared" si="15"/>
        <v>-7.368570213971859E-3</v>
      </c>
      <c r="L160" s="331">
        <f t="shared" si="16"/>
        <v>2.1598272138227959E-3</v>
      </c>
      <c r="M160" s="332">
        <f t="shared" si="17"/>
        <v>5.5311844363914453E-3</v>
      </c>
    </row>
    <row r="161" spans="2:13">
      <c r="B161" s="396">
        <v>45553</v>
      </c>
      <c r="C161" s="340">
        <v>197.63</v>
      </c>
      <c r="D161" s="340">
        <v>175.21</v>
      </c>
      <c r="E161" s="340">
        <v>141.13999999999999</v>
      </c>
      <c r="F161" s="340">
        <v>18.52</v>
      </c>
      <c r="G161" s="341">
        <v>104.86</v>
      </c>
      <c r="H161" s="326"/>
      <c r="I161" s="330">
        <f t="shared" si="13"/>
        <v>-8.2798073063027333E-3</v>
      </c>
      <c r="J161" s="331">
        <f t="shared" si="14"/>
        <v>-9.3854243229490875E-3</v>
      </c>
      <c r="K161" s="331">
        <f t="shared" si="15"/>
        <v>-3.670760976987264E-3</v>
      </c>
      <c r="L161" s="331">
        <f t="shared" si="16"/>
        <v>-1.0787486515642097E-3</v>
      </c>
      <c r="M161" s="332">
        <f t="shared" si="17"/>
        <v>-1.8440512964523093E-2</v>
      </c>
    </row>
    <row r="162" spans="2:13">
      <c r="B162" s="396">
        <v>45552</v>
      </c>
      <c r="C162" s="340">
        <v>199.28</v>
      </c>
      <c r="D162" s="340">
        <v>176.87</v>
      </c>
      <c r="E162" s="340">
        <v>141.66</v>
      </c>
      <c r="F162" s="340">
        <v>18.54</v>
      </c>
      <c r="G162" s="341">
        <v>106.83</v>
      </c>
      <c r="H162" s="326"/>
      <c r="I162" s="330">
        <f t="shared" si="13"/>
        <v>-7.6191424729844526E-3</v>
      </c>
      <c r="J162" s="331">
        <f t="shared" si="14"/>
        <v>-1.918627616951607E-3</v>
      </c>
      <c r="K162" s="331">
        <f t="shared" si="15"/>
        <v>-1.7614424410540841E-2</v>
      </c>
      <c r="L162" s="331">
        <f t="shared" si="16"/>
        <v>-1.6967126193001114E-2</v>
      </c>
      <c r="M162" s="332">
        <f t="shared" si="17"/>
        <v>2.0635962855266587E-3</v>
      </c>
    </row>
    <row r="163" spans="2:13">
      <c r="B163" s="396">
        <v>45551</v>
      </c>
      <c r="C163" s="340">
        <v>200.81</v>
      </c>
      <c r="D163" s="340">
        <v>177.21</v>
      </c>
      <c r="E163" s="340">
        <v>144.19999999999999</v>
      </c>
      <c r="F163" s="340">
        <v>18.86</v>
      </c>
      <c r="G163" s="341">
        <v>106.61</v>
      </c>
      <c r="H163" s="326"/>
      <c r="I163" s="330">
        <f t="shared" si="13"/>
        <v>-9.9586715132216064E-5</v>
      </c>
      <c r="J163" s="331">
        <f t="shared" si="14"/>
        <v>-8.4573748308525154E-4</v>
      </c>
      <c r="K163" s="331">
        <f t="shared" si="15"/>
        <v>4.7380156075806923E-3</v>
      </c>
      <c r="L163" s="331">
        <f t="shared" si="16"/>
        <v>-1.0493179433368249E-2</v>
      </c>
      <c r="M163" s="332">
        <f t="shared" si="17"/>
        <v>4.4172380019588786E-2</v>
      </c>
    </row>
    <row r="164" spans="2:13">
      <c r="B164" s="396">
        <v>45548</v>
      </c>
      <c r="C164" s="340">
        <v>200.83</v>
      </c>
      <c r="D164" s="340">
        <v>177.36</v>
      </c>
      <c r="E164" s="340">
        <v>143.52000000000001</v>
      </c>
      <c r="F164" s="340">
        <v>19.059999999999999</v>
      </c>
      <c r="G164" s="341">
        <v>102.1</v>
      </c>
      <c r="H164" s="326"/>
      <c r="I164" s="330">
        <f t="shared" si="13"/>
        <v>1.1941953038395736E-2</v>
      </c>
      <c r="J164" s="331">
        <f t="shared" si="14"/>
        <v>6.2059238363909586E-4</v>
      </c>
      <c r="K164" s="331">
        <f t="shared" si="15"/>
        <v>8.0067425200169851E-3</v>
      </c>
      <c r="L164" s="331">
        <f t="shared" si="16"/>
        <v>3.1578947368420263E-3</v>
      </c>
      <c r="M164" s="332">
        <f t="shared" si="17"/>
        <v>3.6370785412365159E-3</v>
      </c>
    </row>
    <row r="165" spans="2:13">
      <c r="B165" s="396">
        <v>45547</v>
      </c>
      <c r="C165" s="340">
        <v>198.46</v>
      </c>
      <c r="D165" s="340">
        <v>177.25</v>
      </c>
      <c r="E165" s="340">
        <v>142.38</v>
      </c>
      <c r="F165" s="340">
        <v>19</v>
      </c>
      <c r="G165" s="341">
        <v>101.73</v>
      </c>
      <c r="H165" s="326"/>
      <c r="I165" s="330">
        <f t="shared" ref="I165:I200" si="18">C165/C166-1</f>
        <v>-8.0555835263318443E-4</v>
      </c>
      <c r="J165" s="331">
        <f t="shared" ref="J165:J201" si="19">D165/D166-1</f>
        <v>8.3627261349414894E-3</v>
      </c>
      <c r="K165" s="331">
        <f t="shared" ref="K165:K201" si="20">E165/E166-1</f>
        <v>-5.7262569832401411E-3</v>
      </c>
      <c r="L165" s="331">
        <f t="shared" ref="L165:L201" si="21">F165/F166-1</f>
        <v>2.5364274150026844E-2</v>
      </c>
      <c r="M165" s="332">
        <f t="shared" ref="M165:M201" si="22">G165/G166-1</f>
        <v>1.0228401191658465E-2</v>
      </c>
    </row>
    <row r="166" spans="2:13">
      <c r="B166" s="396">
        <v>45546</v>
      </c>
      <c r="C166" s="340">
        <v>198.62</v>
      </c>
      <c r="D166" s="340">
        <v>175.78</v>
      </c>
      <c r="E166" s="340">
        <v>143.19999999999999</v>
      </c>
      <c r="F166" s="340">
        <v>18.53</v>
      </c>
      <c r="G166" s="341">
        <v>100.7</v>
      </c>
      <c r="H166" s="326"/>
      <c r="I166" s="330">
        <f t="shared" si="18"/>
        <v>-2.0756298377952009E-2</v>
      </c>
      <c r="J166" s="331">
        <f t="shared" si="19"/>
        <v>-1.1416680726618278E-2</v>
      </c>
      <c r="K166" s="331">
        <f t="shared" si="20"/>
        <v>-2.085470085470098E-2</v>
      </c>
      <c r="L166" s="331">
        <f t="shared" si="21"/>
        <v>2.6024363233665637E-2</v>
      </c>
      <c r="M166" s="332">
        <f t="shared" si="22"/>
        <v>-8.3702609551944418E-3</v>
      </c>
    </row>
    <row r="167" spans="2:13">
      <c r="B167" s="396">
        <v>45545</v>
      </c>
      <c r="C167" s="340">
        <v>202.83</v>
      </c>
      <c r="D167" s="340">
        <v>177.81</v>
      </c>
      <c r="E167" s="340">
        <v>146.25</v>
      </c>
      <c r="F167" s="340">
        <v>18.059999999999999</v>
      </c>
      <c r="G167" s="341">
        <v>101.55</v>
      </c>
      <c r="H167" s="326"/>
      <c r="I167" s="330">
        <f t="shared" si="18"/>
        <v>-2.0664206642065919E-3</v>
      </c>
      <c r="J167" s="331">
        <f t="shared" si="19"/>
        <v>-2.1325551377742169E-3</v>
      </c>
      <c r="K167" s="331">
        <f t="shared" si="20"/>
        <v>-6.318793314309068E-3</v>
      </c>
      <c r="L167" s="331">
        <f t="shared" si="21"/>
        <v>6.6889632107021146E-3</v>
      </c>
      <c r="M167" s="332">
        <f t="shared" si="22"/>
        <v>1.4485514485514495E-2</v>
      </c>
    </row>
    <row r="168" spans="2:13">
      <c r="B168" s="396">
        <v>45544</v>
      </c>
      <c r="C168" s="340">
        <v>203.25</v>
      </c>
      <c r="D168" s="340">
        <v>178.19</v>
      </c>
      <c r="E168" s="340">
        <v>147.18</v>
      </c>
      <c r="F168" s="340">
        <v>17.940000000000001</v>
      </c>
      <c r="G168" s="341">
        <v>100.1</v>
      </c>
      <c r="H168" s="326"/>
      <c r="I168" s="330">
        <f t="shared" si="18"/>
        <v>1.7267267267267128E-2</v>
      </c>
      <c r="J168" s="331">
        <f t="shared" si="19"/>
        <v>4.7930528927484506E-3</v>
      </c>
      <c r="K168" s="331">
        <f t="shared" si="20"/>
        <v>1.8378599142332419E-3</v>
      </c>
      <c r="L168" s="331">
        <f t="shared" si="21"/>
        <v>-2.8695181375202883E-2</v>
      </c>
      <c r="M168" s="332">
        <f t="shared" si="22"/>
        <v>1.2850349084286172E-2</v>
      </c>
    </row>
    <row r="169" spans="2:13">
      <c r="B169" s="396">
        <v>45541</v>
      </c>
      <c r="C169" s="340">
        <v>199.8</v>
      </c>
      <c r="D169" s="340">
        <v>177.34</v>
      </c>
      <c r="E169" s="340">
        <v>146.91</v>
      </c>
      <c r="F169" s="340">
        <v>18.47</v>
      </c>
      <c r="G169" s="341">
        <v>98.83</v>
      </c>
      <c r="H169" s="326"/>
      <c r="I169" s="330">
        <f t="shared" si="18"/>
        <v>8.581524482584646E-3</v>
      </c>
      <c r="J169" s="331">
        <f t="shared" si="19"/>
        <v>-1.0931399888455151E-2</v>
      </c>
      <c r="K169" s="331">
        <f t="shared" si="20"/>
        <v>-7.7001013171227317E-3</v>
      </c>
      <c r="L169" s="331">
        <f t="shared" si="21"/>
        <v>-2.8406102051551918E-2</v>
      </c>
      <c r="M169" s="332">
        <f t="shared" si="22"/>
        <v>-8.4278117788703089E-3</v>
      </c>
    </row>
    <row r="170" spans="2:13">
      <c r="B170" s="396">
        <v>45540</v>
      </c>
      <c r="C170" s="340">
        <v>198.1</v>
      </c>
      <c r="D170" s="340">
        <v>179.3</v>
      </c>
      <c r="E170" s="340">
        <v>148.05000000000001</v>
      </c>
      <c r="F170" s="340">
        <v>19.010000000000002</v>
      </c>
      <c r="G170" s="341">
        <v>99.67</v>
      </c>
      <c r="H170" s="326"/>
      <c r="I170" s="330">
        <f t="shared" si="18"/>
        <v>-2.9694498968242389E-3</v>
      </c>
      <c r="J170" s="331">
        <f t="shared" si="19"/>
        <v>4.3692583464036705E-3</v>
      </c>
      <c r="K170" s="331">
        <f t="shared" si="20"/>
        <v>-2.0222446916076109E-3</v>
      </c>
      <c r="L170" s="331">
        <f t="shared" si="21"/>
        <v>-1.3492475350285305E-2</v>
      </c>
      <c r="M170" s="332">
        <f t="shared" si="22"/>
        <v>2.0477116821951524E-2</v>
      </c>
    </row>
    <row r="171" spans="2:13">
      <c r="B171" s="396">
        <v>45539</v>
      </c>
      <c r="C171" s="340">
        <v>198.69</v>
      </c>
      <c r="D171" s="340">
        <v>178.52</v>
      </c>
      <c r="E171" s="340">
        <v>148.35</v>
      </c>
      <c r="F171" s="340">
        <v>19.27</v>
      </c>
      <c r="G171" s="341">
        <v>97.67</v>
      </c>
      <c r="H171" s="326"/>
      <c r="I171" s="330">
        <f t="shared" si="18"/>
        <v>6.840985101854713E-3</v>
      </c>
      <c r="J171" s="331">
        <f t="shared" si="19"/>
        <v>5.519882843302959E-3</v>
      </c>
      <c r="K171" s="331">
        <f t="shared" si="20"/>
        <v>6.7865626060399364E-3</v>
      </c>
      <c r="L171" s="331">
        <f t="shared" si="21"/>
        <v>-4.648760330578483E-3</v>
      </c>
      <c r="M171" s="332">
        <f t="shared" si="22"/>
        <v>-2.0262814725649503E-2</v>
      </c>
    </row>
    <row r="172" spans="2:13">
      <c r="B172" s="396">
        <v>45538</v>
      </c>
      <c r="C172" s="340">
        <v>197.34</v>
      </c>
      <c r="D172" s="340">
        <v>177.54</v>
      </c>
      <c r="E172" s="340">
        <v>147.35</v>
      </c>
      <c r="F172" s="340">
        <v>19.36</v>
      </c>
      <c r="G172" s="341">
        <v>99.69</v>
      </c>
      <c r="H172" s="326"/>
      <c r="I172" s="330">
        <f t="shared" si="18"/>
        <v>0</v>
      </c>
      <c r="J172" s="331">
        <f t="shared" si="19"/>
        <v>0</v>
      </c>
      <c r="K172" s="331">
        <f t="shared" si="20"/>
        <v>0</v>
      </c>
      <c r="L172" s="331">
        <f t="shared" si="21"/>
        <v>0</v>
      </c>
      <c r="M172" s="332">
        <f t="shared" si="22"/>
        <v>0</v>
      </c>
    </row>
    <row r="173" spans="2:13">
      <c r="B173" s="396">
        <v>45537</v>
      </c>
      <c r="C173" s="340">
        <v>197.34</v>
      </c>
      <c r="D173" s="340">
        <v>177.54</v>
      </c>
      <c r="E173" s="340">
        <v>147.35</v>
      </c>
      <c r="F173" s="340">
        <v>19.36</v>
      </c>
      <c r="G173" s="341">
        <v>99.69</v>
      </c>
      <c r="H173" s="326"/>
      <c r="I173" s="330">
        <f t="shared" si="18"/>
        <v>2.2169273800890954E-2</v>
      </c>
      <c r="J173" s="331">
        <f t="shared" si="19"/>
        <v>2.6955113373438255E-2</v>
      </c>
      <c r="K173" s="331">
        <f t="shared" si="20"/>
        <v>1.8595326973593229E-2</v>
      </c>
      <c r="L173" s="331">
        <f t="shared" si="21"/>
        <v>-1.3251783893985847E-2</v>
      </c>
      <c r="M173" s="332">
        <f t="shared" si="22"/>
        <v>-4.1902931283037015E-2</v>
      </c>
    </row>
    <row r="174" spans="2:13">
      <c r="B174" s="396">
        <v>45534</v>
      </c>
      <c r="C174" s="340">
        <v>193.06</v>
      </c>
      <c r="D174" s="340">
        <v>172.88</v>
      </c>
      <c r="E174" s="340">
        <v>144.66</v>
      </c>
      <c r="F174" s="340">
        <v>19.62</v>
      </c>
      <c r="G174" s="341">
        <v>104.05</v>
      </c>
      <c r="H174" s="326"/>
      <c r="I174" s="330">
        <f t="shared" si="18"/>
        <v>7.0944183620240686E-3</v>
      </c>
      <c r="J174" s="331">
        <f t="shared" si="19"/>
        <v>4.5906211865882618E-3</v>
      </c>
      <c r="K174" s="331">
        <f t="shared" si="20"/>
        <v>1.0054461667364789E-2</v>
      </c>
      <c r="L174" s="331">
        <f t="shared" si="21"/>
        <v>-2.4850894632206799E-2</v>
      </c>
      <c r="M174" s="332">
        <f t="shared" si="22"/>
        <v>1.472596060074105E-2</v>
      </c>
    </row>
    <row r="175" spans="2:13">
      <c r="B175" s="396">
        <v>45533</v>
      </c>
      <c r="C175" s="340">
        <v>191.7</v>
      </c>
      <c r="D175" s="340">
        <v>172.09</v>
      </c>
      <c r="E175" s="340">
        <v>143.22</v>
      </c>
      <c r="F175" s="340">
        <v>20.12</v>
      </c>
      <c r="G175" s="341">
        <v>102.54</v>
      </c>
      <c r="H175" s="326"/>
      <c r="I175" s="330">
        <f t="shared" si="18"/>
        <v>5.7414270055833327E-4</v>
      </c>
      <c r="J175" s="331">
        <f t="shared" si="19"/>
        <v>-1.0522079116835226E-2</v>
      </c>
      <c r="K175" s="331">
        <f t="shared" si="20"/>
        <v>-4.448769637147354E-3</v>
      </c>
      <c r="L175" s="331">
        <f t="shared" si="21"/>
        <v>-5.9288537549405662E-3</v>
      </c>
      <c r="M175" s="332">
        <f t="shared" si="22"/>
        <v>5.6885052961948013E-3</v>
      </c>
    </row>
    <row r="176" spans="2:13">
      <c r="B176" s="396">
        <v>45532</v>
      </c>
      <c r="C176" s="340">
        <v>191.59</v>
      </c>
      <c r="D176" s="340">
        <v>173.92</v>
      </c>
      <c r="E176" s="340">
        <v>143.86000000000001</v>
      </c>
      <c r="F176" s="340">
        <v>20.239999999999998</v>
      </c>
      <c r="G176" s="341">
        <v>101.96</v>
      </c>
      <c r="H176" s="326"/>
      <c r="I176" s="330">
        <f t="shared" si="18"/>
        <v>2.4067388688326918E-3</v>
      </c>
      <c r="J176" s="331">
        <f t="shared" si="19"/>
        <v>-7.8722190530520209E-3</v>
      </c>
      <c r="K176" s="331">
        <f t="shared" si="20"/>
        <v>2.2293437369376168E-3</v>
      </c>
      <c r="L176" s="331">
        <f t="shared" si="21"/>
        <v>-1.8904507998061093E-2</v>
      </c>
      <c r="M176" s="332">
        <f t="shared" si="22"/>
        <v>-6.6250974279034036E-3</v>
      </c>
    </row>
    <row r="177" spans="2:13">
      <c r="B177" s="396">
        <v>45531</v>
      </c>
      <c r="C177" s="340">
        <v>191.13</v>
      </c>
      <c r="D177" s="340">
        <v>175.3</v>
      </c>
      <c r="E177" s="340">
        <v>143.54</v>
      </c>
      <c r="F177" s="340">
        <v>20.63</v>
      </c>
      <c r="G177" s="341">
        <v>102.64</v>
      </c>
      <c r="H177" s="326"/>
      <c r="I177" s="330">
        <f t="shared" si="18"/>
        <v>-2.6882541622117007E-2</v>
      </c>
      <c r="J177" s="331">
        <f t="shared" si="19"/>
        <v>-3.8074671819059436E-3</v>
      </c>
      <c r="K177" s="331">
        <f t="shared" si="20"/>
        <v>-4.1626196753156153E-3</v>
      </c>
      <c r="L177" s="331">
        <f t="shared" si="21"/>
        <v>-1.0076775431861806E-2</v>
      </c>
      <c r="M177" s="332">
        <f t="shared" si="22"/>
        <v>1.6036428430013849E-2</v>
      </c>
    </row>
    <row r="178" spans="2:13">
      <c r="B178" s="396">
        <v>45530</v>
      </c>
      <c r="C178" s="340">
        <v>196.41</v>
      </c>
      <c r="D178" s="340">
        <v>175.97</v>
      </c>
      <c r="E178" s="340">
        <v>144.13999999999999</v>
      </c>
      <c r="F178" s="340">
        <v>20.84</v>
      </c>
      <c r="G178" s="341">
        <v>101.02</v>
      </c>
      <c r="H178" s="326"/>
      <c r="I178" s="330">
        <f t="shared" si="18"/>
        <v>4.0747720674372268E-4</v>
      </c>
      <c r="J178" s="331">
        <f t="shared" si="19"/>
        <v>5.6860180815365702E-4</v>
      </c>
      <c r="K178" s="331">
        <f t="shared" si="20"/>
        <v>3.6905507972979645E-3</v>
      </c>
      <c r="L178" s="331">
        <f t="shared" si="21"/>
        <v>-4.3000477783086133E-3</v>
      </c>
      <c r="M178" s="332">
        <f t="shared" si="22"/>
        <v>3.2185552263206185E-2</v>
      </c>
    </row>
    <row r="179" spans="2:13">
      <c r="B179" s="396">
        <v>45527</v>
      </c>
      <c r="C179" s="340">
        <v>196.33</v>
      </c>
      <c r="D179" s="340">
        <v>175.87</v>
      </c>
      <c r="E179" s="340">
        <v>143.61000000000001</v>
      </c>
      <c r="F179" s="340">
        <v>20.93</v>
      </c>
      <c r="G179" s="341">
        <v>97.87</v>
      </c>
      <c r="H179" s="326"/>
      <c r="I179" s="330">
        <f t="shared" si="18"/>
        <v>3.9374105133975768E-3</v>
      </c>
      <c r="J179" s="331">
        <f t="shared" si="19"/>
        <v>7.3972914532838274E-4</v>
      </c>
      <c r="K179" s="331">
        <f t="shared" si="20"/>
        <v>-6.8464730290455078E-3</v>
      </c>
      <c r="L179" s="331">
        <f t="shared" si="21"/>
        <v>8.6746987951806798E-3</v>
      </c>
      <c r="M179" s="332">
        <f t="shared" si="22"/>
        <v>1.9372981981043536E-2</v>
      </c>
    </row>
    <row r="180" spans="2:13">
      <c r="B180" s="396">
        <v>45526</v>
      </c>
      <c r="C180" s="340">
        <v>195.56</v>
      </c>
      <c r="D180" s="340">
        <v>175.74</v>
      </c>
      <c r="E180" s="340">
        <v>144.6</v>
      </c>
      <c r="F180" s="340">
        <v>20.75</v>
      </c>
      <c r="G180" s="341">
        <v>96.01</v>
      </c>
      <c r="H180" s="326"/>
      <c r="I180" s="330">
        <f t="shared" si="18"/>
        <v>-9.6723552944750768E-3</v>
      </c>
      <c r="J180" s="331">
        <f t="shared" si="19"/>
        <v>3.0249414987728596E-3</v>
      </c>
      <c r="K180" s="331">
        <f t="shared" si="20"/>
        <v>1.3833171946320277E-4</v>
      </c>
      <c r="L180" s="331">
        <f t="shared" si="21"/>
        <v>2.2671266633809806E-2</v>
      </c>
      <c r="M180" s="332">
        <f t="shared" si="22"/>
        <v>-1.9405576549892722E-2</v>
      </c>
    </row>
    <row r="181" spans="2:13">
      <c r="B181" s="396">
        <v>45525</v>
      </c>
      <c r="C181" s="340">
        <v>197.47</v>
      </c>
      <c r="D181" s="340">
        <v>175.21</v>
      </c>
      <c r="E181" s="340">
        <v>144.58000000000001</v>
      </c>
      <c r="F181" s="340">
        <v>20.29</v>
      </c>
      <c r="G181" s="341">
        <v>97.91</v>
      </c>
      <c r="H181" s="326"/>
      <c r="I181" s="330">
        <f t="shared" si="18"/>
        <v>-2.2232327825779663E-3</v>
      </c>
      <c r="J181" s="331">
        <f t="shared" si="19"/>
        <v>-3.639465453511459E-3</v>
      </c>
      <c r="K181" s="331">
        <f t="shared" si="20"/>
        <v>2.3571824736550173E-3</v>
      </c>
      <c r="L181" s="331">
        <f t="shared" si="21"/>
        <v>-2.2168674698795243E-2</v>
      </c>
      <c r="M181" s="332">
        <f t="shared" si="22"/>
        <v>-2.5468622656886764E-3</v>
      </c>
    </row>
    <row r="182" spans="2:13">
      <c r="B182" s="396">
        <v>45524</v>
      </c>
      <c r="C182" s="340">
        <v>197.91</v>
      </c>
      <c r="D182" s="340">
        <v>175.85</v>
      </c>
      <c r="E182" s="340">
        <v>144.24</v>
      </c>
      <c r="F182" s="340">
        <v>20.75</v>
      </c>
      <c r="G182" s="341">
        <v>98.16</v>
      </c>
      <c r="H182" s="326"/>
      <c r="I182" s="330">
        <f t="shared" si="18"/>
        <v>3.7531064563574024E-3</v>
      </c>
      <c r="J182" s="331">
        <f t="shared" si="19"/>
        <v>1.1678748130249605E-2</v>
      </c>
      <c r="K182" s="331">
        <f t="shared" si="20"/>
        <v>5.4370556252614222E-3</v>
      </c>
      <c r="L182" s="331">
        <f t="shared" si="21"/>
        <v>-8.1261950286807272E-3</v>
      </c>
      <c r="M182" s="332">
        <f t="shared" si="22"/>
        <v>-7.6829761423372611E-3</v>
      </c>
    </row>
    <row r="183" spans="2:13">
      <c r="B183" s="396">
        <v>45523</v>
      </c>
      <c r="C183" s="340">
        <v>197.17</v>
      </c>
      <c r="D183" s="340">
        <v>173.82</v>
      </c>
      <c r="E183" s="340">
        <v>143.46</v>
      </c>
      <c r="F183" s="340">
        <v>20.92</v>
      </c>
      <c r="G183" s="341">
        <v>98.92</v>
      </c>
      <c r="H183" s="326"/>
      <c r="I183" s="330">
        <f t="shared" si="18"/>
        <v>1.9019070753010459E-2</v>
      </c>
      <c r="J183" s="331">
        <f t="shared" si="19"/>
        <v>6.9516857838025636E-3</v>
      </c>
      <c r="K183" s="331">
        <f t="shared" si="20"/>
        <v>7.0195142496138896E-3</v>
      </c>
      <c r="L183" s="331">
        <f t="shared" si="21"/>
        <v>2.8763183125599667E-3</v>
      </c>
      <c r="M183" s="332">
        <f t="shared" si="22"/>
        <v>1.8229694146243425E-3</v>
      </c>
    </row>
    <row r="184" spans="2:13">
      <c r="B184" s="396">
        <v>45520</v>
      </c>
      <c r="C184" s="340">
        <v>193.49</v>
      </c>
      <c r="D184" s="340">
        <v>172.62</v>
      </c>
      <c r="E184" s="340">
        <v>142.46</v>
      </c>
      <c r="F184" s="340">
        <v>20.86</v>
      </c>
      <c r="G184" s="341">
        <v>98.74</v>
      </c>
      <c r="H184" s="326"/>
      <c r="I184" s="330">
        <f t="shared" si="18"/>
        <v>-1.6119190481033163E-2</v>
      </c>
      <c r="J184" s="331">
        <f t="shared" si="19"/>
        <v>5.7964293994894334E-4</v>
      </c>
      <c r="K184" s="331">
        <f t="shared" si="20"/>
        <v>4.7961630695443347E-3</v>
      </c>
      <c r="L184" s="331">
        <f t="shared" si="21"/>
        <v>1.9052271617000516E-2</v>
      </c>
      <c r="M184" s="332">
        <f t="shared" si="22"/>
        <v>3.4552845528454945E-3</v>
      </c>
    </row>
    <row r="185" spans="2:13">
      <c r="B185" s="396">
        <v>45519</v>
      </c>
      <c r="C185" s="340">
        <v>196.66</v>
      </c>
      <c r="D185" s="340">
        <v>172.52</v>
      </c>
      <c r="E185" s="340">
        <v>141.78</v>
      </c>
      <c r="F185" s="340">
        <v>20.47</v>
      </c>
      <c r="G185" s="341">
        <v>98.4</v>
      </c>
      <c r="H185" s="326"/>
      <c r="I185" s="330">
        <f t="shared" si="18"/>
        <v>-1.9689945665719688E-2</v>
      </c>
      <c r="J185" s="331">
        <f t="shared" si="19"/>
        <v>-6.8504979563640545E-3</v>
      </c>
      <c r="K185" s="331">
        <f t="shared" si="20"/>
        <v>6.817213463996552E-3</v>
      </c>
      <c r="L185" s="331">
        <f t="shared" si="21"/>
        <v>1.036525172754188E-2</v>
      </c>
      <c r="M185" s="332">
        <f t="shared" si="22"/>
        <v>2.9504080351538065E-2</v>
      </c>
    </row>
    <row r="186" spans="2:13">
      <c r="B186" s="396">
        <v>45518</v>
      </c>
      <c r="C186" s="340">
        <v>200.61</v>
      </c>
      <c r="D186" s="340">
        <v>173.71</v>
      </c>
      <c r="E186" s="340">
        <v>140.82</v>
      </c>
      <c r="F186" s="340">
        <v>20.260000000000002</v>
      </c>
      <c r="G186" s="341">
        <v>95.58</v>
      </c>
      <c r="H186" s="326"/>
      <c r="I186" s="330">
        <f t="shared" si="18"/>
        <v>5.7655670309837426E-3</v>
      </c>
      <c r="J186" s="331">
        <f t="shared" si="19"/>
        <v>7.7739745895457624E-3</v>
      </c>
      <c r="K186" s="331">
        <f t="shared" si="20"/>
        <v>1.7191563132042731E-2</v>
      </c>
      <c r="L186" s="331">
        <f t="shared" si="21"/>
        <v>2.4785027819929306E-2</v>
      </c>
      <c r="M186" s="332">
        <f t="shared" si="22"/>
        <v>-4.1832252666818004E-4</v>
      </c>
    </row>
    <row r="187" spans="2:13">
      <c r="B187" s="396">
        <v>45517</v>
      </c>
      <c r="C187" s="340">
        <v>199.46</v>
      </c>
      <c r="D187" s="340">
        <v>172.37</v>
      </c>
      <c r="E187" s="340">
        <v>138.44</v>
      </c>
      <c r="F187" s="340">
        <v>19.77</v>
      </c>
      <c r="G187" s="341">
        <v>95.62</v>
      </c>
      <c r="H187" s="326"/>
      <c r="I187" s="330">
        <f t="shared" si="18"/>
        <v>3.9764433482660788E-3</v>
      </c>
      <c r="J187" s="331">
        <f t="shared" si="19"/>
        <v>5.5419437638548619E-3</v>
      </c>
      <c r="K187" s="331">
        <f t="shared" si="20"/>
        <v>1.0122921185826694E-3</v>
      </c>
      <c r="L187" s="331">
        <f t="shared" si="21"/>
        <v>2.7012987012986933E-2</v>
      </c>
      <c r="M187" s="332">
        <f t="shared" si="22"/>
        <v>-5.8224163027656983E-3</v>
      </c>
    </row>
    <row r="188" spans="2:13">
      <c r="B188" s="396">
        <v>45516</v>
      </c>
      <c r="C188" s="340">
        <v>198.67</v>
      </c>
      <c r="D188" s="340">
        <v>171.42</v>
      </c>
      <c r="E188" s="340">
        <v>138.30000000000001</v>
      </c>
      <c r="F188" s="340">
        <v>19.25</v>
      </c>
      <c r="G188" s="341">
        <v>96.18</v>
      </c>
      <c r="H188" s="326"/>
      <c r="I188" s="330">
        <f t="shared" si="18"/>
        <v>-1.4044665012406976E-2</v>
      </c>
      <c r="J188" s="331">
        <f t="shared" si="19"/>
        <v>-5.6267764951563048E-3</v>
      </c>
      <c r="K188" s="331">
        <f t="shared" si="20"/>
        <v>-1.4395667046750105E-2</v>
      </c>
      <c r="L188" s="331">
        <f t="shared" si="21"/>
        <v>-1.332649923116358E-2</v>
      </c>
      <c r="M188" s="332">
        <f t="shared" si="22"/>
        <v>-1.0386373078520306E-3</v>
      </c>
    </row>
    <row r="189" spans="2:13">
      <c r="B189" s="396">
        <v>45513</v>
      </c>
      <c r="C189" s="340">
        <v>201.5</v>
      </c>
      <c r="D189" s="340">
        <v>172.39</v>
      </c>
      <c r="E189" s="340">
        <v>140.32</v>
      </c>
      <c r="F189" s="340">
        <v>19.510000000000002</v>
      </c>
      <c r="G189" s="341">
        <v>96.28</v>
      </c>
      <c r="H189" s="326"/>
      <c r="I189" s="330">
        <f t="shared" si="18"/>
        <v>-2.9688273132112419E-3</v>
      </c>
      <c r="J189" s="331">
        <f t="shared" si="19"/>
        <v>1.1602947148570131E-4</v>
      </c>
      <c r="K189" s="331">
        <f t="shared" si="20"/>
        <v>-6.584070796460173E-3</v>
      </c>
      <c r="L189" s="331">
        <f t="shared" si="21"/>
        <v>-3.0659172202349705E-3</v>
      </c>
      <c r="M189" s="332">
        <f t="shared" si="22"/>
        <v>3.7531276063385022E-3</v>
      </c>
    </row>
    <row r="190" spans="2:13">
      <c r="B190" s="396">
        <v>45512</v>
      </c>
      <c r="C190" s="340">
        <v>202.1</v>
      </c>
      <c r="D190" s="340">
        <v>172.37</v>
      </c>
      <c r="E190" s="340">
        <v>141.25</v>
      </c>
      <c r="F190" s="340">
        <v>19.57</v>
      </c>
      <c r="G190" s="341">
        <v>95.92</v>
      </c>
      <c r="H190" s="326"/>
      <c r="I190" s="330">
        <f t="shared" si="18"/>
        <v>1.1410269242318138E-2</v>
      </c>
      <c r="J190" s="331">
        <f t="shared" si="19"/>
        <v>3.3762151463998524E-3</v>
      </c>
      <c r="K190" s="331">
        <f t="shared" si="20"/>
        <v>8.7844593629480272E-3</v>
      </c>
      <c r="L190" s="331">
        <f t="shared" si="21"/>
        <v>6.1696658097687429E-3</v>
      </c>
      <c r="M190" s="332">
        <f t="shared" si="22"/>
        <v>1.8583412976531877E-2</v>
      </c>
    </row>
    <row r="191" spans="2:13">
      <c r="B191" s="396">
        <v>45511</v>
      </c>
      <c r="C191" s="340">
        <v>199.82</v>
      </c>
      <c r="D191" s="340">
        <v>171.79</v>
      </c>
      <c r="E191" s="340">
        <v>140.02000000000001</v>
      </c>
      <c r="F191" s="340">
        <v>19.45</v>
      </c>
      <c r="G191" s="341">
        <v>94.17</v>
      </c>
      <c r="H191" s="326"/>
      <c r="I191" s="330">
        <f t="shared" si="18"/>
        <v>2.1565775615628446E-3</v>
      </c>
      <c r="J191" s="331">
        <f t="shared" si="19"/>
        <v>-4.0582062728274915E-3</v>
      </c>
      <c r="K191" s="331">
        <f t="shared" si="20"/>
        <v>6.7587000287603338E-3</v>
      </c>
      <c r="L191" s="331">
        <f t="shared" si="21"/>
        <v>-4.0962621607784078E-3</v>
      </c>
      <c r="M191" s="332">
        <f t="shared" si="22"/>
        <v>-9.0497737556560764E-3</v>
      </c>
    </row>
    <row r="192" spans="2:13">
      <c r="B192" s="396">
        <v>45510</v>
      </c>
      <c r="C192" s="340">
        <v>199.39</v>
      </c>
      <c r="D192" s="340">
        <v>172.49</v>
      </c>
      <c r="E192" s="340">
        <v>139.08000000000001</v>
      </c>
      <c r="F192" s="340">
        <v>19.53</v>
      </c>
      <c r="G192" s="341">
        <v>95.03</v>
      </c>
      <c r="H192" s="326"/>
      <c r="I192" s="330">
        <f t="shared" si="18"/>
        <v>1.719212325272923E-2</v>
      </c>
      <c r="J192" s="331">
        <f t="shared" si="19"/>
        <v>-8.9059986210066056E-3</v>
      </c>
      <c r="K192" s="331">
        <f t="shared" si="20"/>
        <v>1.0388666908826893E-2</v>
      </c>
      <c r="L192" s="331">
        <f t="shared" si="21"/>
        <v>4.6296296296295392E-3</v>
      </c>
      <c r="M192" s="332">
        <f t="shared" si="22"/>
        <v>3.1578947368426924E-4</v>
      </c>
    </row>
    <row r="193" spans="2:13">
      <c r="B193" s="396">
        <v>45509</v>
      </c>
      <c r="C193" s="340">
        <v>196.02</v>
      </c>
      <c r="D193" s="340">
        <v>174.04</v>
      </c>
      <c r="E193" s="340">
        <v>137.65</v>
      </c>
      <c r="F193" s="340">
        <v>19.440000000000001</v>
      </c>
      <c r="G193" s="341">
        <v>95</v>
      </c>
      <c r="H193" s="326"/>
      <c r="I193" s="330">
        <f t="shared" si="18"/>
        <v>-1.5370705244122984E-2</v>
      </c>
      <c r="J193" s="331">
        <f t="shared" si="19"/>
        <v>-2.2466861379465297E-2</v>
      </c>
      <c r="K193" s="331">
        <f t="shared" si="20"/>
        <v>-1.7487508922198303E-2</v>
      </c>
      <c r="L193" s="331">
        <f t="shared" si="21"/>
        <v>-2.605210420841686E-2</v>
      </c>
      <c r="M193" s="332">
        <f t="shared" si="22"/>
        <v>-2.7336950957305262E-2</v>
      </c>
    </row>
    <row r="194" spans="2:13">
      <c r="B194" s="396">
        <v>45506</v>
      </c>
      <c r="C194" s="340">
        <v>199.08</v>
      </c>
      <c r="D194" s="340">
        <v>178.04</v>
      </c>
      <c r="E194" s="340">
        <v>140.1</v>
      </c>
      <c r="F194" s="340">
        <v>19.96</v>
      </c>
      <c r="G194" s="341">
        <v>97.67</v>
      </c>
      <c r="H194" s="326"/>
      <c r="I194" s="330">
        <f t="shared" si="18"/>
        <v>-2.7051397655545317E-3</v>
      </c>
      <c r="J194" s="331">
        <f t="shared" si="19"/>
        <v>1.7604023776863098E-2</v>
      </c>
      <c r="K194" s="331">
        <f t="shared" si="20"/>
        <v>1.1698440207972283E-2</v>
      </c>
      <c r="L194" s="331">
        <f t="shared" si="21"/>
        <v>1.0121457489878471E-2</v>
      </c>
      <c r="M194" s="332">
        <f t="shared" si="22"/>
        <v>-3.0666931321953195E-2</v>
      </c>
    </row>
    <row r="195" spans="2:13">
      <c r="B195" s="396">
        <v>45505</v>
      </c>
      <c r="C195" s="340">
        <v>199.62</v>
      </c>
      <c r="D195" s="340">
        <v>174.96</v>
      </c>
      <c r="E195" s="340">
        <v>138.47999999999999</v>
      </c>
      <c r="F195" s="340">
        <v>19.760000000000002</v>
      </c>
      <c r="G195" s="341">
        <v>100.76</v>
      </c>
      <c r="H195" s="326"/>
      <c r="I195" s="330">
        <f t="shared" si="18"/>
        <v>1.0836540409155493E-2</v>
      </c>
      <c r="J195" s="331">
        <f t="shared" si="19"/>
        <v>1.3262292233740869E-2</v>
      </c>
      <c r="K195" s="331">
        <f t="shared" si="20"/>
        <v>2.5398000740466387E-2</v>
      </c>
      <c r="L195" s="331">
        <f t="shared" si="21"/>
        <v>-3.5300050428641594E-3</v>
      </c>
      <c r="M195" s="332">
        <f t="shared" si="22"/>
        <v>8.7095805385923875E-3</v>
      </c>
    </row>
    <row r="196" spans="2:13">
      <c r="B196" s="396">
        <v>45504</v>
      </c>
      <c r="C196" s="340">
        <v>197.48</v>
      </c>
      <c r="D196" s="340">
        <v>172.67</v>
      </c>
      <c r="E196" s="340">
        <v>135.05000000000001</v>
      </c>
      <c r="F196" s="340">
        <v>19.829999999999998</v>
      </c>
      <c r="G196" s="341">
        <v>99.89</v>
      </c>
      <c r="H196" s="326"/>
      <c r="I196" s="330">
        <f t="shared" si="18"/>
        <v>1.8095581790998461E-2</v>
      </c>
      <c r="J196" s="331">
        <f t="shared" si="19"/>
        <v>-2.9449128074836572E-3</v>
      </c>
      <c r="K196" s="331">
        <f t="shared" si="20"/>
        <v>-9.7521630737643639E-3</v>
      </c>
      <c r="L196" s="331">
        <f t="shared" si="21"/>
        <v>6.5989847715735017E-3</v>
      </c>
      <c r="M196" s="332">
        <f t="shared" si="22"/>
        <v>4.1823112223613013E-2</v>
      </c>
    </row>
    <row r="197" spans="2:13">
      <c r="B197" s="396">
        <v>45503</v>
      </c>
      <c r="C197" s="340">
        <v>193.97</v>
      </c>
      <c r="D197" s="340">
        <v>173.18</v>
      </c>
      <c r="E197" s="340">
        <v>136.38</v>
      </c>
      <c r="F197" s="340">
        <v>19.7</v>
      </c>
      <c r="G197" s="341">
        <v>95.88</v>
      </c>
      <c r="H197" s="326"/>
      <c r="I197" s="330">
        <f t="shared" si="18"/>
        <v>7.3223930203571985E-3</v>
      </c>
      <c r="J197" s="331">
        <f t="shared" si="19"/>
        <v>-1.7320016165345287E-4</v>
      </c>
      <c r="K197" s="331">
        <f t="shared" si="20"/>
        <v>-3.1735889243876492E-2</v>
      </c>
      <c r="L197" s="331">
        <f t="shared" si="21"/>
        <v>-1.3520280420630915E-2</v>
      </c>
      <c r="M197" s="332">
        <f t="shared" si="22"/>
        <v>0.1325301204819278</v>
      </c>
    </row>
    <row r="198" spans="2:13">
      <c r="B198" s="396">
        <v>45502</v>
      </c>
      <c r="C198" s="340">
        <v>192.56</v>
      </c>
      <c r="D198" s="340">
        <v>173.21</v>
      </c>
      <c r="E198" s="340">
        <v>140.85</v>
      </c>
      <c r="F198" s="340">
        <v>19.97</v>
      </c>
      <c r="G198" s="341">
        <v>84.66</v>
      </c>
      <c r="H198" s="326"/>
      <c r="I198" s="330">
        <f t="shared" si="18"/>
        <v>-5.0121428202345442E-3</v>
      </c>
      <c r="J198" s="331">
        <f t="shared" si="19"/>
        <v>2.6628075253256611E-3</v>
      </c>
      <c r="K198" s="331">
        <f t="shared" si="20"/>
        <v>-6.7696213243072512E-3</v>
      </c>
      <c r="L198" s="331">
        <f t="shared" si="21"/>
        <v>-2.3471882640586861E-2</v>
      </c>
      <c r="M198" s="332">
        <f t="shared" si="22"/>
        <v>-2.352941176470591E-2</v>
      </c>
    </row>
    <row r="199" spans="2:13">
      <c r="B199" s="396">
        <v>45499</v>
      </c>
      <c r="C199" s="340">
        <v>193.53</v>
      </c>
      <c r="D199" s="340">
        <v>172.75</v>
      </c>
      <c r="E199" s="340">
        <v>141.81</v>
      </c>
      <c r="F199" s="340">
        <v>20.45</v>
      </c>
      <c r="G199" s="341">
        <v>86.7</v>
      </c>
      <c r="H199" s="326"/>
      <c r="I199" s="330">
        <f t="shared" si="18"/>
        <v>4.463590595318534E-3</v>
      </c>
      <c r="J199" s="331">
        <f t="shared" si="19"/>
        <v>1.0115775932639348E-2</v>
      </c>
      <c r="K199" s="331">
        <f t="shared" si="20"/>
        <v>5.2456227404835687E-3</v>
      </c>
      <c r="L199" s="331">
        <f t="shared" si="21"/>
        <v>3.4347399411187585E-3</v>
      </c>
      <c r="M199" s="332">
        <f t="shared" si="22"/>
        <v>4.1942074269919694E-2</v>
      </c>
    </row>
    <row r="200" spans="2:13">
      <c r="B200" s="396">
        <v>45498</v>
      </c>
      <c r="C200" s="340">
        <v>192.67</v>
      </c>
      <c r="D200" s="340">
        <v>171.02</v>
      </c>
      <c r="E200" s="340">
        <v>141.07</v>
      </c>
      <c r="F200" s="340">
        <v>20.38</v>
      </c>
      <c r="G200" s="341">
        <v>83.21</v>
      </c>
      <c r="H200" s="326"/>
      <c r="I200" s="330">
        <f t="shared" si="18"/>
        <v>2.9672045809474579E-3</v>
      </c>
      <c r="J200" s="331">
        <f t="shared" si="19"/>
        <v>1.6947136825831155E-2</v>
      </c>
      <c r="K200" s="331">
        <f t="shared" si="20"/>
        <v>3.9854814603943467E-3</v>
      </c>
      <c r="L200" s="331">
        <f t="shared" si="21"/>
        <v>9.4105993065873861E-3</v>
      </c>
      <c r="M200" s="332">
        <f t="shared" si="22"/>
        <v>7.215874924832999E-4</v>
      </c>
    </row>
    <row r="201" spans="2:13" ht="17.100000000000001" thickBot="1">
      <c r="B201" s="396">
        <v>45497</v>
      </c>
      <c r="C201" s="340">
        <v>192.1</v>
      </c>
      <c r="D201" s="340">
        <v>168.17</v>
      </c>
      <c r="E201" s="340">
        <v>140.51</v>
      </c>
      <c r="F201" s="340">
        <v>20.190000000000001</v>
      </c>
      <c r="G201" s="341">
        <v>83.15</v>
      </c>
      <c r="H201" s="326"/>
      <c r="I201" s="333">
        <f>C201/C202-1</f>
        <v>1.1372012214383442E-2</v>
      </c>
      <c r="J201" s="334">
        <f t="shared" si="19"/>
        <v>1.1366369978349722E-2</v>
      </c>
      <c r="K201" s="334">
        <f t="shared" si="20"/>
        <v>3.4074183102737576E-2</v>
      </c>
      <c r="L201" s="334">
        <f t="shared" si="21"/>
        <v>-9.896091044037103E-4</v>
      </c>
      <c r="M201" s="335">
        <f t="shared" si="22"/>
        <v>-8.4664917720008726E-3</v>
      </c>
    </row>
    <row r="202" spans="2:13" ht="17.100000000000001" thickBot="1">
      <c r="B202" s="397">
        <v>45496</v>
      </c>
      <c r="C202" s="342">
        <v>189.94</v>
      </c>
      <c r="D202" s="342">
        <v>166.28</v>
      </c>
      <c r="E202" s="342">
        <v>135.88</v>
      </c>
      <c r="F202" s="342">
        <v>20.21</v>
      </c>
      <c r="G202" s="343">
        <v>83.86</v>
      </c>
      <c r="H202" s="326"/>
      <c r="I202" s="326"/>
      <c r="J202" s="326"/>
      <c r="K202" s="326"/>
      <c r="L202" s="326"/>
    </row>
  </sheetData>
  <conditionalFormatting sqref="C3:G7">
    <cfRule type="colorScale" priority="1">
      <colorScale>
        <cfvo type="min"/>
        <cfvo type="percentile" val="50"/>
        <cfvo type="max"/>
        <color rgb="FF63BE7B"/>
        <color rgb="FFFCFCFF"/>
        <color rgb="FFF8696B"/>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84D2C-9F3A-1E49-B24C-821A94B0E437}">
  <dimension ref="A1"/>
  <sheetViews>
    <sheetView workbookViewId="0"/>
  </sheetViews>
  <sheetFormatPr defaultColWidth="11.44140625" defaultRowHeight="15.9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EC8C-654B-264F-929A-B5B72E49AC68}">
  <dimension ref="B1:P32"/>
  <sheetViews>
    <sheetView showGridLines="0" workbookViewId="0">
      <selection activeCell="F25" sqref="F25"/>
    </sheetView>
  </sheetViews>
  <sheetFormatPr defaultColWidth="10.6640625" defaultRowHeight="15.95"/>
  <cols>
    <col min="1" max="1" width="2.6640625" style="348" customWidth="1"/>
    <col min="2" max="2" width="22.77734375" style="348" bestFit="1" customWidth="1"/>
    <col min="3" max="10" width="10.6640625" style="348" customWidth="1"/>
    <col min="11" max="11" width="10.6640625" style="348"/>
    <col min="12" max="12" width="10.6640625" style="348" customWidth="1"/>
    <col min="13" max="15" width="10.6640625" style="348"/>
    <col min="16" max="16" width="39.6640625" style="348" bestFit="1" customWidth="1"/>
    <col min="17" max="16384" width="10.6640625" style="348"/>
  </cols>
  <sheetData>
    <row r="1" spans="2:16" ht="20.100000000000001" customHeight="1" thickBot="1">
      <c r="B1" s="356"/>
      <c r="C1" s="353"/>
      <c r="D1" s="353"/>
      <c r="E1" s="353"/>
      <c r="F1" s="353"/>
      <c r="G1" s="353"/>
      <c r="H1" s="353"/>
      <c r="I1" s="353"/>
      <c r="J1" s="353"/>
      <c r="K1" s="353"/>
      <c r="L1" s="353"/>
    </row>
    <row r="2" spans="2:16">
      <c r="B2" s="606" t="s">
        <v>397</v>
      </c>
      <c r="C2" s="607">
        <v>2018</v>
      </c>
      <c r="D2" s="607">
        <v>2019</v>
      </c>
      <c r="E2" s="607">
        <v>2020</v>
      </c>
      <c r="F2" s="607">
        <v>2021</v>
      </c>
      <c r="G2" s="607">
        <v>2022</v>
      </c>
      <c r="H2" s="607">
        <v>2023</v>
      </c>
      <c r="I2" s="608">
        <v>2024</v>
      </c>
      <c r="J2" s="607" t="s">
        <v>398</v>
      </c>
      <c r="K2" s="607" t="s">
        <v>399</v>
      </c>
      <c r="L2" s="607" t="s">
        <v>400</v>
      </c>
      <c r="M2" s="607" t="s">
        <v>401</v>
      </c>
      <c r="N2" s="607" t="s">
        <v>402</v>
      </c>
      <c r="O2" s="609"/>
      <c r="P2" s="610" t="s">
        <v>403</v>
      </c>
    </row>
    <row r="3" spans="2:16" ht="15.95" customHeight="1">
      <c r="B3" s="368" t="s">
        <v>404</v>
      </c>
      <c r="C3" s="369"/>
      <c r="D3" s="369"/>
      <c r="E3" s="369"/>
      <c r="F3" s="369"/>
      <c r="G3" s="369"/>
      <c r="H3" s="369"/>
      <c r="I3" s="370"/>
      <c r="J3" s="369"/>
      <c r="K3" s="369"/>
      <c r="L3" s="369"/>
      <c r="M3" s="369"/>
      <c r="N3" s="369"/>
      <c r="O3" s="369"/>
      <c r="P3" s="370"/>
    </row>
    <row r="4" spans="2:16" ht="15.95" customHeight="1">
      <c r="B4" s="361" t="s">
        <v>405</v>
      </c>
      <c r="C4" s="357">
        <f>IS!C5/IS!C3</f>
        <v>0.33557945943952916</v>
      </c>
      <c r="D4" s="357">
        <f>IS!D5/IS!D3</f>
        <v>0.33626858639161572</v>
      </c>
      <c r="E4" s="357">
        <f>IS!E5/IS!E3</f>
        <v>0.36781228053170634</v>
      </c>
      <c r="F4" s="357">
        <f>IS!F5/IS!F3</f>
        <v>0.36217367946754264</v>
      </c>
      <c r="G4" s="357">
        <f>IS!G5/IS!G3</f>
        <v>0.36672114634359232</v>
      </c>
      <c r="H4" s="357">
        <f>IS!H5/IS!H3</f>
        <v>0.36883126646097397</v>
      </c>
      <c r="I4" s="371">
        <f>IS!I5/IS!I3</f>
        <v>0.38105719567473173</v>
      </c>
      <c r="J4" s="357">
        <f>IS!J5/IS!J3</f>
        <v>0.39</v>
      </c>
      <c r="K4" s="357">
        <f>IS!K5/IS!K3</f>
        <v>0.39699999999999996</v>
      </c>
      <c r="L4" s="357">
        <f>IS!L5/IS!L3</f>
        <v>0.40200000000000002</v>
      </c>
      <c r="M4" s="357">
        <f>IS!M5/IS!M3</f>
        <v>0.40700000000000003</v>
      </c>
      <c r="N4" s="357">
        <f>IS!N5/IS!N3</f>
        <v>0.40699999999999997</v>
      </c>
      <c r="O4" s="352"/>
      <c r="P4" s="362" t="s">
        <v>406</v>
      </c>
    </row>
    <row r="5" spans="2:16" ht="15.95" customHeight="1">
      <c r="B5" s="361" t="s">
        <v>407</v>
      </c>
      <c r="C5" s="357">
        <f>(IS!C5-IS!C6)/IS!C3</f>
        <v>6.5874758225703128E-2</v>
      </c>
      <c r="D5" s="357">
        <f>(IS!D5-IS!D6)/IS!D3</f>
        <v>6.1245981470619812E-2</v>
      </c>
      <c r="E5" s="357">
        <f>(IS!E5-IS!E6)/IS!E3</f>
        <v>7.9678343249454803E-2</v>
      </c>
      <c r="F5" s="357">
        <f>(IS!F5-IS!F6)/IS!F3</f>
        <v>7.5576541069980352E-2</v>
      </c>
      <c r="G5" s="357">
        <f>(IS!G5-IS!G6)/IS!G3</f>
        <v>7.6967182435714682E-2</v>
      </c>
      <c r="H5" s="357">
        <f>(IS!H5-IS!H6)/IS!H3</f>
        <v>7.6257820242361704E-2</v>
      </c>
      <c r="I5" s="371">
        <f>(IS!I5-IS!I6)/IS!I3</f>
        <v>8.422290132900824E-2</v>
      </c>
      <c r="J5" s="357">
        <f>(IS!J5-IS!J6)/IS!J3</f>
        <v>9.0000000000000038E-2</v>
      </c>
      <c r="K5" s="357">
        <f>(IS!K5-IS!K6)/IS!K3</f>
        <v>9.5000000000000001E-2</v>
      </c>
      <c r="L5" s="357">
        <f>(IS!L5-IS!L6)/IS!L3</f>
        <v>9.9000000000000046E-2</v>
      </c>
      <c r="M5" s="357">
        <f>(IS!M5-IS!M6)/IS!M3</f>
        <v>0.10500000000000005</v>
      </c>
      <c r="N5" s="357">
        <f>(IS!N5-IS!N6)/IS!N3</f>
        <v>0.10600000000000002</v>
      </c>
      <c r="O5" s="352"/>
      <c r="P5" s="362" t="s">
        <v>408</v>
      </c>
    </row>
    <row r="6" spans="2:16" ht="15.95" customHeight="1">
      <c r="B6" s="361" t="s">
        <v>409</v>
      </c>
      <c r="C6" s="357">
        <f>IS!C12/IS!C3</f>
        <v>3.7600031954918983E-2</v>
      </c>
      <c r="D6" s="357">
        <f>IS!D12/IS!D3</f>
        <v>3.4813441742304788E-2</v>
      </c>
      <c r="E6" s="357">
        <f>IS!E12/IS!E3</f>
        <v>5.8261252274199732E-2</v>
      </c>
      <c r="F6" s="357">
        <f>IS!F12/IS!F3</f>
        <v>5.2852282565412467E-2</v>
      </c>
      <c r="G6" s="357">
        <f>IS!G12/IS!G3</f>
        <v>5.4544165623214555E-2</v>
      </c>
      <c r="H6" s="357">
        <f>IS!H12/IS!H3</f>
        <v>5.0273613417061262E-2</v>
      </c>
      <c r="I6" s="371">
        <f>IS!I12/IS!I3</f>
        <v>6.5640492843253725E-2</v>
      </c>
      <c r="J6" s="357">
        <f ca="1">IS!J12/IS!J3</f>
        <v>7.0335663545931446E-2</v>
      </c>
      <c r="K6" s="357">
        <f ca="1">IS!K12/IS!K3</f>
        <v>7.4590136168967175E-2</v>
      </c>
      <c r="L6" s="357">
        <f ca="1">IS!L12/IS!L3</f>
        <v>7.9845158478740491E-2</v>
      </c>
      <c r="M6" s="357">
        <f ca="1">IS!M12/IS!M3</f>
        <v>8.8481841842058595E-2</v>
      </c>
      <c r="N6" s="357">
        <f ca="1">IS!N12/IS!N3</f>
        <v>9.37650876630758E-2</v>
      </c>
      <c r="O6" s="352"/>
      <c r="P6" s="362" t="s">
        <v>410</v>
      </c>
    </row>
    <row r="7" spans="2:16" ht="15.95" customHeight="1">
      <c r="B7" s="361" t="s">
        <v>411</v>
      </c>
      <c r="C7" s="357">
        <f>IS!C14/IS!C3</f>
        <v>3.044474180271832E-2</v>
      </c>
      <c r="D7" s="357">
        <f>IS!D14/IS!D3</f>
        <v>2.6554282423531479E-2</v>
      </c>
      <c r="E7" s="357">
        <f>IS!E14/IS!E3</f>
        <v>4.4436653150936679E-2</v>
      </c>
      <c r="F7" s="357">
        <f>IS!F14/IS!F3</f>
        <v>4.002659729249923E-2</v>
      </c>
      <c r="G7" s="357">
        <f>IS!G14/IS!G3</f>
        <v>4.0779966593917798E-2</v>
      </c>
      <c r="H7" s="357">
        <f>IS!H14/IS!H3</f>
        <v>3.7858923822327369E-2</v>
      </c>
      <c r="I7" s="371">
        <f>IS!I14/IS!I3</f>
        <v>4.9305182212353728E-2</v>
      </c>
      <c r="J7" s="357">
        <f ca="1">IS!J14/IS!J3</f>
        <v>5.2751747659448581E-2</v>
      </c>
      <c r="K7" s="357">
        <f ca="1">IS!K14/IS!K3</f>
        <v>5.5942602126725381E-2</v>
      </c>
      <c r="L7" s="357">
        <f ca="1">IS!L14/IS!L3</f>
        <v>5.9883868859055368E-2</v>
      </c>
      <c r="M7" s="357">
        <f ca="1">IS!M14/IS!M3</f>
        <v>6.6361381381543946E-2</v>
      </c>
      <c r="N7" s="357">
        <f ca="1">IS!N14/IS!N3</f>
        <v>7.0323815747306853E-2</v>
      </c>
      <c r="O7" s="352"/>
      <c r="P7" s="362" t="s">
        <v>412</v>
      </c>
    </row>
    <row r="8" spans="2:16" ht="15.95" customHeight="1">
      <c r="B8" s="361" t="s">
        <v>413</v>
      </c>
      <c r="C8" s="357">
        <f>C7*C24</f>
        <v>0</v>
      </c>
      <c r="D8" s="357">
        <f>D7*D24</f>
        <v>5.4950398147913519E-2</v>
      </c>
      <c r="E8" s="357">
        <f t="shared" ref="E8:N8" si="0">E7*E24</f>
        <v>0.10242645036138773</v>
      </c>
      <c r="F8" s="357">
        <f t="shared" si="0"/>
        <v>8.3526306696794339E-2</v>
      </c>
      <c r="G8" s="357">
        <f t="shared" si="0"/>
        <v>8.5059178342745859E-2</v>
      </c>
      <c r="H8" s="357">
        <f t="shared" si="0"/>
        <v>7.779462095047586E-2</v>
      </c>
      <c r="I8" s="371">
        <f t="shared" si="0"/>
        <v>0.10454063903662457</v>
      </c>
      <c r="J8" s="357">
        <f t="shared" ca="1" si="0"/>
        <v>0.11278355086141986</v>
      </c>
      <c r="K8" s="357">
        <f t="shared" ca="1" si="0"/>
        <v>0.11798087810341029</v>
      </c>
      <c r="L8" s="357">
        <f t="shared" ca="1" si="0"/>
        <v>0.12465329786159036</v>
      </c>
      <c r="M8" s="357">
        <f t="shared" ca="1" si="0"/>
        <v>0.13527903533467561</v>
      </c>
      <c r="N8" s="357">
        <f t="shared" ca="1" si="0"/>
        <v>0.13710268645857146</v>
      </c>
      <c r="O8" s="352"/>
      <c r="P8" s="362" t="s">
        <v>414</v>
      </c>
    </row>
    <row r="9" spans="2:16" ht="15.95" customHeight="1">
      <c r="B9" s="361" t="s">
        <v>415</v>
      </c>
      <c r="C9" s="352"/>
      <c r="D9" s="352">
        <f>IS!D14/BS!D37</f>
        <v>0.25711570713735843</v>
      </c>
      <c r="E9" s="352">
        <f>IS!E14/BS!E37</f>
        <v>0.32616848199180071</v>
      </c>
      <c r="F9" s="352">
        <f>IS!F14/BS!F37</f>
        <v>0.25436306356237681</v>
      </c>
      <c r="G9" s="352">
        <f>IS!G14/BS!G37</f>
        <v>0.24956854620616897</v>
      </c>
      <c r="H9" s="352">
        <f>IS!H14/BS!H37</f>
        <v>0.22537693276809742</v>
      </c>
      <c r="I9" s="372">
        <f>IS!I14/BS!I37</f>
        <v>0.28792118575406633</v>
      </c>
      <c r="J9" s="352">
        <f ca="1">IS!J14/BS!J37</f>
        <v>0.29685033592655069</v>
      </c>
      <c r="K9" s="352">
        <f ca="1">IS!K14/BS!K37</f>
        <v>0.29653828026743284</v>
      </c>
      <c r="L9" s="352">
        <f ca="1">IS!L14/BS!L37</f>
        <v>0.29230588500767352</v>
      </c>
      <c r="M9" s="352">
        <f ca="1">IS!M14/BS!M37</f>
        <v>0.28930986686997712</v>
      </c>
      <c r="N9" s="352">
        <f ca="1">IS!N14/BS!N37</f>
        <v>0.27029108383739309</v>
      </c>
      <c r="O9" s="352"/>
      <c r="P9" s="362" t="s">
        <v>416</v>
      </c>
    </row>
    <row r="10" spans="2:16" ht="15.95" customHeight="1">
      <c r="B10" s="368" t="s">
        <v>417</v>
      </c>
      <c r="C10" s="369"/>
      <c r="D10" s="369"/>
      <c r="E10" s="369"/>
      <c r="F10" s="369"/>
      <c r="G10" s="369"/>
      <c r="H10" s="369"/>
      <c r="I10" s="370"/>
      <c r="J10" s="369"/>
      <c r="K10" s="369"/>
      <c r="L10" s="369"/>
      <c r="M10" s="369"/>
      <c r="N10" s="369"/>
      <c r="O10" s="369"/>
      <c r="P10" s="370"/>
    </row>
    <row r="11" spans="2:16" ht="15.95" customHeight="1">
      <c r="B11" s="361" t="s">
        <v>418</v>
      </c>
      <c r="C11" s="358"/>
      <c r="D11" s="358">
        <f>BS!D8/BS!D23</f>
        <v>0.93048904542095712</v>
      </c>
      <c r="E11" s="358">
        <f>BS!E8/BS!E23</f>
        <v>0.93918553933227444</v>
      </c>
      <c r="F11" s="358">
        <f>BS!F8/BS!F23</f>
        <v>1.10563943965895</v>
      </c>
      <c r="G11" s="358">
        <f>BS!G8/BS!G23</f>
        <v>1.2898732723304873</v>
      </c>
      <c r="H11" s="358">
        <f>BS!H8/BS!H23</f>
        <v>1.1040523416028336</v>
      </c>
      <c r="I11" s="373">
        <f>BS!I8/BS!I23</f>
        <v>0.99345851569485621</v>
      </c>
      <c r="J11" s="358">
        <f ca="1">BS!J8/BS!J23</f>
        <v>1.1734588063873261</v>
      </c>
      <c r="K11" s="358">
        <f ca="1">BS!K8/BS!K23</f>
        <v>1.4119422191867699</v>
      </c>
      <c r="L11" s="358">
        <f ca="1">BS!L8/BS!L23</f>
        <v>1.7172174514060048</v>
      </c>
      <c r="M11" s="358">
        <f ca="1">BS!M8/BS!M23</f>
        <v>2.1394934368122462</v>
      </c>
      <c r="N11" s="358">
        <f ca="1">BS!N8/BS!N23</f>
        <v>2.6360354328705364</v>
      </c>
      <c r="O11" s="352"/>
      <c r="P11" s="362" t="s">
        <v>419</v>
      </c>
    </row>
    <row r="12" spans="2:16" ht="15.95" customHeight="1">
      <c r="B12" s="361" t="s">
        <v>420</v>
      </c>
      <c r="C12" s="358"/>
      <c r="D12" s="358">
        <f>(BS!D4+BS!D5)/BS!D23</f>
        <v>0.24238025776609118</v>
      </c>
      <c r="E12" s="358">
        <f>(BS!E4+BS!E5)/BS!E23</f>
        <v>0.37190102633976441</v>
      </c>
      <c r="F12" s="358">
        <f>(BS!F4+BS!F5)/BS!F23</f>
        <v>0.51971768720069023</v>
      </c>
      <c r="G12" s="358">
        <f>(BS!G4+BS!G5)/BS!G23</f>
        <v>0.59217619357555806</v>
      </c>
      <c r="H12" s="358">
        <f>(BS!H4+BS!H5)/BS!H23</f>
        <v>0.42442888516262578</v>
      </c>
      <c r="I12" s="373">
        <f>(BS!I4+BS!I5)/BS!I23</f>
        <v>0.43540284248670524</v>
      </c>
      <c r="J12" s="358">
        <f ca="1">(BS!J4+BS!J5)/BS!J23</f>
        <v>0.60931063624961446</v>
      </c>
      <c r="K12" s="358">
        <f ca="1">(BS!K4+BS!K5)/BS!K23</f>
        <v>0.85798783411125212</v>
      </c>
      <c r="L12" s="358">
        <f ca="1">(BS!L4+BS!L5)/BS!L23</f>
        <v>1.1608854170259626</v>
      </c>
      <c r="M12" s="358">
        <f ca="1">(BS!M4+BS!M5)/BS!M23</f>
        <v>1.5761321139578024</v>
      </c>
      <c r="N12" s="358">
        <f ca="1">(BS!N4+BS!N5)/BS!N23</f>
        <v>2.0660770715722294</v>
      </c>
      <c r="O12" s="352"/>
      <c r="P12" s="362" t="s">
        <v>421</v>
      </c>
    </row>
    <row r="13" spans="2:16" ht="15.95" customHeight="1">
      <c r="B13" s="368" t="s">
        <v>422</v>
      </c>
      <c r="C13" s="369"/>
      <c r="D13" s="369"/>
      <c r="E13" s="369"/>
      <c r="F13" s="369"/>
      <c r="G13" s="369"/>
      <c r="H13" s="369"/>
      <c r="I13" s="370"/>
      <c r="J13" s="369"/>
      <c r="K13" s="369"/>
      <c r="L13" s="369"/>
      <c r="M13" s="369"/>
      <c r="N13" s="369"/>
      <c r="O13" s="369"/>
      <c r="P13" s="370"/>
    </row>
    <row r="14" spans="2:16" ht="15.95" customHeight="1">
      <c r="B14" s="361" t="s">
        <v>423</v>
      </c>
      <c r="C14" s="354"/>
      <c r="D14" s="354">
        <f>BS!D14/BS!D37</f>
        <v>4.6790508495546028</v>
      </c>
      <c r="E14" s="354">
        <f>BS!E14/BS!E37</f>
        <v>3.1844165334343968</v>
      </c>
      <c r="F14" s="354">
        <f>BS!F14/BS!F37</f>
        <v>3.0453048102046516</v>
      </c>
      <c r="G14" s="354">
        <f>BS!G14/BS!G37</f>
        <v>2.9340578062079654</v>
      </c>
      <c r="H14" s="354">
        <f>BS!H14/BS!H37</f>
        <v>2.8970760447765742</v>
      </c>
      <c r="I14" s="374">
        <f>BS!I14/BS!I37</f>
        <v>2.7541555935313977</v>
      </c>
      <c r="J14" s="354">
        <f ca="1">BS!J14/BS!J37</f>
        <v>2.632035732686751</v>
      </c>
      <c r="K14" s="354">
        <f ca="1">BS!K14/BS!K37</f>
        <v>2.5134435769118184</v>
      </c>
      <c r="L14" s="354">
        <f ca="1">BS!L14/BS!L37</f>
        <v>2.344951076482849</v>
      </c>
      <c r="M14" s="354">
        <f ca="1">BS!M14/BS!M37</f>
        <v>2.1386156853812168</v>
      </c>
      <c r="N14" s="354">
        <f ca="1">BS!N14/BS!N37</f>
        <v>1.9714499461618313</v>
      </c>
      <c r="O14" s="352"/>
      <c r="P14" s="362" t="s">
        <v>424</v>
      </c>
    </row>
    <row r="15" spans="2:16" ht="15.95" customHeight="1">
      <c r="B15" s="361" t="s">
        <v>425</v>
      </c>
      <c r="C15" s="354"/>
      <c r="D15" s="354">
        <f>(BS!D30-BS!D23)/BS!D37</f>
        <v>2.9628199576597383</v>
      </c>
      <c r="E15" s="354">
        <f>(BS!E30-BS!E23)/BS!E37</f>
        <v>1.6214573359824711</v>
      </c>
      <c r="F15" s="354">
        <f>(BS!F30-BS!F23)/BS!F37</f>
        <v>1.5103680058674245</v>
      </c>
      <c r="G15" s="354">
        <f>(BS!G30-BS!G23)/BS!G37</f>
        <v>1.4348710225502694</v>
      </c>
      <c r="H15" s="354">
        <f>(BS!H30-BS!H23)/BS!H37</f>
        <v>1.4209361915533278</v>
      </c>
      <c r="I15" s="374">
        <f>(BS!I30-BS!I23)/BS!I37</f>
        <v>1.239766002240726</v>
      </c>
      <c r="J15" s="354">
        <f ca="1">(BS!J30-BS!J23)/BS!J37</f>
        <v>1.154009907144609</v>
      </c>
      <c r="K15" s="354">
        <f ca="1">(BS!K30-BS!K23)/BS!K37</f>
        <v>1.065903520051674</v>
      </c>
      <c r="L15" s="354">
        <f ca="1">(BS!L30-BS!L23)/BS!L37</f>
        <v>0.93799707002774224</v>
      </c>
      <c r="M15" s="354">
        <f ca="1">(BS!M30-BS!M23)/BS!M37</f>
        <v>0.78268453562957407</v>
      </c>
      <c r="N15" s="354">
        <f ca="1">(BS!N30-BS!N23)/BS!N37</f>
        <v>0.66128596642004311</v>
      </c>
      <c r="O15" s="352"/>
      <c r="P15" s="362" t="s">
        <v>426</v>
      </c>
    </row>
    <row r="16" spans="2:16" ht="15.95" customHeight="1">
      <c r="B16" s="361" t="s">
        <v>427</v>
      </c>
      <c r="C16" s="354"/>
      <c r="D16" s="354">
        <f>(BS!D25)/(BS!D25+BS!D37)</f>
        <v>0.48037773047416316</v>
      </c>
      <c r="E16" s="354">
        <f>(BS!E25)/(BS!E25+BS!E37)</f>
        <v>0.2209860752254279</v>
      </c>
      <c r="F16" s="354">
        <f>(BS!F25)/(BS!F25+BS!F37)</f>
        <v>0.20663274583511038</v>
      </c>
      <c r="G16" s="354">
        <f>(BS!G25)/(BS!G25+BS!G37)</f>
        <v>0.19283249335499228</v>
      </c>
      <c r="H16" s="354">
        <f>(BS!H25)/(BS!H25+BS!H37)</f>
        <v>9.8151069414791917E-2</v>
      </c>
      <c r="I16" s="374">
        <f>(BS!I25)/(BS!I25+BS!I37)</f>
        <v>0</v>
      </c>
      <c r="J16" s="354">
        <f ca="1">(BS!J25)/(BS!J25+BS!J37)</f>
        <v>0</v>
      </c>
      <c r="K16" s="354">
        <f ca="1">(BS!K25)/(BS!K25+BS!K37)</f>
        <v>0</v>
      </c>
      <c r="L16" s="354">
        <f ca="1">(BS!L25)/(BS!L25+BS!L37)</f>
        <v>0</v>
      </c>
      <c r="M16" s="354">
        <f ca="1">(BS!M25)/(BS!M25+BS!M37)</f>
        <v>0</v>
      </c>
      <c r="N16" s="354">
        <f ca="1">(BS!N25)/(BS!N25+BS!N37)</f>
        <v>0</v>
      </c>
      <c r="O16" s="352"/>
      <c r="P16" s="362" t="s">
        <v>428</v>
      </c>
    </row>
    <row r="17" spans="2:16" ht="15.95" customHeight="1">
      <c r="B17" s="361" t="s">
        <v>429</v>
      </c>
      <c r="C17" s="354"/>
      <c r="D17" s="354">
        <f>BS!D30/BS!D37</f>
        <v>3.6790508495546024</v>
      </c>
      <c r="E17" s="354">
        <f>BS!E30/BS!E37</f>
        <v>2.1844165334343968</v>
      </c>
      <c r="F17" s="354">
        <f>BS!F30/BS!F37</f>
        <v>2.0453048102046516</v>
      </c>
      <c r="G17" s="354">
        <f>BS!G30/BS!G37</f>
        <v>1.9340578062079654</v>
      </c>
      <c r="H17" s="354">
        <f>BS!H30/BS!H37</f>
        <v>1.8970760447765742</v>
      </c>
      <c r="I17" s="374">
        <f>BS!I30/BS!I37</f>
        <v>1.7541555935313977</v>
      </c>
      <c r="J17" s="354">
        <f ca="1">BS!J30/BS!J37</f>
        <v>1.6320357326867516</v>
      </c>
      <c r="K17" s="354">
        <f ca="1">BS!K30/BS!K37</f>
        <v>1.5134435769118184</v>
      </c>
      <c r="L17" s="354">
        <f ca="1">BS!L30/BS!L37</f>
        <v>1.3449510764828487</v>
      </c>
      <c r="M17" s="354">
        <f ca="1">BS!M30/BS!M37</f>
        <v>1.1386156853812166</v>
      </c>
      <c r="N17" s="354">
        <f ca="1">BS!N30/BS!N37</f>
        <v>0.97144994616183111</v>
      </c>
      <c r="O17" s="352"/>
      <c r="P17" s="362" t="s">
        <v>430</v>
      </c>
    </row>
    <row r="18" spans="2:16" ht="15.95" customHeight="1">
      <c r="B18" s="361" t="s">
        <v>431</v>
      </c>
      <c r="C18" s="359"/>
      <c r="D18" s="357">
        <f>(BS!D8-BS!D23)/(BS!D24+BS!D25+BS!D26+BS!D37)</f>
        <v>-1.310818722181353E-2</v>
      </c>
      <c r="E18" s="359">
        <f>(BS!E8-BS!E23)/(BS!E24+BS!E25+BS!E26+BS!E37)</f>
        <v>-1.3644542748182394E-2</v>
      </c>
      <c r="F18" s="359">
        <f>(BS!F8-BS!F23)/(BS!F24+BS!F25+BS!F26+BS!F37)</f>
        <v>2.3426638813081397E-2</v>
      </c>
      <c r="G18" s="359">
        <f>(BS!G8-BS!G23)/(BS!G24+BS!G25+BS!G26+BS!G37)</f>
        <v>6.1792170450803235E-2</v>
      </c>
      <c r="H18" s="359">
        <f>(BS!H8-BS!H23)/(BS!H24+BS!H25+BS!H26+BS!H37)</f>
        <v>2.1217357194952251E-2</v>
      </c>
      <c r="I18" s="375">
        <f>(BS!I8-BS!I23)/(BS!I24+BS!I25+BS!I26+BS!I37)</f>
        <v>-1.5610232704069225E-3</v>
      </c>
      <c r="J18" s="359">
        <f ca="1">(BS!J8-BS!J23)/(BS!J24+BS!J25+BS!J26+BS!J37)</f>
        <v>3.9993628822880725E-2</v>
      </c>
      <c r="K18" s="359">
        <f ca="1">(BS!K8-BS!K23)/(BS!K24+BS!K25+BS!K26+BS!K37)</f>
        <v>9.2797598269902207E-2</v>
      </c>
      <c r="L18" s="359">
        <f ca="1">(BS!L8-BS!L23)/(BS!L24+BS!L25+BS!L26+BS!L37)</f>
        <v>0.15679804275037904</v>
      </c>
      <c r="M18" s="359">
        <f ca="1">(BS!M8-BS!M23)/(BS!M24+BS!M25+BS!M26+BS!M37)</f>
        <v>0.23731219979700002</v>
      </c>
      <c r="N18" s="359">
        <f ca="1">(BS!N8-BS!N23)/(BS!N24+BS!N25+BS!N26+BS!N37)</f>
        <v>0.31843606253586781</v>
      </c>
      <c r="O18" s="352"/>
      <c r="P18" s="363" t="s">
        <v>432</v>
      </c>
    </row>
    <row r="19" spans="2:16" ht="15.95" customHeight="1">
      <c r="B19" s="361" t="s">
        <v>433</v>
      </c>
      <c r="C19" s="354"/>
      <c r="D19" s="354">
        <f>(BS!D24+BS!D25+BS!D26)/IS!D9</f>
        <v>7.4914703717335298</v>
      </c>
      <c r="E19" s="354">
        <f>(BS!E24+BS!E25+BS!E26)/IS!E9</f>
        <v>3.3957438116757945</v>
      </c>
      <c r="F19" s="354">
        <f>(BS!F24+BS!F25+BS!F26)/IS!F9</f>
        <v>4.0576545456722419</v>
      </c>
      <c r="G19" s="354">
        <f>(BS!G24+BS!G25+BS!G26)/IS!G9</f>
        <v>3.9180572608550062</v>
      </c>
      <c r="H19" s="354">
        <f>(BS!H24+BS!H25+BS!H26)/IS!H9</f>
        <v>4.3781418549471631</v>
      </c>
      <c r="I19" s="374">
        <f>(BS!I24+BS!I25+BS!I26)/IS!I9</f>
        <v>3.027807895785307</v>
      </c>
      <c r="J19" s="354">
        <f ca="1">(BS!J24+BS!J25+BS!J26)/IS!J9</f>
        <v>2.7084522178455903</v>
      </c>
      <c r="K19" s="354">
        <f ca="1">(BS!K24+BS!K25+BS!K26)/IS!K9</f>
        <v>2.4929660470332911</v>
      </c>
      <c r="L19" s="354">
        <f ca="1">(BS!L24+BS!L25+BS!L26)/IS!L9</f>
        <v>2.2083937505118438</v>
      </c>
      <c r="M19" s="354">
        <f ca="1">(BS!M24+BS!M25+BS!M26)/IS!M9</f>
        <v>1.8367928276827368</v>
      </c>
      <c r="N19" s="354">
        <f ca="1">(BS!N24+BS!N25+BS!N26)/IS!N9</f>
        <v>1.6458418100557872</v>
      </c>
      <c r="O19" s="352"/>
      <c r="P19" s="361" t="s">
        <v>433</v>
      </c>
    </row>
    <row r="20" spans="2:16" ht="15.95" customHeight="1">
      <c r="B20" s="361" t="s">
        <v>434</v>
      </c>
      <c r="C20" s="399">
        <f>IS!C9/IS!C10</f>
        <v>8.1250592309094216</v>
      </c>
      <c r="D20" s="399">
        <f>IS!D9/IS!D10</f>
        <v>10.256700641751605</v>
      </c>
      <c r="E20" s="399">
        <f>IS!E9/IS!E10</f>
        <v>26.48711706228444</v>
      </c>
      <c r="F20" s="399">
        <f>IS!F9/IS!F10</f>
        <v>28.592605272167066</v>
      </c>
      <c r="G20" s="399">
        <f>IS!G9/IS!G10</f>
        <v>39.610920747209022</v>
      </c>
      <c r="H20" s="399">
        <f>IS!H9/IS!H10</f>
        <v>53.956401170851947</v>
      </c>
      <c r="I20" s="402">
        <f>IS!I9/IS!I10</f>
        <v>-229.21263062244435</v>
      </c>
      <c r="J20" s="399">
        <f ca="1">IS!J9/IS!J10</f>
        <v>846.1930287205073</v>
      </c>
      <c r="K20" s="399">
        <f ca="1">IS!K9/IS!K10</f>
        <v>970.70795223304276</v>
      </c>
      <c r="L20" s="399">
        <f ca="1">IS!L9/IS!L10</f>
        <v>1124.8333609024583</v>
      </c>
      <c r="M20" s="399">
        <f ca="1">IS!M9/IS!M10</f>
        <v>1349.593666789835</v>
      </c>
      <c r="N20" s="399">
        <f ca="1">IS!N9/IS!N10</f>
        <v>1506.5786562673036</v>
      </c>
      <c r="O20" s="352"/>
      <c r="P20" s="362" t="s">
        <v>435</v>
      </c>
    </row>
    <row r="21" spans="2:16" ht="15.95" customHeight="1">
      <c r="B21" s="368" t="s">
        <v>436</v>
      </c>
      <c r="C21" s="369"/>
      <c r="D21" s="369"/>
      <c r="E21" s="369"/>
      <c r="F21" s="369"/>
      <c r="G21" s="369"/>
      <c r="H21" s="369"/>
      <c r="I21" s="370"/>
      <c r="J21" s="369"/>
      <c r="K21" s="369"/>
      <c r="L21" s="369"/>
      <c r="M21" s="369"/>
      <c r="N21" s="369"/>
      <c r="O21" s="369"/>
      <c r="P21" s="370"/>
    </row>
    <row r="22" spans="2:16" ht="15.95" customHeight="1">
      <c r="B22" s="361" t="s">
        <v>436</v>
      </c>
      <c r="C22" s="354"/>
      <c r="D22" s="354">
        <f>IS!D55/IS!D49</f>
        <v>-0.30333339448432517</v>
      </c>
      <c r="E22" s="354">
        <f>IS!E55/IS!E49</f>
        <v>5.4185732718806436</v>
      </c>
      <c r="F22" s="354">
        <f>IS!F55/IS!F49</f>
        <v>2.5783915100499208</v>
      </c>
      <c r="G22" s="354">
        <f>IS!G55/IS!G49</f>
        <v>1.4568553780101137</v>
      </c>
      <c r="H22" s="354">
        <f>IS!H55/IS!H49</f>
        <v>-0.33537809532254126</v>
      </c>
      <c r="I22" s="374">
        <f>IS!I55/IS!I49</f>
        <v>3.4149418166705612</v>
      </c>
      <c r="J22" s="354">
        <f>IS!J55/IS!J49</f>
        <v>1.6421437569966388</v>
      </c>
      <c r="K22" s="354">
        <f>IS!K55/IS!K49</f>
        <v>1.4737691710891074</v>
      </c>
      <c r="L22" s="354">
        <f>IS!L55/IS!L49</f>
        <v>1.5487811001532927</v>
      </c>
      <c r="M22" s="354">
        <f>IS!M55/IS!M49</f>
        <v>1.8958213874271581</v>
      </c>
      <c r="N22" s="354">
        <f>IS!N55/IS!N49</f>
        <v>1.5656186431518226</v>
      </c>
      <c r="O22" s="352"/>
      <c r="P22" s="362" t="s">
        <v>437</v>
      </c>
    </row>
    <row r="23" spans="2:16" ht="15.95" customHeight="1">
      <c r="B23" s="368" t="s">
        <v>438</v>
      </c>
      <c r="C23" s="369"/>
      <c r="D23" s="369"/>
      <c r="E23" s="369"/>
      <c r="F23" s="369"/>
      <c r="G23" s="369"/>
      <c r="H23" s="369"/>
      <c r="I23" s="370"/>
      <c r="J23" s="369"/>
      <c r="K23" s="369"/>
      <c r="L23" s="369"/>
      <c r="M23" s="369"/>
      <c r="N23" s="369"/>
      <c r="O23" s="369"/>
      <c r="P23" s="370"/>
    </row>
    <row r="24" spans="2:16" ht="15.95" customHeight="1">
      <c r="B24" s="361" t="s">
        <v>439</v>
      </c>
      <c r="C24" s="360"/>
      <c r="D24" s="360">
        <f>IS!D3/BS!D14</f>
        <v>2.0693610646853102</v>
      </c>
      <c r="E24" s="360">
        <f>IS!E3/BS!E14</f>
        <v>2.3049992089520965</v>
      </c>
      <c r="F24" s="360">
        <f>IS!F3/BS!F14</f>
        <v>2.0867701065472963</v>
      </c>
      <c r="G24" s="360">
        <f>IS!G3/BS!G14</f>
        <v>2.0858079455963106</v>
      </c>
      <c r="H24" s="360">
        <f>IS!H3/BS!H14</f>
        <v>2.0548555821493357</v>
      </c>
      <c r="I24" s="376">
        <f>IS!I3/BS!I14</f>
        <v>2.1202769028694766</v>
      </c>
      <c r="J24" s="360">
        <f ca="1">IS!J3/BS!J14</f>
        <v>2.1380059593384626</v>
      </c>
      <c r="K24" s="360">
        <f ca="1">IS!K3/BS!K14</f>
        <v>2.1089630016878935</v>
      </c>
      <c r="L24" s="360">
        <f ca="1">IS!L3/BS!L14</f>
        <v>2.0815839095997362</v>
      </c>
      <c r="M24" s="360">
        <f ca="1">IS!M3/BS!M14</f>
        <v>2.0385204846308196</v>
      </c>
      <c r="N24" s="360">
        <f ca="1">IS!N3/BS!N14</f>
        <v>1.9495911164891815</v>
      </c>
      <c r="O24" s="352"/>
      <c r="P24" s="362" t="s">
        <v>440</v>
      </c>
    </row>
    <row r="25" spans="2:16" ht="15.95" customHeight="1">
      <c r="B25" s="361" t="s">
        <v>441</v>
      </c>
      <c r="C25" s="360"/>
      <c r="D25" s="400">
        <f>IS!D3/BS!D5</f>
        <v>358.60974988862728</v>
      </c>
      <c r="E25" s="360">
        <f>IS!E3/BS!E5</f>
        <v>436.63577455281808</v>
      </c>
      <c r="F25" s="360">
        <f>IS!F3/BS!F5</f>
        <v>282.74167979975897</v>
      </c>
      <c r="G25" s="360">
        <f>IS!G3/BS!G5</f>
        <v>397.58027067295751</v>
      </c>
      <c r="H25" s="360">
        <f>IS!H3/BS!H5</f>
        <v>225.55946293669382</v>
      </c>
      <c r="I25" s="376">
        <f>IS!I3/BS!I5</f>
        <v>249.80712598297791</v>
      </c>
      <c r="J25" s="360">
        <f>IS!J3/BS!J5</f>
        <v>249.80712598297791</v>
      </c>
      <c r="K25" s="360">
        <f>IS!K3/BS!K5</f>
        <v>249.80712598297791</v>
      </c>
      <c r="L25" s="360">
        <f>IS!L3/BS!L5</f>
        <v>249.80712598297791</v>
      </c>
      <c r="M25" s="360">
        <f>IS!M3/BS!M5</f>
        <v>249.80712598297794</v>
      </c>
      <c r="N25" s="360">
        <f>IS!N3/BS!N5</f>
        <v>249.80712598297791</v>
      </c>
      <c r="O25" s="352"/>
      <c r="P25" s="362" t="s">
        <v>442</v>
      </c>
    </row>
    <row r="26" spans="2:16" ht="15.95" customHeight="1">
      <c r="B26" s="361" t="s">
        <v>443</v>
      </c>
      <c r="C26" s="360"/>
      <c r="D26" s="401">
        <f>IS!D4/BS!D6</f>
        <v>13.551817348421437</v>
      </c>
      <c r="E26" s="360">
        <f>IS!E4/BS!E6</f>
        <v>16.08608943294103</v>
      </c>
      <c r="F26" s="360">
        <f>IS!F4/BS!F6</f>
        <v>14.660314936300573</v>
      </c>
      <c r="G26" s="360">
        <f>IS!G4/BS!G6</f>
        <v>13.059810977475085</v>
      </c>
      <c r="H26" s="360">
        <f>IS!H4/BS!H6</f>
        <v>13.352629038546031</v>
      </c>
      <c r="I26" s="376">
        <f>IS!I4/BS!I6</f>
        <v>13.916095057510434</v>
      </c>
      <c r="J26" s="360">
        <f>IS!J4/BS!J6</f>
        <v>14.084507042253524</v>
      </c>
      <c r="K26" s="360">
        <f>IS!K4/BS!K6</f>
        <v>14.285714285714285</v>
      </c>
      <c r="L26" s="360">
        <f>IS!L4/BS!L6</f>
        <v>14.285714285714285</v>
      </c>
      <c r="M26" s="360">
        <f>IS!M4/BS!M6</f>
        <v>14.285714285714286</v>
      </c>
      <c r="N26" s="360">
        <f>IS!N4/BS!N6</f>
        <v>14.285714285714285</v>
      </c>
      <c r="O26" s="352"/>
      <c r="P26" s="362" t="s">
        <v>444</v>
      </c>
    </row>
    <row r="27" spans="2:16" ht="15.95" customHeight="1">
      <c r="B27" s="361" t="s">
        <v>445</v>
      </c>
      <c r="C27" s="360"/>
      <c r="D27" s="360">
        <f>IS!D4/BS!D17</f>
        <v>30.446495005657813</v>
      </c>
      <c r="E27" s="360">
        <f>IS!E4/BS!E17</f>
        <v>29.349490802873607</v>
      </c>
      <c r="F27" s="360">
        <f>IS!F4/BS!F17</f>
        <v>26.666417639358194</v>
      </c>
      <c r="G27" s="360">
        <f>IS!G4/BS!G17</f>
        <v>23.456131726275853</v>
      </c>
      <c r="H27" s="360">
        <f>IS!H4/BS!H17</f>
        <v>23.984966125150756</v>
      </c>
      <c r="I27" s="376">
        <f>IS!I4/BS!I17</f>
        <v>22.387467551332154</v>
      </c>
      <c r="J27" s="360">
        <f>IS!J4/BS!J17</f>
        <v>22.222222222222221</v>
      </c>
      <c r="K27" s="360">
        <f>IS!K4/BS!K17</f>
        <v>22.222222222222225</v>
      </c>
      <c r="L27" s="360">
        <f>IS!L4/BS!L17</f>
        <v>22.222222222222221</v>
      </c>
      <c r="M27" s="360">
        <f>IS!M4/BS!M17</f>
        <v>22.222222222222225</v>
      </c>
      <c r="N27" s="360">
        <f>IS!N4/BS!N17</f>
        <v>22.222222222222225</v>
      </c>
      <c r="O27" s="352"/>
      <c r="P27" s="362" t="s">
        <v>446</v>
      </c>
    </row>
    <row r="28" spans="2:16" ht="15.95" customHeight="1">
      <c r="B28" s="361" t="s">
        <v>447</v>
      </c>
      <c r="C28" s="360"/>
      <c r="D28" s="360">
        <f>365/D25</f>
        <v>1.0178195102429795</v>
      </c>
      <c r="E28" s="360">
        <f t="shared" ref="E28:N28" si="1">365/E25</f>
        <v>0.83593700120842351</v>
      </c>
      <c r="F28" s="360">
        <f t="shared" si="1"/>
        <v>1.2909310019608617</v>
      </c>
      <c r="G28" s="360">
        <f t="shared" si="1"/>
        <v>0.91805360306785078</v>
      </c>
      <c r="H28" s="360">
        <f t="shared" si="1"/>
        <v>1.6181985683413422</v>
      </c>
      <c r="I28" s="376">
        <f t="shared" si="1"/>
        <v>1.4611272539313849</v>
      </c>
      <c r="J28" s="360">
        <f t="shared" si="1"/>
        <v>1.4611272539313849</v>
      </c>
      <c r="K28" s="360">
        <f t="shared" si="1"/>
        <v>1.4611272539313849</v>
      </c>
      <c r="L28" s="360">
        <f t="shared" si="1"/>
        <v>1.4611272539313849</v>
      </c>
      <c r="M28" s="360">
        <f t="shared" si="1"/>
        <v>1.4611272539313847</v>
      </c>
      <c r="N28" s="360">
        <f t="shared" si="1"/>
        <v>1.4611272539313849</v>
      </c>
      <c r="O28" s="352"/>
      <c r="P28" s="364" t="s">
        <v>448</v>
      </c>
    </row>
    <row r="29" spans="2:16" ht="15.95" customHeight="1">
      <c r="B29" s="361" t="s">
        <v>449</v>
      </c>
      <c r="C29" s="360"/>
      <c r="D29" s="360">
        <f>365/D26</f>
        <v>26.933656986051133</v>
      </c>
      <c r="E29" s="360">
        <f t="shared" ref="E29:N29" si="2">365/E26</f>
        <v>22.690412205004559</v>
      </c>
      <c r="F29" s="360">
        <f t="shared" si="2"/>
        <v>24.897145906205559</v>
      </c>
      <c r="G29" s="360">
        <f t="shared" si="2"/>
        <v>27.94833712597632</v>
      </c>
      <c r="H29" s="360">
        <f t="shared" si="2"/>
        <v>27.335440754500649</v>
      </c>
      <c r="I29" s="376">
        <f t="shared" si="2"/>
        <v>26.228622217050152</v>
      </c>
      <c r="J29" s="360">
        <f t="shared" si="2"/>
        <v>25.914999999999996</v>
      </c>
      <c r="K29" s="360">
        <f t="shared" si="2"/>
        <v>25.55</v>
      </c>
      <c r="L29" s="360">
        <f t="shared" si="2"/>
        <v>25.55</v>
      </c>
      <c r="M29" s="360">
        <f t="shared" si="2"/>
        <v>25.549999999999997</v>
      </c>
      <c r="N29" s="360">
        <f t="shared" si="2"/>
        <v>25.55</v>
      </c>
      <c r="O29" s="352"/>
      <c r="P29" s="364" t="s">
        <v>450</v>
      </c>
    </row>
    <row r="30" spans="2:16">
      <c r="B30" s="361" t="s">
        <v>451</v>
      </c>
      <c r="C30" s="360"/>
      <c r="D30" s="360">
        <f>365/D27</f>
        <v>11.988243636325716</v>
      </c>
      <c r="E30" s="360">
        <f t="shared" ref="E30:N30" si="3">365/E27</f>
        <v>12.436331602872745</v>
      </c>
      <c r="F30" s="360">
        <f t="shared" si="3"/>
        <v>13.687627822241849</v>
      </c>
      <c r="G30" s="360">
        <f t="shared" si="3"/>
        <v>15.560963088859294</v>
      </c>
      <c r="H30" s="360">
        <f t="shared" si="3"/>
        <v>15.217865978858281</v>
      </c>
      <c r="I30" s="376">
        <f t="shared" si="3"/>
        <v>16.303764557696965</v>
      </c>
      <c r="J30" s="360">
        <f t="shared" si="3"/>
        <v>16.425000000000001</v>
      </c>
      <c r="K30" s="360">
        <f t="shared" si="3"/>
        <v>16.424999999999997</v>
      </c>
      <c r="L30" s="360">
        <f t="shared" si="3"/>
        <v>16.425000000000001</v>
      </c>
      <c r="M30" s="360">
        <f t="shared" si="3"/>
        <v>16.424999999999997</v>
      </c>
      <c r="N30" s="360">
        <f t="shared" si="3"/>
        <v>16.424999999999997</v>
      </c>
      <c r="O30" s="352"/>
      <c r="P30" s="364" t="s">
        <v>452</v>
      </c>
    </row>
    <row r="31" spans="2:16" ht="17.100000000000001" thickBot="1">
      <c r="B31" s="365" t="s">
        <v>453</v>
      </c>
      <c r="C31" s="355"/>
      <c r="D31" s="355">
        <f>D29+D28-D30</f>
        <v>15.963232859968397</v>
      </c>
      <c r="E31" s="355">
        <f t="shared" ref="E31:N31" si="4">E29+E28-E30</f>
        <v>11.09001760334024</v>
      </c>
      <c r="F31" s="355">
        <f t="shared" si="4"/>
        <v>12.50044908592457</v>
      </c>
      <c r="G31" s="355">
        <f t="shared" si="4"/>
        <v>13.305427640184876</v>
      </c>
      <c r="H31" s="355">
        <f t="shared" si="4"/>
        <v>13.735773343983709</v>
      </c>
      <c r="I31" s="377">
        <f>I29+I28-I30</f>
        <v>11.38598491328457</v>
      </c>
      <c r="J31" s="355">
        <f>J29+J28-J30</f>
        <v>10.951127253931379</v>
      </c>
      <c r="K31" s="355">
        <f t="shared" si="4"/>
        <v>10.586127253931387</v>
      </c>
      <c r="L31" s="355">
        <f t="shared" si="4"/>
        <v>10.586127253931384</v>
      </c>
      <c r="M31" s="355">
        <f t="shared" si="4"/>
        <v>10.586127253931384</v>
      </c>
      <c r="N31" s="355">
        <f t="shared" si="4"/>
        <v>10.586127253931387</v>
      </c>
      <c r="O31" s="366"/>
      <c r="P31" s="367"/>
    </row>
    <row r="32" spans="2:16" ht="15.95" customHeight="1"/>
  </sheetData>
  <pageMargins left="0.7" right="0.7" top="0.75" bottom="0.75" header="0.3" footer="0.3"/>
  <pageSetup orientation="portrait" horizontalDpi="0" verticalDpi="0"/>
  <extLst>
    <ext xmlns:x14="http://schemas.microsoft.com/office/spreadsheetml/2009/9/main" uri="{05C60535-1F16-4fd2-B633-F4F36F0B64E0}">
      <x14:sparklineGroups xmlns:xm="http://schemas.microsoft.com/office/excel/2006/main">
        <x14:sparklineGroup manualMax="0" manualMin="0" type="column" displayEmptyCellsAs="gap" xr2:uid="{4EA9DFFC-721E-0742-8A5C-44B0ED382B88}">
          <x14:colorSeries rgb="FF376092"/>
          <x14:sparklines>
            <x14:sparkline>
              <xm:f>Ratios!C18:I18</xm:f>
              <xm:sqref>O18</xm:sqref>
            </x14:sparkline>
          </x14:sparklines>
        </x14:sparklineGroup>
        <x14:sparklineGroup manualMax="0" manualMin="0" type="column" displayEmptyCellsAs="gap" xr2:uid="{232F8C8F-AD96-E842-B044-985F6812C616}">
          <x14:colorSeries rgb="FF376092"/>
          <x14:sparklines>
            <x14:sparkline>
              <xm:f>Ratios!C5:I5</xm:f>
              <xm:sqref>O5</xm:sqref>
            </x14:sparkline>
            <x14:sparkline>
              <xm:f>Ratios!C4:I4</xm:f>
              <xm:sqref>O4</xm:sqref>
            </x14:sparkline>
          </x14:sparklines>
        </x14:sparklineGroup>
        <x14:sparklineGroup manualMax="0" manualMin="0" type="column" displayEmptyCellsAs="gap" xr2:uid="{190C5352-7E0B-F14D-AE30-F7008174FD64}">
          <x14:colorSeries rgb="FF376092"/>
          <x14:sparklines>
            <x14:sparkline>
              <xm:f>Ratios!C6:I6</xm:f>
              <xm:sqref>O6</xm:sqref>
            </x14:sparkline>
          </x14:sparklines>
        </x14:sparklineGroup>
        <x14:sparklineGroup manualMax="0" manualMin="0" type="column" displayEmptyCellsAs="gap" xr2:uid="{97315993-12E6-7B4B-87A7-22508E313837}">
          <x14:colorSeries rgb="FF376092"/>
          <x14:sparklines>
            <x14:sparkline>
              <xm:f>Ratios!C7:I7</xm:f>
              <xm:sqref>O7</xm:sqref>
            </x14:sparkline>
          </x14:sparklines>
        </x14:sparklineGroup>
        <x14:sparklineGroup manualMax="0" manualMin="0" type="column" displayEmptyCellsAs="gap" xr2:uid="{33AA54DA-4551-B14A-92D8-FD5A7D7432D9}">
          <x14:colorSeries rgb="FF376092"/>
          <x14:sparklines>
            <x14:sparkline>
              <xm:f>Ratios!C8:I8</xm:f>
              <xm:sqref>O8</xm:sqref>
            </x14:sparkline>
          </x14:sparklines>
        </x14:sparklineGroup>
        <x14:sparklineGroup manualMax="0" manualMin="0" type="column" displayEmptyCellsAs="gap" xr2:uid="{2F84E952-A920-2F43-A295-685433D36FD6}">
          <x14:colorSeries rgb="FF376092"/>
          <x14:sparklines>
            <x14:sparkline>
              <xm:f>Ratios!C9:I9</xm:f>
              <xm:sqref>O9</xm:sqref>
            </x14:sparkline>
          </x14:sparklines>
        </x14:sparklineGroup>
        <x14:sparklineGroup manualMax="0" manualMin="0" type="column" displayEmptyCellsAs="gap" xr2:uid="{01C8D98D-DD7B-2D45-96E0-B86198AFBDB5}">
          <x14:colorSeries rgb="FF376092"/>
          <x14:sparklines>
            <x14:sparkline>
              <xm:f>Ratios!C11:I11</xm:f>
              <xm:sqref>O11</xm:sqref>
            </x14:sparkline>
          </x14:sparklines>
        </x14:sparklineGroup>
        <x14:sparklineGroup manualMax="0" manualMin="0" type="column" displayEmptyCellsAs="gap" xr2:uid="{5FD76DF7-D850-C44B-8DA0-0EE83168A32D}">
          <x14:colorSeries rgb="FF376092"/>
          <x14:sparklines>
            <x14:sparkline>
              <xm:f>Ratios!C12:I12</xm:f>
              <xm:sqref>O12</xm:sqref>
            </x14:sparkline>
          </x14:sparklines>
        </x14:sparklineGroup>
        <x14:sparklineGroup manualMax="0" manualMin="0" type="column" displayEmptyCellsAs="gap" xr2:uid="{88157836-519D-4942-925C-D950DFB10F90}">
          <x14:colorSeries rgb="FF376092"/>
          <x14:sparklines>
            <x14:sparkline>
              <xm:f>Ratios!C15:I15</xm:f>
              <xm:sqref>O15</xm:sqref>
            </x14:sparkline>
          </x14:sparklines>
        </x14:sparklineGroup>
        <x14:sparklineGroup manualMax="0" manualMin="0" type="column" displayEmptyCellsAs="gap" xr2:uid="{2AB31F6D-5412-004B-ABB4-D366F408A889}">
          <x14:colorSeries rgb="FF376092"/>
          <x14:sparklines>
            <x14:sparkline>
              <xm:f>Ratios!C16:I16</xm:f>
              <xm:sqref>O16</xm:sqref>
            </x14:sparkline>
          </x14:sparklines>
        </x14:sparklineGroup>
        <x14:sparklineGroup manualMax="0" manualMin="0" type="column" displayEmptyCellsAs="gap" xr2:uid="{995F11CA-E848-604D-A0D1-2B5B258BF8C0}">
          <x14:colorSeries rgb="FF376092"/>
          <x14:sparklines>
            <x14:sparkline>
              <xm:f>Ratios!C17:I17</xm:f>
              <xm:sqref>O17</xm:sqref>
            </x14:sparkline>
          </x14:sparklines>
        </x14:sparklineGroup>
        <x14:sparklineGroup manualMax="0" manualMin="0" type="column" displayEmptyCellsAs="gap" xr2:uid="{DC245208-73C5-4448-A54C-15CE50921F47}">
          <x14:colorSeries rgb="FF376092"/>
          <x14:sparklines>
            <x14:sparkline>
              <xm:f>Ratios!C19:I19</xm:f>
              <xm:sqref>O19</xm:sqref>
            </x14:sparkline>
          </x14:sparklines>
        </x14:sparklineGroup>
        <x14:sparklineGroup manualMax="0" manualMin="0" type="column" displayEmptyCellsAs="gap" xr2:uid="{A36A86DC-CE16-194D-A32F-8F7336D474A0}">
          <x14:colorSeries rgb="FF376092"/>
          <x14:sparklines>
            <x14:sparkline>
              <xm:f>Ratios!C22:I22</xm:f>
              <xm:sqref>O22</xm:sqref>
            </x14:sparkline>
          </x14:sparklines>
        </x14:sparklineGroup>
        <x14:sparklineGroup manualMax="0" manualMin="0" type="column" displayEmptyCellsAs="gap" xr2:uid="{C4B4AD87-B61F-9247-8AF3-F18F8CAF5E70}">
          <x14:colorSeries rgb="FF376092"/>
          <x14:sparklines>
            <x14:sparkline>
              <xm:f>Ratios!C27:I27</xm:f>
              <xm:sqref>O27</xm:sqref>
            </x14:sparkline>
          </x14:sparklines>
        </x14:sparklineGroup>
        <x14:sparklineGroup manualMax="0" manualMin="0" type="column" displayEmptyCellsAs="gap" xr2:uid="{31B1FACE-6652-B64B-AA58-2B9E17C5F809}">
          <x14:colorSeries rgb="FF376092"/>
          <x14:sparklines>
            <x14:sparkline>
              <xm:f>Ratios!C28:I28</xm:f>
              <xm:sqref>O28</xm:sqref>
            </x14:sparkline>
          </x14:sparklines>
        </x14:sparklineGroup>
        <x14:sparklineGroup manualMax="0" manualMin="0" type="column" displayEmptyCellsAs="gap" xr2:uid="{43DFB642-C297-CA44-915A-2F6F1A65C481}">
          <x14:colorSeries rgb="FF376092"/>
          <x14:sparklines>
            <x14:sparkline>
              <xm:f>Ratios!C20:I20</xm:f>
              <xm:sqref>O20</xm:sqref>
            </x14:sparkline>
          </x14:sparklines>
        </x14:sparklineGroup>
        <x14:sparklineGroup manualMax="0" manualMin="0" type="column" displayEmptyCellsAs="gap" xr2:uid="{6FC87C06-7747-DC4D-9478-FA885C764D53}">
          <x14:colorSeries rgb="FF376092"/>
          <x14:sparklines>
            <x14:sparkline>
              <xm:f>Ratios!C24:I24</xm:f>
              <xm:sqref>O24</xm:sqref>
            </x14:sparkline>
          </x14:sparklines>
        </x14:sparklineGroup>
        <x14:sparklineGroup manualMax="0" manualMin="0" type="column" displayEmptyCellsAs="gap" xr2:uid="{F2231247-6F95-8043-8FDF-C0198DC39D4C}">
          <x14:colorSeries rgb="FF376092"/>
          <x14:sparklines>
            <x14:sparkline>
              <xm:f>Ratios!C25:I25</xm:f>
              <xm:sqref>O25</xm:sqref>
            </x14:sparkline>
          </x14:sparklines>
        </x14:sparklineGroup>
        <x14:sparklineGroup manualMax="0" manualMin="0" type="column" displayEmptyCellsAs="gap" xr2:uid="{26EE81BB-C296-B340-AABF-4F40211E237D}">
          <x14:colorSeries rgb="FF376092"/>
          <x14:sparklines>
            <x14:sparkline>
              <xm:f>Ratios!C26:I26</xm:f>
              <xm:sqref>O26</xm:sqref>
            </x14:sparkline>
          </x14:sparklines>
        </x14:sparklineGroup>
        <x14:sparklineGroup manualMax="0" manualMin="0" type="column" displayEmptyCellsAs="gap" xr2:uid="{2A5F8F48-47C2-154E-B2D7-EC15ABD0ED58}">
          <x14:colorSeries rgb="FF376092"/>
          <x14:sparklines>
            <x14:sparkline>
              <xm:f>Ratios!C29:I29</xm:f>
              <xm:sqref>O29</xm:sqref>
            </x14:sparkline>
          </x14:sparklines>
        </x14:sparklineGroup>
        <x14:sparklineGroup manualMax="0" manualMin="0" type="column" displayEmptyCellsAs="gap" xr2:uid="{3F8D80CE-D899-9B4A-92BD-9B74A817B9E6}">
          <x14:colorSeries rgb="FF376092"/>
          <x14:sparklines>
            <x14:sparkline>
              <xm:f>Ratios!C30:I30</xm:f>
              <xm:sqref>O30</xm:sqref>
            </x14:sparkline>
            <x14:sparkline>
              <xm:f>Ratios!C31:I31</xm:f>
              <xm:sqref>O31</xm:sqref>
            </x14:sparkline>
          </x14:sparklines>
        </x14:sparklineGroup>
        <x14:sparklineGroup manualMax="0" manualMin="0" type="column" displayEmptyCellsAs="gap" xr2:uid="{C2605715-CE8D-A34E-89E3-FC725032A841}">
          <x14:colorSeries rgb="FF376092"/>
          <x14:sparklines>
            <x14:sparkline>
              <xm:f>Ratios!C14:I14</xm:f>
              <xm:sqref>O14</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0D30-92FF-AE47-BC1E-8767E9D1DF25}">
  <dimension ref="A1:AE59"/>
  <sheetViews>
    <sheetView showGridLines="0" zoomScaleNormal="100" workbookViewId="0">
      <selection activeCell="G41" sqref="G41"/>
    </sheetView>
  </sheetViews>
  <sheetFormatPr defaultColWidth="10.6640625" defaultRowHeight="14.1" outlineLevelRow="1"/>
  <cols>
    <col min="1" max="1" width="2.6640625" style="1" customWidth="1"/>
    <col min="2" max="2" width="23.77734375" style="1" bestFit="1" customWidth="1"/>
    <col min="3" max="3" width="7.21875" style="5" bestFit="1" customWidth="1"/>
    <col min="4" max="5" width="8.88671875" style="1" customWidth="1"/>
    <col min="6" max="6" width="8" style="1" customWidth="1"/>
    <col min="7" max="7" width="8.109375" style="1" bestFit="1" customWidth="1"/>
    <col min="8" max="9" width="7.33203125" style="1" customWidth="1"/>
    <col min="10" max="10" width="8.6640625" style="1" customWidth="1"/>
    <col min="11" max="11" width="7.33203125" style="1" customWidth="1"/>
    <col min="12" max="12" width="7.109375" style="1" bestFit="1" customWidth="1"/>
    <col min="13" max="13" width="8.6640625" style="1" customWidth="1"/>
    <col min="14" max="14" width="7" style="1" bestFit="1" customWidth="1"/>
    <col min="15" max="15" width="8.6640625" style="1" customWidth="1"/>
    <col min="16" max="17" width="7" style="1" customWidth="1"/>
    <col min="18" max="18" width="7" style="1" bestFit="1" customWidth="1"/>
    <col min="19" max="16384" width="10.6640625" style="1"/>
  </cols>
  <sheetData>
    <row r="1" spans="1:31" ht="20.100000000000001" customHeight="1">
      <c r="D1" s="1" t="s">
        <v>354</v>
      </c>
    </row>
    <row r="2" spans="1:31">
      <c r="B2" s="611" t="s">
        <v>454</v>
      </c>
      <c r="C2" s="612"/>
      <c r="D2" s="611"/>
      <c r="E2" s="611"/>
      <c r="F2" s="611"/>
      <c r="G2" s="611"/>
      <c r="H2" s="611"/>
      <c r="I2" s="611"/>
      <c r="J2" s="611"/>
      <c r="K2" s="611"/>
      <c r="L2" s="611"/>
      <c r="M2" s="611"/>
      <c r="N2" s="611"/>
      <c r="O2" s="611"/>
      <c r="P2" s="611"/>
      <c r="Q2" s="611"/>
      <c r="R2" s="611"/>
    </row>
    <row r="3" spans="1:31">
      <c r="B3" s="6" t="s">
        <v>455</v>
      </c>
      <c r="C3" s="7"/>
      <c r="D3" s="8"/>
      <c r="E3" s="8"/>
      <c r="F3" s="8"/>
      <c r="G3" s="8"/>
      <c r="H3" s="8"/>
      <c r="I3" s="8"/>
      <c r="J3" s="8"/>
      <c r="K3" s="8"/>
      <c r="L3" s="8"/>
      <c r="M3" s="8"/>
      <c r="N3" s="8"/>
      <c r="O3" s="8"/>
      <c r="P3" s="8"/>
      <c r="Q3" s="8"/>
      <c r="R3" s="8"/>
    </row>
    <row r="4" spans="1:31">
      <c r="B4" s="9" t="s">
        <v>456</v>
      </c>
      <c r="C4" s="10"/>
      <c r="D4" s="11" t="s">
        <v>457</v>
      </c>
      <c r="E4" s="12" t="s">
        <v>458</v>
      </c>
      <c r="F4" s="12" t="s">
        <v>459</v>
      </c>
      <c r="G4" s="12" t="s">
        <v>460</v>
      </c>
      <c r="H4" s="12" t="s">
        <v>175</v>
      </c>
      <c r="I4" s="12"/>
      <c r="J4" s="12" t="s">
        <v>461</v>
      </c>
      <c r="K4" s="13" t="s">
        <v>462</v>
      </c>
      <c r="L4" s="13"/>
      <c r="M4" s="14" t="s">
        <v>463</v>
      </c>
    </row>
    <row r="5" spans="1:31">
      <c r="B5" s="15" t="s">
        <v>464</v>
      </c>
      <c r="C5" s="15" t="s">
        <v>465</v>
      </c>
      <c r="D5" s="16" t="s">
        <v>285</v>
      </c>
      <c r="E5" s="17" t="s">
        <v>466</v>
      </c>
      <c r="F5" s="17" t="s">
        <v>467</v>
      </c>
      <c r="G5" s="17" t="s">
        <v>468</v>
      </c>
      <c r="H5" s="17" t="s">
        <v>469</v>
      </c>
      <c r="I5" s="17" t="s">
        <v>470</v>
      </c>
      <c r="J5" s="17" t="s">
        <v>471</v>
      </c>
      <c r="K5" s="18" t="s">
        <v>471</v>
      </c>
      <c r="L5" s="18" t="s">
        <v>71</v>
      </c>
      <c r="M5" s="15" t="s">
        <v>472</v>
      </c>
    </row>
    <row r="6" spans="1:31" s="2" customFormat="1">
      <c r="B6" s="19" t="s">
        <v>473</v>
      </c>
      <c r="C6" s="20" t="s">
        <v>474</v>
      </c>
      <c r="D6" s="21">
        <v>180.6</v>
      </c>
      <c r="E6" s="22">
        <v>242.52</v>
      </c>
      <c r="F6" s="23">
        <v>10612.363997</v>
      </c>
      <c r="G6" s="24">
        <v>1916592.9378581999</v>
      </c>
      <c r="H6" s="24">
        <v>75805</v>
      </c>
      <c r="I6" s="24">
        <v>78779</v>
      </c>
      <c r="J6" s="25">
        <v>1913618.9378581999</v>
      </c>
      <c r="K6" s="24">
        <v>285970</v>
      </c>
      <c r="L6" s="26">
        <v>1.3022723217074901</v>
      </c>
      <c r="M6" s="27">
        <v>248.16522000000001</v>
      </c>
      <c r="N6" s="28"/>
    </row>
    <row r="7" spans="1:31" s="2" customFormat="1">
      <c r="B7" s="19" t="s">
        <v>475</v>
      </c>
      <c r="C7" s="20" t="s">
        <v>476</v>
      </c>
      <c r="D7" s="29">
        <v>94.96</v>
      </c>
      <c r="E7" s="30">
        <v>105.3</v>
      </c>
      <c r="F7" s="23">
        <v>8016.8494440000004</v>
      </c>
      <c r="G7" s="25">
        <v>761280.02320224</v>
      </c>
      <c r="H7" s="25">
        <v>45790</v>
      </c>
      <c r="I7" s="25">
        <v>9037</v>
      </c>
      <c r="J7" s="25">
        <v>798033.02320224</v>
      </c>
      <c r="K7" s="25">
        <v>91013</v>
      </c>
      <c r="L7" s="31">
        <v>0.67162471300868398</v>
      </c>
      <c r="M7" s="32">
        <v>106.95744000000001</v>
      </c>
      <c r="N7" s="28"/>
    </row>
    <row r="8" spans="1:31" s="2" customFormat="1">
      <c r="B8" s="19" t="s">
        <v>477</v>
      </c>
      <c r="C8" s="20" t="s">
        <v>478</v>
      </c>
      <c r="D8" s="29">
        <v>975.84</v>
      </c>
      <c r="E8" s="30">
        <v>1078.01</v>
      </c>
      <c r="F8" s="23">
        <v>443.683357</v>
      </c>
      <c r="G8" s="25">
        <v>432963.96709488</v>
      </c>
      <c r="H8" s="25">
        <v>7395</v>
      </c>
      <c r="I8" s="25">
        <v>9906</v>
      </c>
      <c r="J8" s="25">
        <v>430452.96709488</v>
      </c>
      <c r="K8" s="25">
        <v>23622</v>
      </c>
      <c r="L8" s="31">
        <v>0.98287563044800397</v>
      </c>
      <c r="M8" s="32">
        <v>1067.97594</v>
      </c>
      <c r="N8" s="28"/>
    </row>
    <row r="9" spans="1:31" s="2" customFormat="1">
      <c r="B9" s="19" t="s">
        <v>479</v>
      </c>
      <c r="C9" s="20" t="s">
        <v>395</v>
      </c>
      <c r="D9" s="29">
        <v>22.41</v>
      </c>
      <c r="E9" s="30">
        <v>23.2</v>
      </c>
      <c r="F9" s="23">
        <v>575.74985700000002</v>
      </c>
      <c r="G9" s="25">
        <v>12902.554295370001</v>
      </c>
      <c r="H9" s="25">
        <v>7820.1</v>
      </c>
      <c r="I9" s="25">
        <v>293.60000000000002</v>
      </c>
      <c r="J9" s="25">
        <v>20429.054295370002</v>
      </c>
      <c r="K9" s="25">
        <v>3385.9</v>
      </c>
      <c r="L9" s="31">
        <v>0.45263472350177297</v>
      </c>
      <c r="M9" s="32">
        <v>23.285710000000002</v>
      </c>
      <c r="N9" s="28"/>
    </row>
    <row r="10" spans="1:31" s="2" customFormat="1">
      <c r="B10" s="19" t="s">
        <v>480</v>
      </c>
      <c r="C10" s="127" t="s">
        <v>481</v>
      </c>
      <c r="D10" s="29">
        <v>72</v>
      </c>
      <c r="E10" s="30">
        <v>73.63</v>
      </c>
      <c r="F10" s="23">
        <v>660.89347499999997</v>
      </c>
      <c r="G10" s="25">
        <v>47584.330199999997</v>
      </c>
      <c r="H10" s="25">
        <v>17905</v>
      </c>
      <c r="I10" s="25">
        <v>3959</v>
      </c>
      <c r="J10" s="25">
        <v>61530.330199999997</v>
      </c>
      <c r="K10" s="25">
        <v>8285</v>
      </c>
      <c r="L10" s="31">
        <v>0.58896775937201096</v>
      </c>
      <c r="M10" s="32">
        <v>67.952629999999999</v>
      </c>
      <c r="N10" s="28"/>
    </row>
    <row r="11" spans="1:31" s="2" customFormat="1">
      <c r="B11" s="19" t="s">
        <v>482</v>
      </c>
      <c r="C11" s="33"/>
      <c r="D11" s="29" t="s">
        <v>482</v>
      </c>
      <c r="E11" s="30" t="s">
        <v>482</v>
      </c>
      <c r="F11" s="23" t="s">
        <v>482</v>
      </c>
      <c r="G11" s="25" t="s">
        <v>482</v>
      </c>
      <c r="H11" s="25" t="s">
        <v>482</v>
      </c>
      <c r="I11" s="25" t="s">
        <v>482</v>
      </c>
      <c r="J11" s="25" t="s">
        <v>482</v>
      </c>
      <c r="K11" s="25" t="s">
        <v>482</v>
      </c>
      <c r="L11" s="31" t="s">
        <v>482</v>
      </c>
      <c r="M11" s="32" t="s">
        <v>482</v>
      </c>
      <c r="N11" s="28"/>
    </row>
    <row r="12" spans="1:31" s="2" customFormat="1">
      <c r="B12" s="19" t="s">
        <v>482</v>
      </c>
      <c r="C12" s="33"/>
      <c r="D12" s="29" t="s">
        <v>482</v>
      </c>
      <c r="E12" s="30" t="s">
        <v>482</v>
      </c>
      <c r="F12" s="23" t="s">
        <v>482</v>
      </c>
      <c r="G12" s="25" t="s">
        <v>482</v>
      </c>
      <c r="H12" s="25" t="s">
        <v>482</v>
      </c>
      <c r="I12" s="25" t="s">
        <v>482</v>
      </c>
      <c r="J12" s="25" t="s">
        <v>482</v>
      </c>
      <c r="K12" s="25" t="s">
        <v>482</v>
      </c>
      <c r="L12" s="31" t="s">
        <v>482</v>
      </c>
      <c r="M12" s="32" t="s">
        <v>482</v>
      </c>
      <c r="N12" s="28"/>
    </row>
    <row r="13" spans="1:31" s="3" customFormat="1">
      <c r="A13" s="2"/>
      <c r="B13" s="34" t="s">
        <v>483</v>
      </c>
      <c r="C13" s="35" t="s">
        <v>484</v>
      </c>
      <c r="D13" s="36">
        <v>164.67</v>
      </c>
      <c r="E13" s="37">
        <v>178.99</v>
      </c>
      <c r="F13" s="38">
        <v>98.177775999999994</v>
      </c>
      <c r="G13" s="39">
        <v>16166.934373919998</v>
      </c>
      <c r="H13" s="39">
        <v>8.5690000000000008</v>
      </c>
      <c r="I13" s="39">
        <v>265.15899999999999</v>
      </c>
      <c r="J13" s="39">
        <v>15910.344373919997</v>
      </c>
      <c r="K13" s="39">
        <v>1321.893</v>
      </c>
      <c r="L13" s="40">
        <v>0.85155350337255398</v>
      </c>
      <c r="M13" s="41">
        <v>178.09091000000001</v>
      </c>
      <c r="N13" s="28"/>
      <c r="O13" s="2"/>
      <c r="P13" s="2"/>
      <c r="Q13" s="2"/>
      <c r="R13" s="2"/>
      <c r="S13" s="2"/>
      <c r="T13" s="2"/>
      <c r="U13" s="2"/>
      <c r="V13" s="2"/>
      <c r="W13" s="2"/>
      <c r="X13" s="2"/>
      <c r="Y13" s="2"/>
      <c r="Z13" s="2"/>
      <c r="AA13" s="2"/>
      <c r="AB13" s="2"/>
      <c r="AC13" s="2"/>
      <c r="AD13" s="2"/>
      <c r="AE13" s="2"/>
    </row>
    <row r="14" spans="1:31">
      <c r="A14" s="2"/>
      <c r="D14" s="1" t="s">
        <v>482</v>
      </c>
      <c r="E14" s="1" t="s">
        <v>482</v>
      </c>
      <c r="F14" s="1" t="s">
        <v>482</v>
      </c>
      <c r="G14" s="1" t="s">
        <v>482</v>
      </c>
      <c r="H14" s="1" t="s">
        <v>482</v>
      </c>
      <c r="I14" s="1" t="s">
        <v>482</v>
      </c>
      <c r="J14" s="1" t="s">
        <v>482</v>
      </c>
      <c r="K14" s="1" t="s">
        <v>482</v>
      </c>
      <c r="L14" s="385">
        <v>0.79967502960759229</v>
      </c>
      <c r="M14" s="1" t="s">
        <v>482</v>
      </c>
    </row>
    <row r="15" spans="1:31" ht="15.95">
      <c r="A15" s="2"/>
      <c r="B15" s="613" t="s">
        <v>485</v>
      </c>
      <c r="C15" s="614"/>
      <c r="D15" s="613" t="s">
        <v>486</v>
      </c>
      <c r="E15" s="613"/>
      <c r="F15" s="613"/>
      <c r="G15" s="613"/>
      <c r="H15" s="613"/>
      <c r="I15" s="613"/>
      <c r="J15" s="613"/>
      <c r="K15" s="613"/>
      <c r="L15" s="613"/>
      <c r="M15" s="613"/>
      <c r="N15" s="613"/>
      <c r="O15" s="613"/>
      <c r="P15" s="613"/>
      <c r="Q15" s="615"/>
      <c r="R15" s="611"/>
    </row>
    <row r="16" spans="1:31">
      <c r="A16" s="2"/>
      <c r="B16" s="9"/>
      <c r="C16" s="10"/>
      <c r="D16" s="42" t="s">
        <v>487</v>
      </c>
      <c r="E16" s="43"/>
      <c r="F16" s="43"/>
      <c r="G16" s="44"/>
      <c r="H16" s="42" t="s">
        <v>488</v>
      </c>
      <c r="I16" s="43"/>
      <c r="J16" s="43"/>
      <c r="K16" s="44"/>
      <c r="L16" s="43" t="s">
        <v>489</v>
      </c>
      <c r="M16" s="43"/>
      <c r="N16" s="44"/>
      <c r="O16" s="42" t="s">
        <v>490</v>
      </c>
      <c r="P16" s="43"/>
      <c r="Q16" s="44"/>
      <c r="R16" s="14" t="s">
        <v>491</v>
      </c>
    </row>
    <row r="17" spans="1:19">
      <c r="A17" s="2"/>
      <c r="B17" s="15" t="s">
        <v>464</v>
      </c>
      <c r="C17" s="15" t="s">
        <v>465</v>
      </c>
      <c r="D17" s="45" t="s">
        <v>492</v>
      </c>
      <c r="E17" s="46" t="s">
        <v>493</v>
      </c>
      <c r="F17" s="46" t="s">
        <v>494</v>
      </c>
      <c r="G17" s="47" t="s">
        <v>495</v>
      </c>
      <c r="H17" s="45" t="s">
        <v>492</v>
      </c>
      <c r="I17" s="46" t="s">
        <v>493</v>
      </c>
      <c r="J17" s="46" t="s">
        <v>494</v>
      </c>
      <c r="K17" s="47" t="s">
        <v>495</v>
      </c>
      <c r="L17" s="45" t="s">
        <v>492</v>
      </c>
      <c r="M17" s="46" t="s">
        <v>493</v>
      </c>
      <c r="N17" s="47" t="s">
        <v>494</v>
      </c>
      <c r="O17" s="45" t="s">
        <v>492</v>
      </c>
      <c r="P17" s="46" t="s">
        <v>493</v>
      </c>
      <c r="Q17" s="47" t="s">
        <v>494</v>
      </c>
      <c r="R17" s="15" t="s">
        <v>496</v>
      </c>
    </row>
    <row r="18" spans="1:19">
      <c r="A18" s="2"/>
      <c r="B18" s="48" t="s">
        <v>473</v>
      </c>
      <c r="C18" s="49" t="s">
        <v>474</v>
      </c>
      <c r="D18" s="50">
        <v>637959</v>
      </c>
      <c r="E18" s="50">
        <v>694403.64737999998</v>
      </c>
      <c r="F18" s="50">
        <v>762410.83207999996</v>
      </c>
      <c r="G18" s="51">
        <v>839661.80030999996</v>
      </c>
      <c r="H18" s="52">
        <v>5.1542899999999996</v>
      </c>
      <c r="I18" s="52">
        <v>6.2162300000000004</v>
      </c>
      <c r="J18" s="52">
        <v>7.4075199999999999</v>
      </c>
      <c r="K18" s="53">
        <v>9.1596499999999992</v>
      </c>
      <c r="L18" s="54">
        <v>66122.639249999993</v>
      </c>
      <c r="M18" s="54">
        <v>79738.93131</v>
      </c>
      <c r="N18" s="55">
        <v>96311.723710000006</v>
      </c>
      <c r="O18" s="56">
        <v>141607.15337000001</v>
      </c>
      <c r="P18" s="54">
        <v>165308.55236999999</v>
      </c>
      <c r="Q18" s="55">
        <v>192981.02994000001</v>
      </c>
      <c r="R18" s="57">
        <v>0.16949999999999998</v>
      </c>
    </row>
    <row r="19" spans="1:19">
      <c r="A19" s="2"/>
      <c r="B19" s="48" t="s">
        <v>475</v>
      </c>
      <c r="C19" s="49" t="s">
        <v>476</v>
      </c>
      <c r="D19" s="50">
        <v>680985</v>
      </c>
      <c r="E19" s="50">
        <v>705246.82557999995</v>
      </c>
      <c r="F19" s="50">
        <v>736826.49413999997</v>
      </c>
      <c r="G19" s="58">
        <v>770408.52471000003</v>
      </c>
      <c r="H19" s="52">
        <v>2.4897</v>
      </c>
      <c r="I19" s="52">
        <v>2.61409</v>
      </c>
      <c r="J19" s="52">
        <v>2.9371499999999999</v>
      </c>
      <c r="K19" s="53">
        <v>3.2909000000000002</v>
      </c>
      <c r="L19" s="54">
        <v>29520.305970000001</v>
      </c>
      <c r="M19" s="54">
        <v>31008.26497</v>
      </c>
      <c r="N19" s="55">
        <v>34225.178460000003</v>
      </c>
      <c r="O19" s="56">
        <v>42427.684600000001</v>
      </c>
      <c r="P19" s="54">
        <v>44880.124479999999</v>
      </c>
      <c r="Q19" s="55">
        <v>48830.070079999998</v>
      </c>
      <c r="R19" s="57">
        <v>9.3000000000000013E-2</v>
      </c>
    </row>
    <row r="20" spans="1:19">
      <c r="B20" s="48" t="s">
        <v>477</v>
      </c>
      <c r="C20" s="49" t="s">
        <v>478</v>
      </c>
      <c r="D20" s="50">
        <v>254453</v>
      </c>
      <c r="E20" s="50">
        <v>274400.68199999997</v>
      </c>
      <c r="F20" s="50">
        <v>293912.19594000001</v>
      </c>
      <c r="G20" s="58">
        <v>312531.79670000001</v>
      </c>
      <c r="H20" s="52">
        <v>16.343499999999999</v>
      </c>
      <c r="I20" s="52">
        <v>18.112860000000001</v>
      </c>
      <c r="J20" s="52">
        <v>20.011749999999999</v>
      </c>
      <c r="K20" s="53">
        <v>22.188960000000002</v>
      </c>
      <c r="L20" s="54">
        <v>9201.1247800000001</v>
      </c>
      <c r="M20" s="54">
        <v>10329.62694</v>
      </c>
      <c r="N20" s="55">
        <v>11464.965490000001</v>
      </c>
      <c r="O20" s="56">
        <v>11511.879440000001</v>
      </c>
      <c r="P20" s="54">
        <v>12842.16548</v>
      </c>
      <c r="Q20" s="55">
        <v>14091.35188</v>
      </c>
      <c r="R20" s="57">
        <v>0.1048</v>
      </c>
    </row>
    <row r="21" spans="1:19">
      <c r="B21" s="48" t="s">
        <v>479</v>
      </c>
      <c r="C21" s="49" t="s">
        <v>395</v>
      </c>
      <c r="D21" s="50">
        <v>80390.899999999994</v>
      </c>
      <c r="E21" s="50">
        <v>83326.183730000004</v>
      </c>
      <c r="F21" s="50">
        <v>83804.778789999997</v>
      </c>
      <c r="G21" s="58">
        <v>85385.695110000001</v>
      </c>
      <c r="H21" s="52">
        <v>2.2938999999999998</v>
      </c>
      <c r="I21" s="52">
        <v>2.113</v>
      </c>
      <c r="J21" s="52">
        <v>2.24871</v>
      </c>
      <c r="K21" s="53">
        <v>2.42767</v>
      </c>
      <c r="L21" s="54">
        <v>2164.3409200000001</v>
      </c>
      <c r="M21" s="54">
        <v>1913.6744000000001</v>
      </c>
      <c r="N21" s="55">
        <v>1946.4759300000001</v>
      </c>
      <c r="O21" s="56">
        <v>3976.5493299999998</v>
      </c>
      <c r="P21" s="54">
        <v>3854.34393</v>
      </c>
      <c r="Q21" s="55">
        <v>3910.0008600000001</v>
      </c>
      <c r="R21" s="57" t="e">
        <v>#VALUE!</v>
      </c>
    </row>
    <row r="22" spans="1:19">
      <c r="B22" s="48" t="s">
        <v>480</v>
      </c>
      <c r="C22" s="49" t="s">
        <v>481</v>
      </c>
      <c r="D22" s="59">
        <v>147123</v>
      </c>
      <c r="E22" s="50">
        <v>149557.40624000001</v>
      </c>
      <c r="F22" s="50">
        <v>153591.38805000001</v>
      </c>
      <c r="G22" s="58">
        <v>157059.10800000001</v>
      </c>
      <c r="H22" s="60">
        <v>4.4520400000000002</v>
      </c>
      <c r="I22" s="52">
        <v>4.7453900000000004</v>
      </c>
      <c r="J22" s="52">
        <v>5.15665</v>
      </c>
      <c r="K22" s="53">
        <v>5.4962200000000001</v>
      </c>
      <c r="L22" s="54">
        <v>4535.4596199999996</v>
      </c>
      <c r="M22" s="54">
        <v>4771.4949500000002</v>
      </c>
      <c r="N22" s="55">
        <v>4914.1855599999999</v>
      </c>
      <c r="O22" s="59">
        <v>7823.3663299999998</v>
      </c>
      <c r="P22" s="50">
        <v>8088.78575</v>
      </c>
      <c r="Q22" s="58">
        <v>8351.7224200000001</v>
      </c>
      <c r="R22" s="57">
        <v>6.0999999999999999E-2</v>
      </c>
    </row>
    <row r="23" spans="1:19">
      <c r="B23" s="48" t="s">
        <v>482</v>
      </c>
      <c r="C23" s="49" t="s">
        <v>482</v>
      </c>
      <c r="D23" s="59" t="s">
        <v>482</v>
      </c>
      <c r="E23" s="50" t="s">
        <v>482</v>
      </c>
      <c r="F23" s="50" t="s">
        <v>482</v>
      </c>
      <c r="G23" s="58" t="s">
        <v>482</v>
      </c>
      <c r="H23" s="60" t="s">
        <v>482</v>
      </c>
      <c r="I23" s="52" t="s">
        <v>482</v>
      </c>
      <c r="J23" s="52" t="s">
        <v>482</v>
      </c>
      <c r="K23" s="53" t="s">
        <v>482</v>
      </c>
      <c r="L23" s="50" t="s">
        <v>482</v>
      </c>
      <c r="M23" s="54" t="s">
        <v>482</v>
      </c>
      <c r="N23" s="55" t="s">
        <v>482</v>
      </c>
      <c r="O23" s="59" t="s">
        <v>482</v>
      </c>
      <c r="P23" s="50" t="s">
        <v>482</v>
      </c>
      <c r="Q23" s="58" t="s">
        <v>482</v>
      </c>
      <c r="R23" s="57" t="s">
        <v>482</v>
      </c>
      <c r="S23" s="61"/>
    </row>
    <row r="24" spans="1:19">
      <c r="B24" s="48" t="s">
        <v>482</v>
      </c>
      <c r="C24" s="49" t="s">
        <v>482</v>
      </c>
      <c r="D24" s="59" t="s">
        <v>482</v>
      </c>
      <c r="E24" s="50" t="s">
        <v>482</v>
      </c>
      <c r="F24" s="50" t="s">
        <v>482</v>
      </c>
      <c r="G24" s="58" t="s">
        <v>482</v>
      </c>
      <c r="H24" s="60" t="s">
        <v>482</v>
      </c>
      <c r="I24" s="52" t="s">
        <v>482</v>
      </c>
      <c r="J24" s="52" t="s">
        <v>482</v>
      </c>
      <c r="K24" s="53" t="s">
        <v>482</v>
      </c>
      <c r="L24" s="50" t="s">
        <v>482</v>
      </c>
      <c r="M24" s="50" t="s">
        <v>482</v>
      </c>
      <c r="N24" s="58" t="s">
        <v>482</v>
      </c>
      <c r="O24" s="59" t="s">
        <v>482</v>
      </c>
      <c r="P24" s="50" t="s">
        <v>482</v>
      </c>
      <c r="Q24" s="58" t="s">
        <v>482</v>
      </c>
      <c r="R24" s="57" t="s">
        <v>482</v>
      </c>
    </row>
    <row r="25" spans="1:19">
      <c r="B25" s="62" t="s">
        <v>483</v>
      </c>
      <c r="C25" s="63" t="s">
        <v>484</v>
      </c>
      <c r="D25" s="63">
        <v>7719.29</v>
      </c>
      <c r="E25" s="64">
        <v>8664.3664700000008</v>
      </c>
      <c r="F25" s="64">
        <v>9583.2065299999995</v>
      </c>
      <c r="G25" s="65">
        <v>10512.246999999999</v>
      </c>
      <c r="H25" s="66">
        <v>3.7026699999999999</v>
      </c>
      <c r="I25" s="67">
        <v>4.6713300000000002</v>
      </c>
      <c r="J25" s="67">
        <v>5.3185700000000002</v>
      </c>
      <c r="K25" s="68">
        <v>5.9557099999999998</v>
      </c>
      <c r="L25" s="64">
        <v>498.51387</v>
      </c>
      <c r="M25" s="64">
        <v>614.69707000000005</v>
      </c>
      <c r="N25" s="65">
        <v>690.74157000000002</v>
      </c>
      <c r="O25" s="63">
        <v>640.49252999999999</v>
      </c>
      <c r="P25" s="64">
        <v>770.56533000000002</v>
      </c>
      <c r="Q25" s="65">
        <v>863.83528999999999</v>
      </c>
      <c r="R25" s="69">
        <v>0.1678</v>
      </c>
    </row>
    <row r="27" spans="1:19" ht="15.95">
      <c r="B27" s="613" t="s">
        <v>497</v>
      </c>
      <c r="C27" s="614"/>
      <c r="D27" s="613"/>
      <c r="E27" s="613"/>
      <c r="F27" s="613"/>
      <c r="G27" s="613"/>
      <c r="H27" s="613"/>
      <c r="I27" s="613"/>
      <c r="J27" s="613"/>
      <c r="K27" s="613"/>
      <c r="L27" s="613"/>
      <c r="M27" s="613"/>
      <c r="N27" s="613"/>
      <c r="O27" s="613"/>
      <c r="P27" s="613"/>
      <c r="Q27" s="615"/>
      <c r="R27" s="611"/>
    </row>
    <row r="28" spans="1:19">
      <c r="B28" s="9"/>
      <c r="C28" s="14"/>
      <c r="D28" s="14" t="s">
        <v>457</v>
      </c>
      <c r="E28" s="14" t="s">
        <v>498</v>
      </c>
      <c r="F28" s="42" t="s">
        <v>499</v>
      </c>
      <c r="G28" s="70"/>
      <c r="H28" s="71"/>
      <c r="I28" s="42" t="s">
        <v>500</v>
      </c>
      <c r="J28" s="70"/>
      <c r="K28" s="71"/>
      <c r="L28" s="42" t="s">
        <v>501</v>
      </c>
      <c r="M28" s="70"/>
      <c r="N28" s="71"/>
      <c r="O28" s="42" t="s">
        <v>502</v>
      </c>
      <c r="P28" s="70"/>
      <c r="Q28" s="71"/>
    </row>
    <row r="29" spans="1:19">
      <c r="B29" s="15" t="s">
        <v>464</v>
      </c>
      <c r="C29" s="15" t="s">
        <v>465</v>
      </c>
      <c r="D29" s="15" t="s">
        <v>285</v>
      </c>
      <c r="E29" s="15" t="s">
        <v>462</v>
      </c>
      <c r="F29" s="45" t="s">
        <v>493</v>
      </c>
      <c r="G29" s="46" t="s">
        <v>494</v>
      </c>
      <c r="H29" s="47" t="s">
        <v>495</v>
      </c>
      <c r="I29" s="45" t="s">
        <v>493</v>
      </c>
      <c r="J29" s="46" t="s">
        <v>494</v>
      </c>
      <c r="K29" s="47" t="s">
        <v>495</v>
      </c>
      <c r="L29" s="45" t="s">
        <v>493</v>
      </c>
      <c r="M29" s="46" t="s">
        <v>494</v>
      </c>
      <c r="N29" s="47" t="s">
        <v>495</v>
      </c>
      <c r="O29" s="45" t="s">
        <v>492</v>
      </c>
      <c r="P29" s="46" t="s">
        <v>493</v>
      </c>
      <c r="Q29" s="47" t="s">
        <v>494</v>
      </c>
    </row>
    <row r="30" spans="1:19">
      <c r="B30" s="48" t="s">
        <v>473</v>
      </c>
      <c r="C30" s="72" t="s">
        <v>474</v>
      </c>
      <c r="D30" s="73">
        <v>180.6</v>
      </c>
      <c r="E30" s="74">
        <v>6.7020769236570263</v>
      </c>
      <c r="F30" s="74">
        <v>2.7600559776572986</v>
      </c>
      <c r="G30" s="75">
        <v>2.5138584831348401</v>
      </c>
      <c r="H30" s="76">
        <v>2.2825772675982177</v>
      </c>
      <c r="I30" s="77">
        <v>29.052979056437742</v>
      </c>
      <c r="J30" s="78">
        <v>24.380629414432899</v>
      </c>
      <c r="K30" s="79">
        <v>19.716910580644459</v>
      </c>
      <c r="L30" s="77">
        <v>1.7140400623267107</v>
      </c>
      <c r="M30" s="78">
        <v>1.4383852161907316</v>
      </c>
      <c r="N30" s="79">
        <v>1.1632395622799092</v>
      </c>
      <c r="O30" s="78">
        <v>13.513575354898752</v>
      </c>
      <c r="P30" s="78">
        <v>11.576043165480417</v>
      </c>
      <c r="Q30" s="79">
        <v>9.9160986883175291</v>
      </c>
    </row>
    <row r="31" spans="1:19">
      <c r="B31" s="48" t="s">
        <v>475</v>
      </c>
      <c r="C31" s="72" t="s">
        <v>476</v>
      </c>
      <c r="D31" s="73">
        <v>94.96</v>
      </c>
      <c r="E31" s="74">
        <v>8.3645196093111966</v>
      </c>
      <c r="F31" s="74">
        <v>1.0794518962579633</v>
      </c>
      <c r="G31" s="75">
        <v>1.0331876354293983</v>
      </c>
      <c r="H31" s="76">
        <v>0.98815108969465748</v>
      </c>
      <c r="I31" s="77">
        <v>36.326216771419496</v>
      </c>
      <c r="J31" s="78">
        <v>32.330660674463338</v>
      </c>
      <c r="K31" s="79">
        <v>28.855328329636265</v>
      </c>
      <c r="L31" s="77">
        <v>3.9060448141311279</v>
      </c>
      <c r="M31" s="78">
        <v>3.4764151262863798</v>
      </c>
      <c r="N31" s="79">
        <v>3.1027234763049747</v>
      </c>
      <c r="O31" s="78">
        <v>18.80925227775074</v>
      </c>
      <c r="P31" s="78">
        <v>17.781435155285024</v>
      </c>
      <c r="Q31" s="79">
        <v>16.343065285280051</v>
      </c>
    </row>
    <row r="32" spans="1:19">
      <c r="B32" s="48" t="s">
        <v>477</v>
      </c>
      <c r="C32" s="72" t="s">
        <v>478</v>
      </c>
      <c r="D32" s="73">
        <v>975.84</v>
      </c>
      <c r="E32" s="74">
        <v>18.328844598039115</v>
      </c>
      <c r="F32" s="74">
        <v>1.5778531013085457</v>
      </c>
      <c r="G32" s="75">
        <v>1.4731065028116981</v>
      </c>
      <c r="H32" s="76">
        <v>1.3853437367541936</v>
      </c>
      <c r="I32" s="77">
        <v>53.875533736803575</v>
      </c>
      <c r="J32" s="78">
        <v>48.763351530975555</v>
      </c>
      <c r="K32" s="79">
        <v>43.978627209206742</v>
      </c>
      <c r="L32" s="77">
        <v>5.1407952038934708</v>
      </c>
      <c r="M32" s="78">
        <v>4.6529915582991945</v>
      </c>
      <c r="N32" s="79">
        <v>4.196433894008277</v>
      </c>
      <c r="O32" s="78">
        <v>37.39206698075705</v>
      </c>
      <c r="P32" s="78">
        <v>33.518721415422846</v>
      </c>
      <c r="Q32" s="79">
        <v>30.547315173203948</v>
      </c>
    </row>
    <row r="33" spans="2:18">
      <c r="B33" s="48" t="s">
        <v>479</v>
      </c>
      <c r="C33" s="72" t="s">
        <v>395</v>
      </c>
      <c r="D33" s="73">
        <v>22.41</v>
      </c>
      <c r="E33" s="74">
        <v>3.8106719913080718</v>
      </c>
      <c r="F33" s="74">
        <v>0.15484393641712746</v>
      </c>
      <c r="G33" s="75">
        <v>0.15395964862220479</v>
      </c>
      <c r="H33" s="76">
        <v>0.15110908541235157</v>
      </c>
      <c r="I33" s="77">
        <v>10.605773781353525</v>
      </c>
      <c r="J33" s="78">
        <v>9.9657136758408154</v>
      </c>
      <c r="K33" s="79">
        <v>9.2310734160738495</v>
      </c>
      <c r="L33" s="77"/>
      <c r="M33" s="78"/>
      <c r="N33" s="79"/>
      <c r="O33" s="78">
        <v>5.1373823383123991</v>
      </c>
      <c r="P33" s="78">
        <v>5.3002676113986542</v>
      </c>
      <c r="Q33" s="79">
        <v>5.2248209212337624</v>
      </c>
    </row>
    <row r="34" spans="2:18">
      <c r="B34" s="48" t="s">
        <v>480</v>
      </c>
      <c r="C34" s="72" t="s">
        <v>481</v>
      </c>
      <c r="D34" s="73">
        <v>72</v>
      </c>
      <c r="E34" s="74">
        <v>5.7434315268557627</v>
      </c>
      <c r="F34" s="74">
        <v>0.31816766147735775</v>
      </c>
      <c r="G34" s="75">
        <v>0.30981118670865476</v>
      </c>
      <c r="H34" s="76">
        <v>0.30297084203483438</v>
      </c>
      <c r="I34" s="77">
        <v>15.172620163990734</v>
      </c>
      <c r="J34" s="78">
        <v>13.962553207993562</v>
      </c>
      <c r="K34" s="79">
        <v>13.099912303364858</v>
      </c>
      <c r="L34" s="77">
        <v>2.4873147809820875</v>
      </c>
      <c r="M34" s="78">
        <v>2.2889431488514038</v>
      </c>
      <c r="N34" s="79">
        <v>2.1475266071089933</v>
      </c>
      <c r="O34" s="78">
        <v>7.8649429931526669</v>
      </c>
      <c r="P34" s="78">
        <v>7.6068685834582768</v>
      </c>
      <c r="Q34" s="79">
        <v>7.3673820926629885</v>
      </c>
    </row>
    <row r="35" spans="2:18">
      <c r="B35" s="48" t="s">
        <v>482</v>
      </c>
      <c r="C35" s="72" t="s">
        <v>482</v>
      </c>
      <c r="D35" s="73" t="s">
        <v>482</v>
      </c>
      <c r="E35" s="74" t="s">
        <v>482</v>
      </c>
      <c r="F35" s="74" t="s">
        <v>482</v>
      </c>
      <c r="G35" s="75" t="s">
        <v>482</v>
      </c>
      <c r="H35" s="76" t="s">
        <v>482</v>
      </c>
      <c r="I35" s="77" t="s">
        <v>482</v>
      </c>
      <c r="J35" s="78" t="s">
        <v>482</v>
      </c>
      <c r="K35" s="79" t="s">
        <v>482</v>
      </c>
      <c r="L35" s="77" t="s">
        <v>482</v>
      </c>
      <c r="M35" s="78" t="s">
        <v>482</v>
      </c>
      <c r="N35" s="79" t="s">
        <v>482</v>
      </c>
      <c r="O35" s="78" t="s">
        <v>482</v>
      </c>
      <c r="P35" s="78" t="s">
        <v>482</v>
      </c>
      <c r="Q35" s="79" t="s">
        <v>482</v>
      </c>
    </row>
    <row r="36" spans="2:18">
      <c r="B36" s="48" t="s">
        <v>482</v>
      </c>
      <c r="C36" s="72" t="s">
        <v>482</v>
      </c>
      <c r="D36" s="73" t="s">
        <v>482</v>
      </c>
      <c r="E36" s="74" t="s">
        <v>482</v>
      </c>
      <c r="F36" s="74" t="s">
        <v>482</v>
      </c>
      <c r="G36" s="75" t="s">
        <v>482</v>
      </c>
      <c r="H36" s="76" t="s">
        <v>482</v>
      </c>
      <c r="I36" s="77" t="s">
        <v>482</v>
      </c>
      <c r="J36" s="78" t="s">
        <v>482</v>
      </c>
      <c r="K36" s="79" t="s">
        <v>482</v>
      </c>
      <c r="L36" s="77"/>
      <c r="M36" s="78"/>
      <c r="N36" s="79"/>
      <c r="O36" s="77" t="s">
        <v>482</v>
      </c>
      <c r="P36" s="78" t="s">
        <v>482</v>
      </c>
      <c r="Q36" s="79" t="s">
        <v>482</v>
      </c>
    </row>
    <row r="37" spans="2:18">
      <c r="B37" s="62" t="s">
        <v>483</v>
      </c>
      <c r="C37" s="80" t="s">
        <v>484</v>
      </c>
      <c r="D37" s="80">
        <v>164.67</v>
      </c>
      <c r="E37" s="81">
        <v>12.230138425666826</v>
      </c>
      <c r="F37" s="81">
        <v>1.8659107310265923</v>
      </c>
      <c r="G37" s="82">
        <v>1.6870067782959488</v>
      </c>
      <c r="H37" s="83">
        <v>1.537914241733475</v>
      </c>
      <c r="I37" s="84">
        <v>35.251202548310651</v>
      </c>
      <c r="J37" s="85">
        <v>30.961329831138816</v>
      </c>
      <c r="K37" s="86">
        <v>27.649096413357935</v>
      </c>
      <c r="L37" s="84">
        <v>2.1007868026406822</v>
      </c>
      <c r="M37" s="85">
        <v>1.8451328862418841</v>
      </c>
      <c r="N37" s="86">
        <v>1.6477411450153716</v>
      </c>
      <c r="O37" s="84">
        <v>24.84079615092466</v>
      </c>
      <c r="P37" s="85">
        <v>20.647625521797089</v>
      </c>
      <c r="Q37" s="86">
        <v>18.418261627074759</v>
      </c>
    </row>
    <row r="39" spans="2:18">
      <c r="D39" s="613" t="s">
        <v>214</v>
      </c>
      <c r="E39" s="87">
        <v>8.5899089298342339</v>
      </c>
      <c r="F39" s="87">
        <v>1.1780745146236586</v>
      </c>
      <c r="G39" s="87">
        <v>1.0967846913413593</v>
      </c>
      <c r="H39" s="87">
        <v>1.0220304042988508</v>
      </c>
      <c r="I39" s="87">
        <v>29.006624702001016</v>
      </c>
      <c r="J39" s="87">
        <v>25.880581700741232</v>
      </c>
      <c r="K39" s="87">
        <v>22.976370367785236</v>
      </c>
      <c r="L39" s="87">
        <v>3.3120487153333493</v>
      </c>
      <c r="M39" s="87">
        <v>2.9641837624069276</v>
      </c>
      <c r="N39" s="87">
        <v>2.6524808849255388</v>
      </c>
      <c r="O39" s="87">
        <v>16.543443988974325</v>
      </c>
      <c r="P39" s="87">
        <v>15.156667186209043</v>
      </c>
      <c r="Q39" s="87">
        <v>13.879736432139657</v>
      </c>
    </row>
    <row r="40" spans="2:18">
      <c r="D40" s="613" t="s">
        <v>503</v>
      </c>
      <c r="E40" s="88">
        <v>6.7020769236570263</v>
      </c>
      <c r="F40" s="88">
        <v>1.0794518962579633</v>
      </c>
      <c r="G40" s="88">
        <v>1.0331876354293983</v>
      </c>
      <c r="H40" s="88">
        <v>0.98815108969465748</v>
      </c>
      <c r="I40" s="88">
        <v>29.052979056437742</v>
      </c>
      <c r="J40" s="88">
        <v>24.380629414432899</v>
      </c>
      <c r="K40" s="88">
        <v>19.716910580644459</v>
      </c>
      <c r="L40" s="88">
        <v>3.1966797975566079</v>
      </c>
      <c r="M40" s="88">
        <v>2.8826791375688918</v>
      </c>
      <c r="N40" s="88">
        <v>2.6251250417069842</v>
      </c>
      <c r="O40" s="88">
        <v>13.513575354898752</v>
      </c>
      <c r="P40" s="88">
        <v>11.576043165480417</v>
      </c>
      <c r="Q40" s="88">
        <v>9.9160986883175291</v>
      </c>
    </row>
    <row r="42" spans="2:18">
      <c r="D42" s="613" t="s">
        <v>214</v>
      </c>
      <c r="E42" s="89">
        <v>115.65693324511004</v>
      </c>
      <c r="F42" s="89">
        <v>103.96720866509294</v>
      </c>
      <c r="G42" s="90">
        <v>107.05797833581552</v>
      </c>
      <c r="H42" s="91">
        <v>109.43246515891114</v>
      </c>
      <c r="I42" s="89">
        <v>135.49951616919842</v>
      </c>
      <c r="J42" s="90">
        <v>137.6476854161113</v>
      </c>
      <c r="K42" s="91">
        <v>136.84059876312222</v>
      </c>
      <c r="L42" s="89">
        <v>259.61466497618073</v>
      </c>
      <c r="M42" s="90">
        <v>264.54037202150903</v>
      </c>
      <c r="N42" s="91">
        <v>265.0804883048628</v>
      </c>
      <c r="O42" s="89">
        <v>110.53970396937345</v>
      </c>
      <c r="P42" s="90">
        <v>121.57325963506592</v>
      </c>
      <c r="Q42" s="91">
        <v>124.73694806430456</v>
      </c>
    </row>
    <row r="43" spans="2:18">
      <c r="D43" s="613" t="s">
        <v>503</v>
      </c>
      <c r="E43" s="92">
        <v>90.238635787021281</v>
      </c>
      <c r="F43" s="92">
        <v>95.263584050991511</v>
      </c>
      <c r="G43" s="93">
        <v>100.85022189301037</v>
      </c>
      <c r="H43" s="94">
        <v>105.80488529491026</v>
      </c>
      <c r="I43" s="92">
        <v>135.71605265570932</v>
      </c>
      <c r="J43" s="93">
        <v>129.67008418472039</v>
      </c>
      <c r="K43" s="94">
        <v>117.42820151425001</v>
      </c>
      <c r="L43" s="92">
        <v>250.57148188572347</v>
      </c>
      <c r="M43" s="93">
        <v>257.26644250014232</v>
      </c>
      <c r="N43" s="94">
        <v>262.34663249478814</v>
      </c>
      <c r="O43" s="92">
        <v>90.77343602084396</v>
      </c>
      <c r="P43" s="93">
        <v>93.47010999620386</v>
      </c>
      <c r="Q43" s="94">
        <v>89.862149516316123</v>
      </c>
    </row>
    <row r="44" spans="2:18" s="4" customFormat="1">
      <c r="C44" s="95"/>
      <c r="D44" s="1"/>
      <c r="E44" s="96" t="s">
        <v>504</v>
      </c>
      <c r="F44" s="97"/>
      <c r="G44" s="97"/>
      <c r="H44" s="97"/>
      <c r="I44" s="96" t="s">
        <v>505</v>
      </c>
      <c r="J44" s="96" t="s">
        <v>506</v>
      </c>
      <c r="K44" s="96" t="s">
        <v>507</v>
      </c>
      <c r="L44" s="96" t="s">
        <v>508</v>
      </c>
      <c r="M44" s="96" t="s">
        <v>509</v>
      </c>
      <c r="N44" s="96" t="s">
        <v>510</v>
      </c>
      <c r="O44" s="96" t="s">
        <v>511</v>
      </c>
      <c r="P44" s="96" t="s">
        <v>512</v>
      </c>
    </row>
    <row r="45" spans="2:18" ht="15.95">
      <c r="B45" s="613" t="s">
        <v>513</v>
      </c>
      <c r="C45" s="614"/>
      <c r="D45" s="613"/>
      <c r="E45" s="613"/>
      <c r="F45" s="613"/>
      <c r="G45" s="613"/>
      <c r="H45" s="613"/>
      <c r="I45" s="613"/>
      <c r="J45" s="613"/>
      <c r="K45" s="613"/>
      <c r="L45" s="613"/>
      <c r="M45" s="613"/>
      <c r="N45" s="613"/>
      <c r="O45" s="613"/>
      <c r="P45" s="613"/>
      <c r="Q45" s="615"/>
      <c r="R45" s="611"/>
    </row>
    <row r="46" spans="2:18" s="2" customFormat="1" outlineLevel="1">
      <c r="B46" s="98"/>
      <c r="C46" s="99"/>
      <c r="D46" s="100" t="s">
        <v>514</v>
      </c>
      <c r="E46" s="101" t="s">
        <v>515</v>
      </c>
      <c r="F46" s="101" t="s">
        <v>516</v>
      </c>
      <c r="G46" s="101"/>
      <c r="H46" s="102"/>
      <c r="I46" s="100" t="s">
        <v>517</v>
      </c>
      <c r="J46" s="101" t="s">
        <v>518</v>
      </c>
      <c r="K46" s="101" t="s">
        <v>519</v>
      </c>
      <c r="L46" s="100"/>
      <c r="M46" s="102"/>
      <c r="N46" s="100" t="s">
        <v>520</v>
      </c>
      <c r="O46" s="102" t="s">
        <v>521</v>
      </c>
      <c r="P46" s="102" t="s">
        <v>522</v>
      </c>
    </row>
    <row r="47" spans="2:18" s="2" customFormat="1" outlineLevel="1">
      <c r="B47" s="103" t="s">
        <v>464</v>
      </c>
      <c r="C47" s="103" t="s">
        <v>465</v>
      </c>
      <c r="D47" s="104" t="s">
        <v>523</v>
      </c>
      <c r="E47" s="105" t="s">
        <v>523</v>
      </c>
      <c r="F47" s="105" t="s">
        <v>523</v>
      </c>
      <c r="G47" s="105" t="s">
        <v>413</v>
      </c>
      <c r="H47" s="106" t="s">
        <v>415</v>
      </c>
      <c r="I47" s="104" t="s">
        <v>524</v>
      </c>
      <c r="J47" s="105" t="s">
        <v>524</v>
      </c>
      <c r="K47" s="105" t="s">
        <v>524</v>
      </c>
      <c r="L47" s="104" t="s">
        <v>525</v>
      </c>
      <c r="M47" s="106" t="s">
        <v>526</v>
      </c>
      <c r="N47" s="104" t="s">
        <v>527</v>
      </c>
      <c r="O47" s="106" t="s">
        <v>527</v>
      </c>
      <c r="P47" s="106" t="s">
        <v>528</v>
      </c>
      <c r="Q47" s="30"/>
    </row>
    <row r="48" spans="2:18" s="2" customFormat="1" outlineLevel="1">
      <c r="B48" s="19" t="s">
        <v>473</v>
      </c>
      <c r="C48" s="107" t="s">
        <v>474</v>
      </c>
      <c r="D48" s="108">
        <v>0.48854390000000003</v>
      </c>
      <c r="E48" s="109">
        <v>0.10751939999999999</v>
      </c>
      <c r="F48" s="109">
        <v>9.2871200000000001E-2</v>
      </c>
      <c r="G48" s="109">
        <v>0.10278999999999999</v>
      </c>
      <c r="H48" s="109">
        <v>0.24289000000000002</v>
      </c>
      <c r="I48" s="110">
        <v>1.1068490251000001</v>
      </c>
      <c r="J48" s="111">
        <v>9.6632115145000004</v>
      </c>
      <c r="K48" s="111">
        <v>13.045129232782594</v>
      </c>
      <c r="L48" s="112">
        <v>26.5080253173</v>
      </c>
      <c r="M48" s="113">
        <v>19.058807269700001</v>
      </c>
      <c r="N48" s="112">
        <v>0.87304999999999999</v>
      </c>
      <c r="O48" s="113">
        <v>1.0637300000000001</v>
      </c>
      <c r="P48" s="129">
        <v>42.167913549459684</v>
      </c>
      <c r="Q48" s="30"/>
    </row>
    <row r="49" spans="2:16" s="2" customFormat="1" outlineLevel="1">
      <c r="B49" s="19" t="s">
        <v>475</v>
      </c>
      <c r="C49" s="107" t="s">
        <v>476</v>
      </c>
      <c r="D49" s="114">
        <v>0.2485106</v>
      </c>
      <c r="E49" s="115">
        <v>4.30964E-2</v>
      </c>
      <c r="F49" s="115">
        <v>2.8540999999999997E-2</v>
      </c>
      <c r="G49" s="115">
        <v>7.9000000000000001E-2</v>
      </c>
      <c r="H49" s="116">
        <v>0.23199000000000003</v>
      </c>
      <c r="I49" s="112">
        <v>2.6537638683</v>
      </c>
      <c r="J49" s="117">
        <v>9.1936906589999996</v>
      </c>
      <c r="K49" s="117">
        <v>68.269172932330832</v>
      </c>
      <c r="L49" s="112">
        <v>50.3114939624</v>
      </c>
      <c r="M49" s="113">
        <v>27.406922122600001</v>
      </c>
      <c r="N49" s="112">
        <v>0.23837</v>
      </c>
      <c r="O49" s="113">
        <v>0.82267999999999997</v>
      </c>
      <c r="P49" s="118">
        <v>15.513563049853373</v>
      </c>
    </row>
    <row r="50" spans="2:16" s="2" customFormat="1" outlineLevel="1">
      <c r="B50" s="19" t="s">
        <v>477</v>
      </c>
      <c r="C50" s="107" t="s">
        <v>478</v>
      </c>
      <c r="D50" s="114">
        <v>0.1261333</v>
      </c>
      <c r="E50" s="115">
        <v>3.6490000000000002E-2</v>
      </c>
      <c r="F50" s="115">
        <v>2.89523E-2</v>
      </c>
      <c r="G50" s="115">
        <v>0.10609</v>
      </c>
      <c r="H50" s="116">
        <v>0.30268999999999996</v>
      </c>
      <c r="I50" s="112">
        <v>3.6658094723999999</v>
      </c>
      <c r="J50" s="117">
        <v>12.5989007876</v>
      </c>
      <c r="K50" s="117">
        <v>93.514516721793456</v>
      </c>
      <c r="L50" s="112">
        <v>31.305562611100001</v>
      </c>
      <c r="M50" s="113">
        <v>23.035754586199999</v>
      </c>
      <c r="N50" s="112">
        <v>0.43985000000000002</v>
      </c>
      <c r="O50" s="113">
        <v>0.96565999999999996</v>
      </c>
      <c r="P50" s="118">
        <v>68.177514792899402</v>
      </c>
    </row>
    <row r="51" spans="2:16" s="2" customFormat="1" outlineLevel="1">
      <c r="B51" s="19" t="s">
        <v>479</v>
      </c>
      <c r="C51" s="107" t="s">
        <v>395</v>
      </c>
      <c r="D51" s="114">
        <v>0.27684229999999999</v>
      </c>
      <c r="E51" s="115">
        <v>1.9232300000000001E-2</v>
      </c>
      <c r="F51" s="115">
        <v>1.29318E-2</v>
      </c>
      <c r="G51" s="115">
        <v>5.219E-2</v>
      </c>
      <c r="H51" s="116">
        <v>0.45079000000000002</v>
      </c>
      <c r="I51" s="112">
        <v>3.0349473732000001</v>
      </c>
      <c r="J51" s="117">
        <v>11.704072799</v>
      </c>
      <c r="K51" s="117">
        <v>96.299592716818395</v>
      </c>
      <c r="L51" s="112">
        <v>230.9607489885</v>
      </c>
      <c r="M51" s="113">
        <v>69.270926289499997</v>
      </c>
      <c r="N51" s="112">
        <v>0.21651999999999999</v>
      </c>
      <c r="O51" s="113">
        <v>0.90456000000000003</v>
      </c>
      <c r="P51" s="118">
        <v>8.1423707171738666</v>
      </c>
    </row>
    <row r="52" spans="2:16" s="2" customFormat="1" outlineLevel="1">
      <c r="B52" s="19" t="s">
        <v>480</v>
      </c>
      <c r="C52" s="107" t="s">
        <v>481</v>
      </c>
      <c r="D52" s="114">
        <v>0.2350006</v>
      </c>
      <c r="E52" s="115">
        <v>2.6698699999999999E-2</v>
      </c>
      <c r="F52" s="115">
        <v>1.79782E-2</v>
      </c>
      <c r="G52" s="115">
        <v>6.2990000000000004E-2</v>
      </c>
      <c r="H52" s="116">
        <v>0.32649</v>
      </c>
      <c r="I52" s="112">
        <v>2.8534052230000002</v>
      </c>
      <c r="J52" s="117">
        <v>15.9158594358</v>
      </c>
      <c r="K52" s="117">
        <v>67.026423690205007</v>
      </c>
      <c r="L52" s="112">
        <v>216.11345805670001</v>
      </c>
      <c r="M52" s="113">
        <v>67.337508592399999</v>
      </c>
      <c r="N52" s="112">
        <v>0.51661999999999997</v>
      </c>
      <c r="O52" s="113">
        <v>0.95816000000000001</v>
      </c>
      <c r="P52" s="118">
        <v>17.077777777777779</v>
      </c>
    </row>
    <row r="53" spans="2:16" s="2" customFormat="1" outlineLevel="1">
      <c r="B53" s="19" t="s">
        <v>482</v>
      </c>
      <c r="C53" s="107" t="s">
        <v>529</v>
      </c>
      <c r="D53" s="114">
        <v>0.29382599999999998</v>
      </c>
      <c r="E53" s="115">
        <v>3.7836300000000003E-2</v>
      </c>
      <c r="F53" s="115">
        <v>2.7332000000000002E-2</v>
      </c>
      <c r="G53" s="115"/>
      <c r="H53" s="116"/>
      <c r="I53" s="112">
        <v>1.874570173</v>
      </c>
      <c r="J53" s="117">
        <v>7.3085290831999998</v>
      </c>
      <c r="K53" s="117">
        <v>98.460348929421087</v>
      </c>
      <c r="L53" s="112">
        <v>27.073697017000001</v>
      </c>
      <c r="M53" s="113">
        <v>19.5171407797</v>
      </c>
      <c r="N53" s="112">
        <v>0.16075999999999999</v>
      </c>
      <c r="O53" s="113">
        <v>0.89598</v>
      </c>
      <c r="P53" s="118">
        <v>18.71824585321518</v>
      </c>
    </row>
    <row r="54" spans="2:16" s="2" customFormat="1" outlineLevel="1">
      <c r="B54" s="19" t="s">
        <v>482</v>
      </c>
      <c r="C54" s="107" t="s">
        <v>482</v>
      </c>
      <c r="D54" s="114" t="s">
        <v>482</v>
      </c>
      <c r="E54" s="115" t="s">
        <v>482</v>
      </c>
      <c r="F54" s="115" t="s">
        <v>482</v>
      </c>
      <c r="G54" s="115" t="s">
        <v>482</v>
      </c>
      <c r="H54" s="116" t="s">
        <v>482</v>
      </c>
      <c r="I54" s="112" t="s">
        <v>482</v>
      </c>
      <c r="J54" s="117" t="s">
        <v>482</v>
      </c>
      <c r="K54" s="117" t="s">
        <v>482</v>
      </c>
      <c r="L54" s="112" t="s">
        <v>482</v>
      </c>
      <c r="M54" s="113" t="s">
        <v>482</v>
      </c>
      <c r="N54" s="112" t="s">
        <v>482</v>
      </c>
      <c r="O54" s="113" t="s">
        <v>482</v>
      </c>
      <c r="P54" s="118" t="s">
        <v>482</v>
      </c>
    </row>
    <row r="55" spans="2:16" s="2" customFormat="1" outlineLevel="1">
      <c r="B55" s="34" t="s">
        <v>483</v>
      </c>
      <c r="C55" s="119" t="s">
        <v>484</v>
      </c>
      <c r="D55" s="120">
        <v>0.38105719999999998</v>
      </c>
      <c r="E55" s="121">
        <v>6.5355400000000008E-2</v>
      </c>
      <c r="F55" s="121">
        <v>4.9305199999999993E-2</v>
      </c>
      <c r="G55" s="121">
        <v>0.10919000000000001</v>
      </c>
      <c r="H55" s="122">
        <v>0.30809000000000003</v>
      </c>
      <c r="I55" s="123">
        <v>2.2155996870000001</v>
      </c>
      <c r="J55" s="124">
        <v>14.3364004759</v>
      </c>
      <c r="K55" s="124">
        <v>194.24484146955209</v>
      </c>
      <c r="L55" s="123">
        <v>0.64823703580000003</v>
      </c>
      <c r="M55" s="125">
        <v>0.54477316899999995</v>
      </c>
      <c r="N55" s="123">
        <v>0.48853999999999997</v>
      </c>
      <c r="O55" s="125">
        <v>0.99346000000000001</v>
      </c>
      <c r="P55" s="126">
        <v>113.80356524749048</v>
      </c>
    </row>
    <row r="56" spans="2:16">
      <c r="B56" s="34" t="s">
        <v>214</v>
      </c>
      <c r="C56" s="119"/>
      <c r="D56" s="120">
        <v>0.27814278333333337</v>
      </c>
      <c r="E56" s="121">
        <v>4.5145516666666663E-2</v>
      </c>
      <c r="F56" s="121">
        <v>3.476775E-2</v>
      </c>
      <c r="G56" s="121">
        <v>8.0612000000000003E-2</v>
      </c>
      <c r="H56" s="122">
        <v>0.31097000000000002</v>
      </c>
      <c r="I56" s="123">
        <v>2.5315575225000004</v>
      </c>
      <c r="J56" s="124">
        <v>11.064044046516665</v>
      </c>
      <c r="K56" s="124">
        <v>72.769197370558572</v>
      </c>
      <c r="L56" s="123">
        <v>97.045497658833327</v>
      </c>
      <c r="M56" s="125">
        <v>37.604509940016669</v>
      </c>
      <c r="N56" s="123">
        <v>0.40752833333333333</v>
      </c>
      <c r="O56" s="125">
        <v>0.93512833333333345</v>
      </c>
      <c r="P56" s="126">
        <v>28.299564290063216</v>
      </c>
    </row>
    <row r="58" spans="2:16">
      <c r="D58" s="128"/>
      <c r="E58" s="128"/>
      <c r="F58" s="128"/>
      <c r="G58" s="128"/>
      <c r="H58" s="128"/>
      <c r="I58" s="128"/>
      <c r="J58" s="128"/>
      <c r="K58" s="128"/>
      <c r="L58" s="128"/>
      <c r="M58" s="128"/>
      <c r="N58" s="128"/>
      <c r="O58" s="128"/>
      <c r="P58" s="128"/>
    </row>
    <row r="59" spans="2:16">
      <c r="D59" s="128"/>
      <c r="E59" s="128"/>
      <c r="F59" s="128"/>
      <c r="G59" s="128"/>
      <c r="H59" s="128"/>
      <c r="I59" s="128"/>
      <c r="J59" s="128"/>
      <c r="K59" s="128"/>
      <c r="L59" s="128"/>
      <c r="M59" s="128"/>
      <c r="N59" s="128"/>
      <c r="O59" s="128"/>
      <c r="P59" s="128"/>
    </row>
  </sheetData>
  <conditionalFormatting sqref="E42:Q43">
    <cfRule type="cellIs" dxfId="16" priority="1" operator="lessThan">
      <formula>$D$37</formula>
    </cfRule>
    <cfRule type="cellIs" dxfId="15" priority="2" operator="greaterThan">
      <formula>$D$37</formula>
    </cfRule>
  </conditionalFormatting>
  <hyperlinks>
    <hyperlink ref="K54" tooltip="Thomson Reuters Click-Thru" xr:uid="{67FF099D-2A89-654B-8F41-FEA153DA2059}"/>
    <hyperlink ref="H13" tooltip="Thomson Reuters Click-Thru" xr:uid="{A297BF26-9D01-4045-909A-1F001C0E6CEA}"/>
    <hyperlink ref="I13" tooltip="Thomson Reuters Click-Thru" xr:uid="{B8CE6A2B-85B1-314B-926D-7BAB72924F8C}"/>
    <hyperlink ref="K49" tooltip="Thomson Reuters Click-Thru" xr:uid="{6F4FF449-C17C-9641-A7F4-6BFBA83DCE83}"/>
    <hyperlink ref="H7" tooltip="Thomson Reuters Click-Thru" xr:uid="{603CC02A-5CD1-9F45-9A67-4E4F1F858256}"/>
    <hyperlink ref="H8" tooltip="Thomson Reuters Click-Thru" xr:uid="{D7238F1D-E486-0348-8208-64AD3D85523F}"/>
    <hyperlink ref="K51" tooltip="Thomson Reuters Click-Thru" xr:uid="{5D763E5C-ACBE-0743-B447-FF4D3CA25398}"/>
    <hyperlink ref="H9" tooltip="Thomson Reuters Click-Thru" xr:uid="{15C8046B-7E78-5749-869F-5F84C84B2247}"/>
    <hyperlink ref="H10" tooltip="Thomson Reuters Click-Thru" xr:uid="{CC56C54F-908F-CB49-A5A2-CCC042382307}"/>
    <hyperlink ref="K53" tooltip="Thomson Reuters Click-Thru" xr:uid="{F81A27DD-1606-A843-A055-A865DFBABD5D}"/>
    <hyperlink ref="I7:I8" tooltip="Thomson Reuters Click-Thru" xr:uid="{AA791FF7-558D-B34B-9034-4C5E48A23F52}"/>
    <hyperlink ref="I6" tooltip="Thomson Reuters Click-Thru" xr:uid="{99752C26-3A21-C548-A487-A1C47127C7AD}"/>
    <hyperlink ref="H6" tooltip="Thomson Reuters Click-Thru" xr:uid="{BBF97F18-C5FE-CC48-80BF-252A08D52890}"/>
    <hyperlink ref="K48" tooltip="Thomson Reuters Click-Thru" xr:uid="{EE1F7F59-22D9-1E41-BE22-F71AC3481533}"/>
    <hyperlink ref="I9" tooltip="Thomson Reuters Click-Thru" xr:uid="{3EB9C63C-4783-4D4C-949A-44869ACC0C9D}"/>
    <hyperlink ref="I11" tooltip="Thomson Reuters Click-Thru" xr:uid="{66023D4F-AB64-1E4A-8B0E-4646065DEBEB}"/>
    <hyperlink ref="H11" tooltip="Thomson Reuters Click-Thru" xr:uid="{5AE6955C-315E-AE4C-AB0A-6A248FACBAD0}"/>
    <hyperlink ref="I12" tooltip="Thomson Reuters Click-Thru" xr:uid="{CAA7821F-AD49-684B-967F-3B57076DDFC4}"/>
    <hyperlink ref="H12" tooltip="Thomson Reuters Click-Thru" xr:uid="{92379868-70E6-8549-B495-32419CC4495D}"/>
  </hyperlink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772E-1F89-0A43-A849-E6D2C19B5820}">
  <dimension ref="A1:AE59"/>
  <sheetViews>
    <sheetView showGridLines="0" zoomScaleNormal="100" workbookViewId="0">
      <selection activeCell="C20" sqref="A1:XFD1048576"/>
    </sheetView>
  </sheetViews>
  <sheetFormatPr defaultColWidth="10.6640625" defaultRowHeight="14.1" outlineLevelRow="1"/>
  <cols>
    <col min="1" max="1" width="2.6640625" style="1" customWidth="1"/>
    <col min="2" max="2" width="23.77734375" style="1" bestFit="1" customWidth="1"/>
    <col min="3" max="3" width="7.21875" style="5" bestFit="1" customWidth="1"/>
    <col min="4" max="5" width="8.88671875" style="1" customWidth="1"/>
    <col min="6" max="6" width="8" style="1" customWidth="1"/>
    <col min="7" max="7" width="8.109375" style="1" bestFit="1" customWidth="1"/>
    <col min="8" max="9" width="7.33203125" style="1" customWidth="1"/>
    <col min="10" max="10" width="8.6640625" style="1" customWidth="1"/>
    <col min="11" max="11" width="7.33203125" style="1" customWidth="1"/>
    <col min="12" max="12" width="7.109375" style="1" bestFit="1" customWidth="1"/>
    <col min="13" max="13" width="8.6640625" style="1" customWidth="1"/>
    <col min="14" max="14" width="7" style="1" bestFit="1" customWidth="1"/>
    <col min="15" max="15" width="8.6640625" style="1" customWidth="1"/>
    <col min="16" max="17" width="7" style="1" customWidth="1"/>
    <col min="18" max="18" width="7" style="1" bestFit="1" customWidth="1"/>
    <col min="19" max="16384" width="10.6640625" style="1"/>
  </cols>
  <sheetData>
    <row r="1" spans="1:31" ht="20.100000000000001" customHeight="1">
      <c r="D1" s="1" t="s">
        <v>354</v>
      </c>
    </row>
    <row r="2" spans="1:31">
      <c r="B2" s="611" t="s">
        <v>454</v>
      </c>
      <c r="C2" s="612"/>
      <c r="D2" s="611"/>
      <c r="E2" s="611"/>
      <c r="F2" s="611"/>
      <c r="G2" s="611"/>
      <c r="H2" s="611"/>
      <c r="I2" s="611"/>
      <c r="J2" s="611"/>
      <c r="K2" s="611"/>
      <c r="L2" s="611"/>
      <c r="M2" s="611"/>
      <c r="N2" s="611"/>
      <c r="O2" s="611"/>
      <c r="P2" s="611"/>
      <c r="Q2" s="611"/>
      <c r="R2" s="611"/>
    </row>
    <row r="3" spans="1:31">
      <c r="B3" s="6" t="s">
        <v>455</v>
      </c>
      <c r="C3" s="7"/>
      <c r="D3" s="8"/>
      <c r="E3" s="8"/>
      <c r="F3" s="8"/>
      <c r="G3" s="8"/>
      <c r="H3" s="8"/>
      <c r="I3" s="8"/>
      <c r="J3" s="8"/>
      <c r="K3" s="8"/>
      <c r="L3" s="8"/>
      <c r="M3" s="8"/>
      <c r="N3" s="8"/>
      <c r="O3" s="8"/>
      <c r="P3" s="8"/>
      <c r="Q3" s="8"/>
      <c r="R3" s="8"/>
    </row>
    <row r="4" spans="1:31">
      <c r="B4" s="9" t="s">
        <v>456</v>
      </c>
      <c r="C4" s="10"/>
      <c r="D4" s="11" t="s">
        <v>457</v>
      </c>
      <c r="E4" s="12" t="s">
        <v>458</v>
      </c>
      <c r="F4" s="12" t="s">
        <v>459</v>
      </c>
      <c r="G4" s="12" t="s">
        <v>460</v>
      </c>
      <c r="H4" s="12" t="s">
        <v>175</v>
      </c>
      <c r="I4" s="12"/>
      <c r="J4" s="12" t="s">
        <v>461</v>
      </c>
      <c r="K4" s="13" t="s">
        <v>462</v>
      </c>
      <c r="L4" s="13"/>
      <c r="M4" s="14" t="s">
        <v>463</v>
      </c>
    </row>
    <row r="5" spans="1:31">
      <c r="B5" s="15" t="s">
        <v>464</v>
      </c>
      <c r="C5" s="15" t="s">
        <v>465</v>
      </c>
      <c r="D5" s="16" t="s">
        <v>285</v>
      </c>
      <c r="E5" s="17" t="s">
        <v>466</v>
      </c>
      <c r="F5" s="17" t="s">
        <v>467</v>
      </c>
      <c r="G5" s="17" t="s">
        <v>468</v>
      </c>
      <c r="H5" s="17" t="s">
        <v>469</v>
      </c>
      <c r="I5" s="17" t="s">
        <v>470</v>
      </c>
      <c r="J5" s="17" t="s">
        <v>471</v>
      </c>
      <c r="K5" s="18" t="s">
        <v>471</v>
      </c>
      <c r="L5" s="18" t="s">
        <v>71</v>
      </c>
      <c r="M5" s="15" t="s">
        <v>472</v>
      </c>
    </row>
    <row r="6" spans="1:31" s="2" customFormat="1">
      <c r="B6" s="19" t="e" cm="1">
        <f t="array" aca="1" ref="B6" ca="1">IF($C6="","",_xll.RDP.Data($C6,"DSPLY_NAME"))</f>
        <v>#NAME?</v>
      </c>
      <c r="C6" s="20" t="s">
        <v>474</v>
      </c>
      <c r="D6" s="21" t="e">
        <f ca="1">IF(C6="","",_xll.RDP.Data($C6,"TR.PriceClose","Curn=#1",,$D$1))</f>
        <v>#NAME?</v>
      </c>
      <c r="E6" s="22" t="e">
        <f ca="1">IF($C6="","",_xll.RDP.Data($C6,"MAX(TR.PriceHigh(SDate=0D,EDate=0D-364C))/*52 Week High*/","Curn=#1",,$D$1))</f>
        <v>#NAME?</v>
      </c>
      <c r="F6" s="23" t="e">
        <f ca="1">IF(C6="","",_xll.RDP.Data($C6,"TR.CompanySharesOutstanding(SDate=0)/*# Shares Outstanding*/")/1000000)</f>
        <v>#NAME?</v>
      </c>
      <c r="G6" s="24" t="e">
        <f t="shared" ref="G6:G13" ca="1" si="0">IF(C6="","",D6*F6)</f>
        <v>#NAME?</v>
      </c>
      <c r="H6" s="24" t="e" cm="1">
        <f t="array" aca="1" ref="H6" ca="1">IF($C6="","",_xll.RDP.Data($C6,"TR.TotalDebtOutstanding","Curn=#1",,$D$1)/1000000)</f>
        <v>#NAME?</v>
      </c>
      <c r="I6" s="24" t="e">
        <f ca="1">IF($C6="","",_xll.RDP.Data($C6,"TR.CashandEquivalents","Curn=#1",,$D$1)/1000000)</f>
        <v>#NAME?</v>
      </c>
      <c r="J6" s="25" t="e">
        <f t="shared" ref="J6:J13" ca="1" si="1">IF(C6="","",G6+H6-I6)</f>
        <v>#NAME?</v>
      </c>
      <c r="K6" s="24" t="e" cm="1">
        <f t="array" aca="1" ref="K6" ca="1">IF($C6="","",_xll.RDP.Data($C6,"TR.TotalEquity","Curn=#1",,$D$1)/1000000)</f>
        <v>#NAME?</v>
      </c>
      <c r="L6" s="26" t="e">
        <f ca="1">IF($C6="","",_xll.RDP.Data($C6,"TR.BetaFiveYear/*Beta 5 Year Monthly*//*Beta 5 Year Monthly*/"))</f>
        <v>#NAME?</v>
      </c>
      <c r="M6" s="27" t="e">
        <f ca="1">IF(C6="","",_xll.RDP.Data($C6,"TR.PriceTargetMean","Curn=#1",,$D$1))</f>
        <v>#NAME?</v>
      </c>
      <c r="N6" s="28"/>
    </row>
    <row r="7" spans="1:31" s="2" customFormat="1">
      <c r="B7" s="19" t="e" cm="1">
        <f t="array" aca="1" ref="B7" ca="1">IF($C7="","",_xll.RDP.Data($C7,"DSPLY_NAME"))</f>
        <v>#NAME?</v>
      </c>
      <c r="C7" s="20" t="s">
        <v>476</v>
      </c>
      <c r="D7" s="29" t="e">
        <f ca="1">IF(C7="","",_xll.RDP.Data($C7,"TR.PriceClose","Curn=#1",,$D$1))</f>
        <v>#NAME?</v>
      </c>
      <c r="E7" s="30" t="e">
        <f ca="1">IF($C7="","",_xll.RDP.Data($C7,"MAX(TR.PriceHigh(SDate=0D,EDate=0D-364C))/*52 Week High*/","Curn=#1",,$D$1))</f>
        <v>#NAME?</v>
      </c>
      <c r="F7" s="23" t="e">
        <f ca="1">IF(C7="","",_xll.RDP.Data($C7,"TR.CompanySharesOutstanding(SDate=0)/*# Shares Outstanding*/")/1000000)</f>
        <v>#NAME?</v>
      </c>
      <c r="G7" s="25" t="e">
        <f t="shared" ca="1" si="0"/>
        <v>#NAME?</v>
      </c>
      <c r="H7" s="25" t="e" cm="1">
        <f t="array" aca="1" ref="H7" ca="1">IF($C7="","",_xll.RDP.Data($C7,"TR.TotalDebtOutstanding","Curn=#1",,$D$1)/1000000)</f>
        <v>#NAME?</v>
      </c>
      <c r="I7" s="25" t="e">
        <f ca="1">IF($C7="","",_xll.RDP.Data($C7,"TR.CashandEquivalents","Curn=#1",,$D$1)/1000000)</f>
        <v>#NAME?</v>
      </c>
      <c r="J7" s="25" t="e">
        <f t="shared" ca="1" si="1"/>
        <v>#NAME?</v>
      </c>
      <c r="K7" s="25" t="e" cm="1">
        <f t="array" aca="1" ref="K7" ca="1">IF($C7="","",_xll.RDP.Data($C7,"TR.TotalEquity","Curn=#1",,$D$1)/1000000)</f>
        <v>#NAME?</v>
      </c>
      <c r="L7" s="31" t="e">
        <f ca="1">IF($C7="","",_xll.RDP.Data($C7,"TR.BetaFiveYear/*Beta 5 Year Monthly*//*Beta 5 Year Monthly*/"))</f>
        <v>#NAME?</v>
      </c>
      <c r="M7" s="32" t="e">
        <f ca="1">IF(C7="","",_xll.RDP.Data($C7,"TR.PriceTargetMean","Curn=#1",,$D$1))</f>
        <v>#NAME?</v>
      </c>
      <c r="N7" s="28"/>
    </row>
    <row r="8" spans="1:31" s="2" customFormat="1">
      <c r="B8" s="19" t="e" cm="1">
        <f t="array" aca="1" ref="B8" ca="1">IF($C8="","",_xll.RDP.Data($C8,"DSPLY_NAME"))</f>
        <v>#NAME?</v>
      </c>
      <c r="C8" s="20" t="s">
        <v>478</v>
      </c>
      <c r="D8" s="29" t="e">
        <f ca="1">IF(C8="","",_xll.RDP.Data($C8,"TR.PriceClose","Curn=#1",,$D$1))</f>
        <v>#NAME?</v>
      </c>
      <c r="E8" s="30" t="e">
        <f ca="1">IF($C8="","",_xll.RDP.Data($C8,"MAX(TR.PriceHigh(SDate=0D,EDate=0D-364C))/*52 Week High*/","Curn=#1",,$D$1))</f>
        <v>#NAME?</v>
      </c>
      <c r="F8" s="23" t="e">
        <f ca="1">IF(C8="","",_xll.RDP.Data($C8,"TR.CompanySharesOutstanding(SDate=0)/*# Shares Outstanding*/")/1000000)</f>
        <v>#NAME?</v>
      </c>
      <c r="G8" s="25" t="e">
        <f t="shared" ca="1" si="0"/>
        <v>#NAME?</v>
      </c>
      <c r="H8" s="25" t="e" cm="1">
        <f t="array" aca="1" ref="H8" ca="1">IF($C8="","",_xll.RDP.Data($C8,"TR.TotalDebtOutstanding","Curn=#1",,$D$1)/1000000)</f>
        <v>#NAME?</v>
      </c>
      <c r="I8" s="25" t="e">
        <f ca="1">IF($C8="","",_xll.RDP.Data($C8,"TR.CashandEquivalents","Curn=#1",,$D$1)/1000000)</f>
        <v>#NAME?</v>
      </c>
      <c r="J8" s="25" t="e">
        <f t="shared" ca="1" si="1"/>
        <v>#NAME?</v>
      </c>
      <c r="K8" s="25" t="e" cm="1">
        <f t="array" aca="1" ref="K8" ca="1">IF($C8="","",_xll.RDP.Data($C8,"TR.TotalEquity","Curn=#1",,$D$1)/1000000)</f>
        <v>#NAME?</v>
      </c>
      <c r="L8" s="31" t="e">
        <f ca="1">IF($C8="","",_xll.RDP.Data($C8,"TR.BetaFiveYear/*Beta 5 Year Monthly*//*Beta 5 Year Monthly*/"))</f>
        <v>#NAME?</v>
      </c>
      <c r="M8" s="32" t="e">
        <f ca="1">IF(C8="","",_xll.RDP.Data($C8,"TR.PriceTargetMean","Curn=#1",,$D$1))</f>
        <v>#NAME?</v>
      </c>
      <c r="N8" s="28"/>
    </row>
    <row r="9" spans="1:31" s="2" customFormat="1">
      <c r="B9" s="19" t="e" cm="1">
        <f t="array" aca="1" ref="B9" ca="1">IF($C9="","",_xll.RDP.Data($C9,"DSPLY_NAME"))</f>
        <v>#NAME?</v>
      </c>
      <c r="C9" s="20" t="s">
        <v>395</v>
      </c>
      <c r="D9" s="29" t="e">
        <f ca="1">IF(C9="","",_xll.RDP.Data($C9,"TR.PriceClose","Curn=#1",,$D$1))</f>
        <v>#NAME?</v>
      </c>
      <c r="E9" s="30" t="e">
        <f ca="1">IF($C9="","",_xll.RDP.Data($C9,"MAX(TR.PriceHigh(SDate=0D,EDate=0D-364C))/*52 Week High*/","Curn=#1",,$D$1))</f>
        <v>#NAME?</v>
      </c>
      <c r="F9" s="23" t="e">
        <f ca="1">IF(C9="","",_xll.RDP.Data($C9,"TR.CompanySharesOutstanding(SDate=0)/*# Shares Outstanding*/")/1000000)</f>
        <v>#NAME?</v>
      </c>
      <c r="G9" s="25" t="e">
        <f t="shared" ca="1" si="0"/>
        <v>#NAME?</v>
      </c>
      <c r="H9" s="25" t="e" cm="1">
        <f t="array" aca="1" ref="H9" ca="1">IF($C9="","",_xll.RDP.Data($C9,"TR.TotalDebtOutstanding","Curn=#1",,$D$1)/1000000)</f>
        <v>#NAME?</v>
      </c>
      <c r="I9" s="25" t="e">
        <f ca="1">IF($C9="","",_xll.RDP.Data($C9,"TR.CashandEquivalents","Curn=#1",,$D$1)/1000000)</f>
        <v>#NAME?</v>
      </c>
      <c r="J9" s="25" t="e">
        <f t="shared" ca="1" si="1"/>
        <v>#NAME?</v>
      </c>
      <c r="K9" s="25" t="e" cm="1">
        <f t="array" aca="1" ref="K9" ca="1">IF($C9="","",_xll.RDP.Data($C9,"TR.TotalEquity","Curn=#1",,$D$1)/1000000)</f>
        <v>#NAME?</v>
      </c>
      <c r="L9" s="31" t="e">
        <f ca="1">IF($C9="","",_xll.RDP.Data($C9,"TR.BetaFiveYear/*Beta 5 Year Monthly*//*Beta 5 Year Monthly*/"))</f>
        <v>#NAME?</v>
      </c>
      <c r="M9" s="32" t="e">
        <f ca="1">IF(C9="","",_xll.RDP.Data($C9,"TR.PriceTargetMean","Curn=#1",,$D$1))</f>
        <v>#NAME?</v>
      </c>
      <c r="N9" s="28"/>
    </row>
    <row r="10" spans="1:31" s="2" customFormat="1">
      <c r="B10" s="19" t="e" cm="1">
        <f t="array" aca="1" ref="B10" ca="1">IF($C10="","",_xll.RDP.Data($C10,"DSPLY_NAME"))</f>
        <v>#NAME?</v>
      </c>
      <c r="C10" s="127" t="s">
        <v>481</v>
      </c>
      <c r="D10" s="29" t="e">
        <f ca="1">IF(C10="","",_xll.RDP.Data($C10,"TR.PriceClose","Curn=#1",,$D$1))</f>
        <v>#NAME?</v>
      </c>
      <c r="E10" s="30" t="e">
        <f ca="1">IF($C10="","",_xll.RDP.Data($C10,"MAX(TR.PriceHigh(SDate=0D,EDate=0D-364C))/*52 Week High*/","Curn=#1",,$D$1))</f>
        <v>#NAME?</v>
      </c>
      <c r="F10" s="23" t="e">
        <f ca="1">IF(C10="","",_xll.RDP.Data($C10,"TR.CompanySharesOutstanding(SDate=0)/*# Shares Outstanding*/")/1000000)</f>
        <v>#NAME?</v>
      </c>
      <c r="G10" s="25" t="e">
        <f t="shared" ca="1" si="0"/>
        <v>#NAME?</v>
      </c>
      <c r="H10" s="25" t="e" cm="1">
        <f t="array" aca="1" ref="H10" ca="1">IF($C10="","",_xll.RDP.Data($C10,"TR.TotalDebtOutstanding","Curn=#1",,$D$1)/1000000)</f>
        <v>#NAME?</v>
      </c>
      <c r="I10" s="25" t="e">
        <f ca="1">IF($C10="","",_xll.RDP.Data($C10,"TR.CashandEquivalents","Curn=#1",,$D$1)/1000000)</f>
        <v>#NAME?</v>
      </c>
      <c r="J10" s="25" t="e">
        <f t="shared" ca="1" si="1"/>
        <v>#NAME?</v>
      </c>
      <c r="K10" s="25" t="e" cm="1">
        <f t="array" aca="1" ref="K10" ca="1">IF($C10="","",_xll.RDP.Data($C10,"TR.TotalEquity","Curn=#1",,$D$1)/1000000)</f>
        <v>#NAME?</v>
      </c>
      <c r="L10" s="31" t="e">
        <f ca="1">IF($C10="","",_xll.RDP.Data($C10,"TR.BetaFiveYear/*Beta 5 Year Monthly*//*Beta 5 Year Monthly*/"))</f>
        <v>#NAME?</v>
      </c>
      <c r="M10" s="32" t="e">
        <f ca="1">IF(C10="","",_xll.RDP.Data($C10,"TR.PriceTargetMean","Curn=#1",,$D$1))</f>
        <v>#NAME?</v>
      </c>
      <c r="N10" s="28"/>
    </row>
    <row r="11" spans="1:31" s="2" customFormat="1">
      <c r="B11" s="19" t="str" cm="1">
        <f t="array" ref="B11">IF($C11="","",_xll.RDP.Data($C11,"DSPLY_NAME"))</f>
        <v/>
      </c>
      <c r="C11" s="33"/>
      <c r="D11" s="29" t="str">
        <f>IF(C11="","",_xll.RDP.Data($C11,"TR.PriceClose","Curn=#1",,$D$1))</f>
        <v/>
      </c>
      <c r="E11" s="30" t="str">
        <f>IF($C11="","",_xll.RDP.Data($C11,"MAX(TR.PriceHigh(SDate=0D,EDate=0D-364C))/*52 Week High*/","Curn=#1",,$D$1))</f>
        <v/>
      </c>
      <c r="F11" s="23" t="str">
        <f>IF(C11="","",_xll.RDP.Data($C11,"TR.CompanySharesOutstanding(SDate=0)/*# Shares Outstanding*/")/1000000)</f>
        <v/>
      </c>
      <c r="G11" s="25" t="str">
        <f t="shared" si="0"/>
        <v/>
      </c>
      <c r="H11" s="25" t="str" cm="1">
        <f t="array" ref="H11">IF($C11="","",_xll.RDP.Data($C11,"TR.TotalDebtOutstanding","Curn=#1",,$D$1)/1000000)</f>
        <v/>
      </c>
      <c r="I11" s="25" t="str">
        <f>IF($C11="","",_xll.RDP.Data($C11,"TR.CashandEquivalents","Curn=#1",,$D$1)/1000000)</f>
        <v/>
      </c>
      <c r="J11" s="25" t="str">
        <f t="shared" si="1"/>
        <v/>
      </c>
      <c r="K11" s="25" t="str" cm="1">
        <f t="array" ref="K11">IF($C11="","",_xll.RDP.Data($C11,"TR.TotalEquity","Curn=#1",,$D$1)/1000000)</f>
        <v/>
      </c>
      <c r="L11" s="31" t="str">
        <f>IF($C11="","",_xll.RDP.Data($C11,"TR.BetaFiveYear/*Beta 5 Year Monthly*//*Beta 5 Year Monthly*/"))</f>
        <v/>
      </c>
      <c r="M11" s="32" t="str">
        <f>IF(C11="","",_xll.RDP.Data($C11,"TR.PriceTargetMean","Curn=#1",,$D$1))</f>
        <v/>
      </c>
      <c r="N11" s="28"/>
    </row>
    <row r="12" spans="1:31" s="2" customFormat="1">
      <c r="B12" s="19" t="str" cm="1">
        <f t="array" ref="B12">IF($C12="","",_xll.RDP.Data($C12,"DSPLY_NAME"))</f>
        <v/>
      </c>
      <c r="C12" s="33"/>
      <c r="D12" s="29" t="str">
        <f>IF(C12="","",_xll.RDP.Data($C12,"TR.PriceClose","Curn=#1",,$D$1))</f>
        <v/>
      </c>
      <c r="E12" s="30" t="str">
        <f>IF($C12="","",_xll.RDP.Data($C12,"MAX(TR.PriceHigh(SDate=0D,EDate=0D-364C))/*52 Week High*/","Curn=#1",,$D$1))</f>
        <v/>
      </c>
      <c r="F12" s="23" t="str">
        <f>IF(C12="","",_xll.RDP.Data($C12,"TR.CompanySharesOutstanding(SDate=0)/*# Shares Outstanding*/")/1000000)</f>
        <v/>
      </c>
      <c r="G12" s="25" t="str">
        <f t="shared" si="0"/>
        <v/>
      </c>
      <c r="H12" s="25" t="str" cm="1">
        <f t="array" ref="H12">IF($C12="","",_xll.RDP.Data($C12,"TR.TotalDebtOutstanding","Curn=#1",,$D$1)/1000000)</f>
        <v/>
      </c>
      <c r="I12" s="25" t="str">
        <f>IF($C12="","",_xll.RDP.Data($C12,"TR.CashandEquivalents","Curn=#1",,$D$1)/1000000)</f>
        <v/>
      </c>
      <c r="J12" s="25" t="str">
        <f t="shared" si="1"/>
        <v/>
      </c>
      <c r="K12" s="25" t="str" cm="1">
        <f t="array" ref="K12">IF($C12="","",_xll.RDP.Data($C12,"TR.TotalEquity","Curn=#1",,$D$1)/1000000)</f>
        <v/>
      </c>
      <c r="L12" s="31" t="str">
        <f>IF($C12="","",_xll.RDP.Data($C12,"TR.BetaFiveYear/*Beta 5 Year Monthly*//*Beta 5 Year Monthly*/"))</f>
        <v/>
      </c>
      <c r="M12" s="32" t="str">
        <f>IF(C12="","",_xll.RDP.Data($C12,"TR.PriceTargetMean","Curn=#1",,$D$1))</f>
        <v/>
      </c>
      <c r="N12" s="28"/>
    </row>
    <row r="13" spans="1:31" s="3" customFormat="1">
      <c r="A13" s="2"/>
      <c r="B13" s="34" t="e" cm="1">
        <f t="array" aca="1" ref="B13" ca="1">IF($C13="","",_xll.RDP.Data($C13,"DSPLY_NAME"))</f>
        <v>#NAME?</v>
      </c>
      <c r="C13" s="35" t="s">
        <v>484</v>
      </c>
      <c r="D13" s="36" t="e">
        <f ca="1">IF(C13="","",_xll.RDP.Data($C13,"TR.PriceClose","Curn=#1",,$D$1))</f>
        <v>#NAME?</v>
      </c>
      <c r="E13" s="37" t="e">
        <f ca="1">IF($C13="","",_xll.RDP.Data($C13,"MAX(TR.PriceHigh(SDate=0D,EDate=0D-364C))/*52 Week High*/","Curn=#1",,$D$1))</f>
        <v>#NAME?</v>
      </c>
      <c r="F13" s="38" t="e">
        <f ca="1">IF(C13="","",_xll.RDP.Data($C13,"TR.CompanySharesOutstanding(SDate=0)/*# Shares Outstanding*/")/1000000)</f>
        <v>#NAME?</v>
      </c>
      <c r="G13" s="39" t="e">
        <f t="shared" ca="1" si="0"/>
        <v>#NAME?</v>
      </c>
      <c r="H13" s="39" t="e" cm="1">
        <f t="array" aca="1" ref="H13" ca="1">IF($C13="","",_xll.RDP.Data($C13,"TR.TotalDebtOutstanding","Curn=#1",,$D$1)/1000000)</f>
        <v>#NAME?</v>
      </c>
      <c r="I13" s="39" t="e">
        <f ca="1">IF($C13="","",_xll.RDP.Data($C13,"TR.CashandEquivalents","Curn=#1",,$D$1)/1000000)</f>
        <v>#NAME?</v>
      </c>
      <c r="J13" s="39" t="e">
        <f t="shared" ca="1" si="1"/>
        <v>#NAME?</v>
      </c>
      <c r="K13" s="39" t="e" cm="1">
        <f t="array" aca="1" ref="K13" ca="1">IF($C13="","",_xll.RDP.Data($C13,"TR.TotalEquity","Curn=#1",,$D$1)/1000000)</f>
        <v>#NAME?</v>
      </c>
      <c r="L13" s="40" t="e">
        <f ca="1">IF($C13="","",_xll.RDP.Data($C13,"TR.BetaFiveYear/*Beta 5 Year Monthly*//*Beta 5 Year Monthly*/"))</f>
        <v>#NAME?</v>
      </c>
      <c r="M13" s="41" t="e">
        <f ca="1">IF(C13="","",_xll.RDP.Data($C13,"TR.PriceTargetMean","Curn=#1",,$D$1))</f>
        <v>#NAME?</v>
      </c>
      <c r="N13" s="28"/>
      <c r="O13" s="2"/>
      <c r="P13" s="2"/>
      <c r="Q13" s="2"/>
      <c r="R13" s="2"/>
      <c r="S13" s="2"/>
      <c r="T13" s="2"/>
      <c r="U13" s="2"/>
      <c r="V13" s="2"/>
      <c r="W13" s="2"/>
      <c r="X13" s="2"/>
      <c r="Y13" s="2"/>
      <c r="Z13" s="2"/>
      <c r="AA13" s="2"/>
      <c r="AB13" s="2"/>
      <c r="AC13" s="2"/>
      <c r="AD13" s="2"/>
      <c r="AE13" s="2"/>
    </row>
    <row r="14" spans="1:31">
      <c r="A14" s="2"/>
      <c r="D14" s="1" t="s">
        <v>482</v>
      </c>
      <c r="E14" s="1" t="s">
        <v>482</v>
      </c>
      <c r="F14" s="1" t="s">
        <v>482</v>
      </c>
      <c r="G14" s="1" t="s">
        <v>482</v>
      </c>
      <c r="H14" s="1" t="s">
        <v>482</v>
      </c>
      <c r="I14" s="1" t="s">
        <v>482</v>
      </c>
      <c r="J14" s="1" t="s">
        <v>482</v>
      </c>
      <c r="K14" s="1" t="s">
        <v>482</v>
      </c>
      <c r="L14" s="385" t="e">
        <f ca="1">AVERAGE(L6:L10)</f>
        <v>#NAME?</v>
      </c>
      <c r="M14" s="1" t="s">
        <v>482</v>
      </c>
    </row>
    <row r="15" spans="1:31" ht="15.95">
      <c r="A15" s="2"/>
      <c r="B15" s="613" t="s">
        <v>485</v>
      </c>
      <c r="C15" s="614"/>
      <c r="D15" s="613" t="s">
        <v>486</v>
      </c>
      <c r="E15" s="613"/>
      <c r="F15" s="613"/>
      <c r="G15" s="613"/>
      <c r="H15" s="613"/>
      <c r="I15" s="613"/>
      <c r="J15" s="613"/>
      <c r="K15" s="613"/>
      <c r="L15" s="613"/>
      <c r="M15" s="613"/>
      <c r="N15" s="613"/>
      <c r="O15" s="613"/>
      <c r="P15" s="613"/>
      <c r="Q15" s="615"/>
      <c r="R15" s="611"/>
    </row>
    <row r="16" spans="1:31">
      <c r="A16" s="2"/>
      <c r="B16" s="9"/>
      <c r="C16" s="10"/>
      <c r="D16" s="42" t="s">
        <v>487</v>
      </c>
      <c r="E16" s="43"/>
      <c r="F16" s="43"/>
      <c r="G16" s="44"/>
      <c r="H16" s="42" t="s">
        <v>488</v>
      </c>
      <c r="I16" s="43"/>
      <c r="J16" s="43"/>
      <c r="K16" s="44"/>
      <c r="L16" s="43" t="s">
        <v>489</v>
      </c>
      <c r="M16" s="43"/>
      <c r="N16" s="44"/>
      <c r="O16" s="42" t="s">
        <v>490</v>
      </c>
      <c r="P16" s="43"/>
      <c r="Q16" s="44"/>
      <c r="R16" s="14" t="s">
        <v>491</v>
      </c>
    </row>
    <row r="17" spans="1:19">
      <c r="A17" s="2"/>
      <c r="B17" s="15" t="s">
        <v>464</v>
      </c>
      <c r="C17" s="15" t="s">
        <v>465</v>
      </c>
      <c r="D17" s="45" t="s">
        <v>492</v>
      </c>
      <c r="E17" s="46" t="s">
        <v>493</v>
      </c>
      <c r="F17" s="46" t="s">
        <v>494</v>
      </c>
      <c r="G17" s="47" t="s">
        <v>495</v>
      </c>
      <c r="H17" s="45" t="s">
        <v>492</v>
      </c>
      <c r="I17" s="46" t="s">
        <v>493</v>
      </c>
      <c r="J17" s="46" t="s">
        <v>494</v>
      </c>
      <c r="K17" s="47" t="s">
        <v>495</v>
      </c>
      <c r="L17" s="45" t="s">
        <v>492</v>
      </c>
      <c r="M17" s="46" t="s">
        <v>493</v>
      </c>
      <c r="N17" s="47" t="s">
        <v>494</v>
      </c>
      <c r="O17" s="45" t="s">
        <v>492</v>
      </c>
      <c r="P17" s="46" t="s">
        <v>493</v>
      </c>
      <c r="Q17" s="47" t="s">
        <v>494</v>
      </c>
      <c r="R17" s="15" t="s">
        <v>496</v>
      </c>
    </row>
    <row r="18" spans="1:19">
      <c r="A18" s="2"/>
      <c r="B18" s="48" t="e">
        <f t="shared" ref="B18:B25" ca="1" si="2">B6</f>
        <v>#NAME?</v>
      </c>
      <c r="C18" s="49" t="str">
        <f t="shared" ref="C18:C25" si="3">IF(C6="","",C6)</f>
        <v>AMZN.O</v>
      </c>
      <c r="D18" s="50" t="e" cm="1">
        <f t="array" aca="1" ref="D18" ca="1">IF($C18="","",_xll.RDP.Data($C18,"TR.Revenue","Curn=#1",,$D$1)/1000000)</f>
        <v>#NAME?</v>
      </c>
      <c r="E18" s="50" t="e" cm="1">
        <f t="array" aca="1" ref="E18" ca="1">IF($C18="","",_xll.RDP.Data($C18,"TR.RevenueMean","Period=FY1 Frq=D SDate=1D Curn=#1",,$D$1)/1000000)</f>
        <v>#NAME?</v>
      </c>
      <c r="F18" s="50" t="e" cm="1">
        <f t="array" aca="1" ref="F18" ca="1">IF($C18="","",_xll.RDP.Data($C18,"TR.RevenueMean","Period=FY2 Frq=D SDate=1D Curn=#1",,$D$1)/1000000)</f>
        <v>#NAME?</v>
      </c>
      <c r="G18" s="51" t="e" cm="1">
        <f t="array" aca="1" ref="G18" ca="1">IF($C18="","",_xll.RDP.Data($C18,"TR.RevenueMean","Period=FY3 Frq=D SDate=1D Curn=#1",,$D$1)/1000000)</f>
        <v>#NAME?</v>
      </c>
      <c r="H18" s="52" t="e">
        <f ca="1">IF($C18="","",_xll.RDP.Data($C18,"TR.EPSMean","Period=FY0 Frq=D SDate=1D Curn=#1",,$D$1))</f>
        <v>#NAME?</v>
      </c>
      <c r="I18" s="52" t="e">
        <f ca="1">IF($C18="","",_xll.RDP.Data($C18,"TR.EPSMean","Period=FY1 Frq=D SDate=1D Curn=#1",,$D$1))</f>
        <v>#NAME?</v>
      </c>
      <c r="J18" s="52" t="e">
        <f ca="1">IF($C18="","",_xll.RDP.Data($C18,"TR.EPSMean","Period=FY2 Frq=D SDate=1D Curn=#1",,$D$1))</f>
        <v>#NAME?</v>
      </c>
      <c r="K18" s="53" t="e">
        <f ca="1">IF($C18="","",_xll.RDP.Data($C18,"TR.EPSMean","Period=FY3 Frq=D SDate=1D Curn=#1",,$D$1))</f>
        <v>#NAME?</v>
      </c>
      <c r="L18" s="54" t="e" cm="1">
        <f t="array" aca="1" ref="L18" ca="1">IF($C18="","",_xll.RDP.Data($C18,"TR.EBITMean","Period=FY0 Frq=D SDate=1D Curn=#1",,$D$1)/1000000)</f>
        <v>#NAME?</v>
      </c>
      <c r="M18" s="54" t="e" cm="1">
        <f t="array" aca="1" ref="M18" ca="1">IF($C18="","",_xll.RDP.Data($C18,"TR.EBITMean","Period=FY1 Frq=D SDate=1D Curn=#1",,$D$1)/1000000)</f>
        <v>#NAME?</v>
      </c>
      <c r="N18" s="55" t="e" cm="1">
        <f t="array" aca="1" ref="N18" ca="1">IF($C18="","",_xll.RDP.Data($C18,"TR.EBITMean","Period=FY2 Frq=D SDate=1D Curn=#1",,$D$1)/1000000)</f>
        <v>#NAME?</v>
      </c>
      <c r="O18" s="56" t="e" cm="1">
        <f t="array" aca="1" ref="O18" ca="1">IF($C18="","",_xll.RDP.Data($C18,"TR.EBITDAMean","Period=FY0 Frq=D SDate=1D Curn=#1",,$D$1)/1000000)</f>
        <v>#NAME?</v>
      </c>
      <c r="P18" s="54" t="e" cm="1">
        <f t="array" aca="1" ref="P18" ca="1">IF($C18="","",_xll.RDP.Data($C18,"TR.EBITDAMean","Period=FY1 Frq=D SDate=1D Curn=#1",,$D$1)/1000000)</f>
        <v>#NAME?</v>
      </c>
      <c r="Q18" s="55" t="e" cm="1">
        <f t="array" aca="1" ref="Q18" ca="1">IF($C18="","",_xll.RDP.Data($C18,"TR.EBITDAMean","Period=FY2 Frq=D SDate=1D Curn=#1",,$D$1)/1000000)</f>
        <v>#NAME?</v>
      </c>
      <c r="R18" s="57" t="e" cm="1">
        <f t="array" aca="1" ref="R18" ca="1">IF($C18="","",_xll.RDP.Data($C18,"TR.LTGMean",,)/100)</f>
        <v>#NAME?</v>
      </c>
    </row>
    <row r="19" spans="1:19">
      <c r="A19" s="2"/>
      <c r="B19" s="48" t="e">
        <f t="shared" ca="1" si="2"/>
        <v>#NAME?</v>
      </c>
      <c r="C19" s="49" t="str">
        <f t="shared" si="3"/>
        <v>WMT</v>
      </c>
      <c r="D19" s="50" t="e" cm="1">
        <f t="array" aca="1" ref="D19" ca="1">IF($C19="","",_xll.RDP.Data($C19,"TR.Revenue","Curn=#1",,$D$1)/1000000)</f>
        <v>#NAME?</v>
      </c>
      <c r="E19" s="50" t="e" cm="1">
        <f t="array" aca="1" ref="E19" ca="1">IF($C19="","",_xll.RDP.Data($C19,"TR.RevenueMean","Period=FY1 Frq=D SDate=1D Curn=#1",,$D$1)/1000000)</f>
        <v>#NAME?</v>
      </c>
      <c r="F19" s="50" t="e" cm="1">
        <f t="array" aca="1" ref="F19" ca="1">IF($C19="","",_xll.RDP.Data($C19,"TR.RevenueMean","Period=FY2 Frq=D SDate=1D Curn=#1",,$D$1)/1000000)</f>
        <v>#NAME?</v>
      </c>
      <c r="G19" s="58" t="e" cm="1">
        <f t="array" aca="1" ref="G19" ca="1">IF($C19="","",_xll.RDP.Data($C19,"TR.RevenueMean","Period=FY3 Frq=D SDate=1D Curn=#1",,$D$1)/1000000)</f>
        <v>#NAME?</v>
      </c>
      <c r="H19" s="52" t="e">
        <f ca="1">IF($C19="","",_xll.RDP.Data($C19,"TR.EPSMean","Period=FY0 Frq=D SDate=1D Curn=#1",,$D$1))</f>
        <v>#NAME?</v>
      </c>
      <c r="I19" s="52" t="e">
        <f ca="1">IF($C19="","",_xll.RDP.Data($C19,"TR.EPSMean","Period=FY1 Frq=D SDate=1D Curn=#1",,$D$1))</f>
        <v>#NAME?</v>
      </c>
      <c r="J19" s="52" t="e">
        <f ca="1">IF($C19="","",_xll.RDP.Data($C19,"TR.EPSMean","Period=FY2 Frq=D SDate=1D Curn=#1",,$D$1))</f>
        <v>#NAME?</v>
      </c>
      <c r="K19" s="53" t="e">
        <f ca="1">IF($C19="","",_xll.RDP.Data($C19,"TR.EPSMean","Period=FY3 Frq=D SDate=1D Curn=#1",,$D$1))</f>
        <v>#NAME?</v>
      </c>
      <c r="L19" s="54" t="e" cm="1">
        <f t="array" aca="1" ref="L19" ca="1">IF($C19="","",_xll.RDP.Data($C19,"TR.EBITMean","Period=FY0 Frq=D SDate=1D Curn=#1",,$D$1)/1000000)</f>
        <v>#NAME?</v>
      </c>
      <c r="M19" s="54" t="e" cm="1">
        <f t="array" aca="1" ref="M19" ca="1">IF($C19="","",_xll.RDP.Data($C19,"TR.EBITMean","Period=FY1 Frq=D SDate=1D Curn=#1",,$D$1)/1000000)</f>
        <v>#NAME?</v>
      </c>
      <c r="N19" s="55" t="e" cm="1">
        <f t="array" aca="1" ref="N19" ca="1">IF($C19="","",_xll.RDP.Data($C19,"TR.EBITMean","Period=FY2 Frq=D SDate=1D Curn=#1",,$D$1)/1000000)</f>
        <v>#NAME?</v>
      </c>
      <c r="O19" s="56" t="e" cm="1">
        <f t="array" aca="1" ref="O19" ca="1">IF($C19="","",_xll.RDP.Data($C19,"TR.EBITDAMean","Period=FY0 Frq=D SDate=1D Curn=#1",,$D$1)/1000000)</f>
        <v>#NAME?</v>
      </c>
      <c r="P19" s="54" t="e" cm="1">
        <f t="array" aca="1" ref="P19" ca="1">IF($C19="","",_xll.RDP.Data($C19,"TR.EBITDAMean","Period=FY1 Frq=D SDate=1D Curn=#1",,$D$1)/1000000)</f>
        <v>#NAME?</v>
      </c>
      <c r="Q19" s="55" t="e" cm="1">
        <f t="array" aca="1" ref="Q19" ca="1">IF($C19="","",_xll.RDP.Data($C19,"TR.EBITDAMean","Period=FY2 Frq=D SDate=1D Curn=#1",,$D$1)/1000000)</f>
        <v>#NAME?</v>
      </c>
      <c r="R19" s="57" t="e" cm="1">
        <f t="array" aca="1" ref="R19" ca="1">IF($C19="","",_xll.RDP.Data($C19,"TR.LTGMean",,)/100)</f>
        <v>#NAME?</v>
      </c>
    </row>
    <row r="20" spans="1:19">
      <c r="B20" s="48" t="e">
        <f t="shared" ca="1" si="2"/>
        <v>#NAME?</v>
      </c>
      <c r="C20" s="49" t="str">
        <f t="shared" si="3"/>
        <v>COST.OQ</v>
      </c>
      <c r="D20" s="50" t="e" cm="1">
        <f t="array" aca="1" ref="D20" ca="1">IF($C20="","",_xll.RDP.Data($C20,"TR.Revenue","Curn=#1",,$D$1)/1000000)</f>
        <v>#NAME?</v>
      </c>
      <c r="E20" s="50" t="e" cm="1">
        <f t="array" aca="1" ref="E20" ca="1">IF($C20="","",_xll.RDP.Data($C20,"TR.RevenueMean","Period=FY1 Frq=D SDate=1D Curn=#1",,$D$1)/1000000)</f>
        <v>#NAME?</v>
      </c>
      <c r="F20" s="50" t="e" cm="1">
        <f t="array" aca="1" ref="F20" ca="1">IF($C20="","",_xll.RDP.Data($C20,"TR.RevenueMean","Period=FY2 Frq=D SDate=1D Curn=#1",,$D$1)/1000000)</f>
        <v>#NAME?</v>
      </c>
      <c r="G20" s="58" t="e" cm="1">
        <f t="array" aca="1" ref="G20" ca="1">IF($C20="","",_xll.RDP.Data($C20,"TR.RevenueMean","Period=FY3 Frq=D SDate=1D Curn=#1",,$D$1)/1000000)</f>
        <v>#NAME?</v>
      </c>
      <c r="H20" s="52" t="e">
        <f ca="1">IF($C20="","",_xll.RDP.Data($C20,"TR.EPSMean","Period=FY0 Frq=D SDate=1D Curn=#1",,$D$1))</f>
        <v>#NAME?</v>
      </c>
      <c r="I20" s="52" t="e">
        <f ca="1">IF($C20="","",_xll.RDP.Data($C20,"TR.EPSMean","Period=FY1 Frq=D SDate=1D Curn=#1",,$D$1))</f>
        <v>#NAME?</v>
      </c>
      <c r="J20" s="52" t="e">
        <f ca="1">IF($C20="","",_xll.RDP.Data($C20,"TR.EPSMean","Period=FY2 Frq=D SDate=1D Curn=#1",,$D$1))</f>
        <v>#NAME?</v>
      </c>
      <c r="K20" s="53" t="e">
        <f ca="1">IF($C20="","",_xll.RDP.Data($C20,"TR.EPSMean","Period=FY3 Frq=D SDate=1D Curn=#1",,$D$1))</f>
        <v>#NAME?</v>
      </c>
      <c r="L20" s="54" t="e" cm="1">
        <f t="array" aca="1" ref="L20" ca="1">IF($C20="","",_xll.RDP.Data($C20,"TR.EBITMean","Period=FY0 Frq=D SDate=1D Curn=#1",,$D$1)/1000000)</f>
        <v>#NAME?</v>
      </c>
      <c r="M20" s="54" t="e" cm="1">
        <f t="array" aca="1" ref="M20" ca="1">IF($C20="","",_xll.RDP.Data($C20,"TR.EBITMean","Period=FY1 Frq=D SDate=1D Curn=#1",,$D$1)/1000000)</f>
        <v>#NAME?</v>
      </c>
      <c r="N20" s="55" t="e" cm="1">
        <f t="array" aca="1" ref="N20" ca="1">IF($C20="","",_xll.RDP.Data($C20,"TR.EBITMean","Period=FY2 Frq=D SDate=1D Curn=#1",,$D$1)/1000000)</f>
        <v>#NAME?</v>
      </c>
      <c r="O20" s="56" t="e" cm="1">
        <f t="array" aca="1" ref="O20" ca="1">IF($C20="","",_xll.RDP.Data($C20,"TR.EBITDAMean","Period=FY0 Frq=D SDate=1D Curn=#1",,$D$1)/1000000)</f>
        <v>#NAME?</v>
      </c>
      <c r="P20" s="54" t="e" cm="1">
        <f t="array" aca="1" ref="P20" ca="1">IF($C20="","",_xll.RDP.Data($C20,"TR.EBITDAMean","Period=FY1 Frq=D SDate=1D Curn=#1",,$D$1)/1000000)</f>
        <v>#NAME?</v>
      </c>
      <c r="Q20" s="55" t="e" cm="1">
        <f t="array" aca="1" ref="Q20" ca="1">IF($C20="","",_xll.RDP.Data($C20,"TR.EBITDAMean","Period=FY2 Frq=D SDate=1D Curn=#1",,$D$1)/1000000)</f>
        <v>#NAME?</v>
      </c>
      <c r="R20" s="57" t="e" cm="1">
        <f t="array" aca="1" ref="R20" ca="1">IF($C20="","",_xll.RDP.Data($C20,"TR.LTGMean",,)/100)</f>
        <v>#NAME?</v>
      </c>
    </row>
    <row r="21" spans="1:19">
      <c r="B21" s="48" t="e">
        <f t="shared" ca="1" si="2"/>
        <v>#NAME?</v>
      </c>
      <c r="C21" s="49" t="str">
        <f t="shared" si="3"/>
        <v>ACI</v>
      </c>
      <c r="D21" s="50" t="e" cm="1">
        <f t="array" aca="1" ref="D21" ca="1">IF($C21="","",_xll.RDP.Data($C21,"TR.Revenue","Curn=#1",,$D$1)/1000000)</f>
        <v>#NAME?</v>
      </c>
      <c r="E21" s="50" t="e" cm="1">
        <f t="array" aca="1" ref="E21" ca="1">IF($C21="","",_xll.RDP.Data($C21,"TR.RevenueMean","Period=FY1 Frq=D SDate=1D Curn=#1",,$D$1)/1000000)</f>
        <v>#NAME?</v>
      </c>
      <c r="F21" s="50" t="e" cm="1">
        <f t="array" aca="1" ref="F21" ca="1">IF($C21="","",_xll.RDP.Data($C21,"TR.RevenueMean","Period=FY2 Frq=D SDate=1D Curn=#1",,$D$1)/1000000)</f>
        <v>#NAME?</v>
      </c>
      <c r="G21" s="58" t="e" cm="1">
        <f t="array" aca="1" ref="G21" ca="1">IF($C21="","",_xll.RDP.Data($C21,"TR.RevenueMean","Period=FY3 Frq=D SDate=1D Curn=#1",,$D$1)/1000000)</f>
        <v>#NAME?</v>
      </c>
      <c r="H21" s="52" t="e">
        <f ca="1">IF($C21="","",_xll.RDP.Data($C21,"TR.EPSMean","Period=FY0 Frq=D SDate=1D Curn=#1",,$D$1))</f>
        <v>#NAME?</v>
      </c>
      <c r="I21" s="52" t="e">
        <f ca="1">IF($C21="","",_xll.RDP.Data($C21,"TR.EPSMean","Period=FY1 Frq=D SDate=1D Curn=#1",,$D$1))</f>
        <v>#NAME?</v>
      </c>
      <c r="J21" s="52" t="e">
        <f ca="1">IF($C21="","",_xll.RDP.Data($C21,"TR.EPSMean","Period=FY2 Frq=D SDate=1D Curn=#1",,$D$1))</f>
        <v>#NAME?</v>
      </c>
      <c r="K21" s="53" t="e">
        <f ca="1">IF($C21="","",_xll.RDP.Data($C21,"TR.EPSMean","Period=FY3 Frq=D SDate=1D Curn=#1",,$D$1))</f>
        <v>#NAME?</v>
      </c>
      <c r="L21" s="54" t="e" cm="1">
        <f t="array" aca="1" ref="L21" ca="1">IF($C21="","",_xll.RDP.Data($C21,"TR.EBITMean","Period=FY0 Frq=D SDate=1D Curn=#1",,$D$1)/1000000)</f>
        <v>#NAME?</v>
      </c>
      <c r="M21" s="54" t="e" cm="1">
        <f t="array" aca="1" ref="M21" ca="1">IF($C21="","",_xll.RDP.Data($C21,"TR.EBITMean","Period=FY1 Frq=D SDate=1D Curn=#1",,$D$1)/1000000)</f>
        <v>#NAME?</v>
      </c>
      <c r="N21" s="55" t="e" cm="1">
        <f t="array" aca="1" ref="N21" ca="1">IF($C21="","",_xll.RDP.Data($C21,"TR.EBITMean","Period=FY2 Frq=D SDate=1D Curn=#1",,$D$1)/1000000)</f>
        <v>#NAME?</v>
      </c>
      <c r="O21" s="56" t="e" cm="1">
        <f t="array" aca="1" ref="O21" ca="1">IF($C21="","",_xll.RDP.Data($C21,"TR.EBITDAMean","Period=FY0 Frq=D SDate=1D Curn=#1",,$D$1)/1000000)</f>
        <v>#NAME?</v>
      </c>
      <c r="P21" s="54" t="e" cm="1">
        <f t="array" aca="1" ref="P21" ca="1">IF($C21="","",_xll.RDP.Data($C21,"TR.EBITDAMean","Period=FY1 Frq=D SDate=1D Curn=#1",,$D$1)/1000000)</f>
        <v>#NAME?</v>
      </c>
      <c r="Q21" s="55" t="e" cm="1">
        <f t="array" aca="1" ref="Q21" ca="1">IF($C21="","",_xll.RDP.Data($C21,"TR.EBITDAMean","Period=FY2 Frq=D SDate=1D Curn=#1",,$D$1)/1000000)</f>
        <v>#NAME?</v>
      </c>
      <c r="R21" s="57" t="e" cm="1">
        <f t="array" aca="1" ref="R21" ca="1">IF($C21="","",_xll.RDP.Data($C21,"TR.LTGMean",,)/100)</f>
        <v>#NAME?</v>
      </c>
    </row>
    <row r="22" spans="1:19">
      <c r="B22" s="48" t="e">
        <f t="shared" ca="1" si="2"/>
        <v>#NAME?</v>
      </c>
      <c r="C22" s="49" t="str">
        <f t="shared" si="3"/>
        <v>KR</v>
      </c>
      <c r="D22" s="59" t="e" cm="1">
        <f t="array" aca="1" ref="D22" ca="1">IF($C22="","",_xll.RDP.Data($C22,"TR.Revenue","Curn=#1",,$D$1)/1000000)</f>
        <v>#NAME?</v>
      </c>
      <c r="E22" s="50" t="e" cm="1">
        <f t="array" aca="1" ref="E22" ca="1">IF($C22="","",_xll.RDP.Data($C22,"TR.RevenueMean","Period=FY1 Frq=D SDate=1D Curn=#1",,$D$1)/1000000)</f>
        <v>#NAME?</v>
      </c>
      <c r="F22" s="50" t="e" cm="1">
        <f t="array" aca="1" ref="F22" ca="1">IF($C22="","",_xll.RDP.Data($C22,"TR.RevenueMean","Period=FY2 Frq=D SDate=1D Curn=#1",,$D$1)/1000000)</f>
        <v>#NAME?</v>
      </c>
      <c r="G22" s="58" t="e" cm="1">
        <f t="array" aca="1" ref="G22" ca="1">IF($C22="","",_xll.RDP.Data($C22,"TR.RevenueMean","Period=FY3 Frq=D SDate=1D Curn=#1",,$D$1)/1000000)</f>
        <v>#NAME?</v>
      </c>
      <c r="H22" s="60" t="e">
        <f ca="1">IF($C22="","",_xll.RDP.Data($C22,"TR.EPSMean","Period=FY0 Frq=D SDate=1D Curn=#1",,$D$1))</f>
        <v>#NAME?</v>
      </c>
      <c r="I22" s="52" t="e">
        <f ca="1">IF($C22="","",_xll.RDP.Data($C22,"TR.EPSMean","Period=FY1 Frq=D SDate=1D Curn=#1",,$D$1))</f>
        <v>#NAME?</v>
      </c>
      <c r="J22" s="52" t="e">
        <f ca="1">IF($C22="","",_xll.RDP.Data($C22,"TR.EPSMean","Period=FY2 Frq=D SDate=1D Curn=#1",,$D$1))</f>
        <v>#NAME?</v>
      </c>
      <c r="K22" s="53" t="e">
        <f ca="1">IF($C22="","",_xll.RDP.Data($C22,"TR.EPSMean","Period=FY3 Frq=D SDate=1D Curn=#1",,$D$1))</f>
        <v>#NAME?</v>
      </c>
      <c r="L22" s="54" t="e" cm="1">
        <f t="array" aca="1" ref="L22" ca="1">IF($C22="","",_xll.RDP.Data($C22,"TR.EBITMean","Period=FY0 Frq=D SDate=1D Curn=#1",,$D$1)/1000000)</f>
        <v>#NAME?</v>
      </c>
      <c r="M22" s="54" t="e" cm="1">
        <f t="array" aca="1" ref="M22" ca="1">IF($C22="","",_xll.RDP.Data($C22,"TR.EBITMean","Period=FY1 Frq=D SDate=1D Curn=#1",,$D$1)/1000000)</f>
        <v>#NAME?</v>
      </c>
      <c r="N22" s="55" t="e" cm="1">
        <f t="array" aca="1" ref="N22" ca="1">IF($C22="","",_xll.RDP.Data($C22,"TR.EBITMean","Period=FY2 Frq=D SDate=1D Curn=#1",,$D$1)/1000000)</f>
        <v>#NAME?</v>
      </c>
      <c r="O22" s="59" t="e" cm="1">
        <f t="array" aca="1" ref="O22" ca="1">IF($C22="","",_xll.RDP.Data($C22,"TR.EBITDAMean","Period=FY0 Frq=D SDate=1D Curn=#1",,$D$1)/1000000)</f>
        <v>#NAME?</v>
      </c>
      <c r="P22" s="50" t="e" cm="1">
        <f t="array" aca="1" ref="P22" ca="1">IF($C22="","",_xll.RDP.Data($C22,"TR.EBITDAMean","Period=FY1 Frq=D SDate=1D Curn=#1",,$D$1)/1000000)</f>
        <v>#NAME?</v>
      </c>
      <c r="Q22" s="58" t="e" cm="1">
        <f t="array" aca="1" ref="Q22" ca="1">IF($C22="","",_xll.RDP.Data($C22,"TR.EBITDAMean","Period=FY2 Frq=D SDate=1D Curn=#1",,$D$1)/1000000)</f>
        <v>#NAME?</v>
      </c>
      <c r="R22" s="57" t="e" cm="1">
        <f t="array" aca="1" ref="R22" ca="1">IF($C22="","",_xll.RDP.Data($C22,"TR.LTGMean",,)/100)</f>
        <v>#NAME?</v>
      </c>
    </row>
    <row r="23" spans="1:19">
      <c r="B23" s="48" t="str">
        <f t="shared" si="2"/>
        <v/>
      </c>
      <c r="C23" s="49" t="str">
        <f t="shared" si="3"/>
        <v/>
      </c>
      <c r="D23" s="59" t="str" cm="1">
        <f t="array" ref="D23">IF($C23="","",_xll.RDP.Data($C23,"TR.Revenue","Curn=#1",,$D$1)/1000000)</f>
        <v/>
      </c>
      <c r="E23" s="50" t="str" cm="1">
        <f t="array" ref="E23">IF($C23="","",_xll.RDP.Data($C23,"TR.RevenueMean","Period=FY1 Frq=D SDate=1D Curn=#1",,$D$1)/1000000)</f>
        <v/>
      </c>
      <c r="F23" s="50" t="str" cm="1">
        <f t="array" ref="F23">IF($C23="","",_xll.RDP.Data($C23,"TR.RevenueMean","Period=FY2 Frq=D SDate=1D Curn=#1",,$D$1)/1000000)</f>
        <v/>
      </c>
      <c r="G23" s="58" t="str" cm="1">
        <f t="array" ref="G23">IF($C23="","",_xll.RDP.Data($C23,"TR.RevenueMean","Period=FY3 Frq=D SDate=1D Curn=#1",,$D$1)/1000000)</f>
        <v/>
      </c>
      <c r="H23" s="60" t="str">
        <f>IF($C23="","",_xll.RDP.Data($C23,"TR.EPSMean","Period=FY0 Frq=D SDate=1D Curn=#1",,$D$1))</f>
        <v/>
      </c>
      <c r="I23" s="52" t="str">
        <f>IF($C23="","",_xll.RDP.Data($C23,"TR.EPSMean","Period=FY1 Frq=D SDate=1D Curn=#1",,$D$1))</f>
        <v/>
      </c>
      <c r="J23" s="52" t="str">
        <f>IF($C23="","",_xll.RDP.Data($C23,"TR.EPSMean","Period=FY2 Frq=D SDate=1D Curn=#1",,$D$1))</f>
        <v/>
      </c>
      <c r="K23" s="53" t="str">
        <f>IF($C23="","",_xll.RDP.Data($C23,"TR.EPSMean","Period=FY3 Frq=D SDate=1D Curn=#1",,$D$1))</f>
        <v/>
      </c>
      <c r="L23" s="50" t="str" cm="1">
        <f t="array" ref="L23">IF($C23="","",_xll.RDP.Data($C23,"TR.EBITMean","Period=FY0 Frq=D SDate=1D Curn=#1",,$D$1)/1000000)</f>
        <v/>
      </c>
      <c r="M23" s="54" t="str" cm="1">
        <f t="array" ref="M23">IF($C23="","",_xll.RDP.Data($C23,"TR.EBITMean","Period=FY1 Frq=D SDate=1D Curn=#1",,$D$1)/1000000)</f>
        <v/>
      </c>
      <c r="N23" s="55" t="str" cm="1">
        <f t="array" ref="N23">IF($C23="","",_xll.RDP.Data($C23,"TR.EBITMean","Period=FY2 Frq=D SDate=1D Curn=#1",,$D$1)/1000000)</f>
        <v/>
      </c>
      <c r="O23" s="59" t="str" cm="1">
        <f t="array" ref="O23">IF($C23="","",_xll.RDP.Data($C23,"TR.EBITDAMean","Period=FY0 Frq=D SDate=1D Curn=#1",,$D$1)/1000000)</f>
        <v/>
      </c>
      <c r="P23" s="50" t="str" cm="1">
        <f t="array" ref="P23">IF($C23="","",_xll.RDP.Data($C23,"TR.EBITDAMean","Period=FY1 Frq=D SDate=1D Curn=#1",,$D$1)/1000000)</f>
        <v/>
      </c>
      <c r="Q23" s="58" t="str" cm="1">
        <f t="array" ref="Q23">IF($C23="","",_xll.RDP.Data($C23,"TR.EBITDAMean","Period=FY2 Frq=D SDate=1D Curn=#1",,$D$1)/1000000)</f>
        <v/>
      </c>
      <c r="R23" s="57" t="str" cm="1">
        <f t="array" ref="R23">IF($C23="","",_xll.RDP.Data($C23,"TR.LTGMean",,)/100)</f>
        <v/>
      </c>
      <c r="S23" s="61"/>
    </row>
    <row r="24" spans="1:19">
      <c r="B24" s="48" t="str">
        <f t="shared" si="2"/>
        <v/>
      </c>
      <c r="C24" s="49" t="str">
        <f t="shared" si="3"/>
        <v/>
      </c>
      <c r="D24" s="59" t="str" cm="1">
        <f t="array" ref="D24">IF($C24="","",_xll.RDP.Data($C24,"TR.Revenue","Curn=#1",,$D$1)/1000000)</f>
        <v/>
      </c>
      <c r="E24" s="50" t="str" cm="1">
        <f t="array" ref="E24">IF($C24="","",_xll.RDP.Data($C24,"TR.RevenueMean","Period=FY1 Frq=D SDate=1D Curn=#1",,$D$1)/1000000)</f>
        <v/>
      </c>
      <c r="F24" s="50" t="str" cm="1">
        <f t="array" ref="F24">IF($C24="","",_xll.RDP.Data($C24,"TR.RevenueMean","Period=FY2 Frq=D SDate=1D Curn=#1",,$D$1)/1000000)</f>
        <v/>
      </c>
      <c r="G24" s="58" t="str" cm="1">
        <f t="array" ref="G24">IF($C24="","",_xll.RDP.Data($C24,"TR.RevenueMean","Period=FY3 Frq=D SDate=1D Curn=#1",,$D$1)/1000000)</f>
        <v/>
      </c>
      <c r="H24" s="60" t="str">
        <f>IF($C24="","",_xll.RDP.Data($C24,"TR.EPSMean","Period=FY0 Frq=D SDate=1D Curn=#1",,$D$1))</f>
        <v/>
      </c>
      <c r="I24" s="52" t="str">
        <f>IF($C24="","",_xll.RDP.Data($C24,"TR.EPSMean","Period=FY1 Frq=D SDate=1D Curn=#1",,$D$1))</f>
        <v/>
      </c>
      <c r="J24" s="52" t="str">
        <f>IF($C24="","",_xll.RDP.Data($C24,"TR.EPSMean","Period=FY2 Frq=D SDate=1D Curn=#1",,$D$1))</f>
        <v/>
      </c>
      <c r="K24" s="53" t="str">
        <f>IF($C24="","",_xll.RDP.Data($C24,"TR.EPSMean","Period=FY3 Frq=D SDate=1D Curn=#1",,$D$1))</f>
        <v/>
      </c>
      <c r="L24" s="50" t="str" cm="1">
        <f t="array" ref="L24">IF($C24="","",_xll.RDP.Data($C24,"TR.EBITMean","Period=FY0 Frq=D SDate=1D Curn=#1",,$D$1)/1000000)</f>
        <v/>
      </c>
      <c r="M24" s="50" t="str" cm="1">
        <f t="array" ref="M24">IF($C24="","",_xll.RDP.Data($C24,"TR.EBITMean","Period=FY1 Frq=D SDate=1D Curn=#1",,$D$1)/1000000)</f>
        <v/>
      </c>
      <c r="N24" s="58" t="str" cm="1">
        <f t="array" ref="N24">IF($C24="","",_xll.RDP.Data($C24,"TR.EBITMean","Period=FY2 Frq=D SDate=1D Curn=#1",,$D$1)/1000000)</f>
        <v/>
      </c>
      <c r="O24" s="59" t="str" cm="1">
        <f t="array" ref="O24">IF($C24="","",_xll.RDP.Data($C24,"TR.EBITDAMean","Period=FY0 Frq=D SDate=1D Curn=#1",,$D$1)/1000000)</f>
        <v/>
      </c>
      <c r="P24" s="50" t="str" cm="1">
        <f t="array" ref="P24">IF($C24="","",_xll.RDP.Data($C24,"TR.EBITDAMean","Period=FY1 Frq=D SDate=1D Curn=#1",,$D$1)/1000000)</f>
        <v/>
      </c>
      <c r="Q24" s="58" t="str" cm="1">
        <f t="array" ref="Q24">IF($C24="","",_xll.RDP.Data($C24,"TR.EBITDAMean","Period=FY2 Frq=D SDate=1D Curn=#1",,$D$1)/1000000)</f>
        <v/>
      </c>
      <c r="R24" s="57" t="str" cm="1">
        <f t="array" ref="R24">IF($C24="","",_xll.RDP.Data($C24,"TR.LTGMean",,)/100)</f>
        <v/>
      </c>
    </row>
    <row r="25" spans="1:19">
      <c r="B25" s="62" t="e">
        <f t="shared" ca="1" si="2"/>
        <v>#NAME?</v>
      </c>
      <c r="C25" s="63" t="str">
        <f t="shared" si="3"/>
        <v>SFM.OQ</v>
      </c>
      <c r="D25" s="63" t="e" cm="1">
        <f t="array" aca="1" ref="D25" ca="1">IF($C25="","",_xll.RDP.Data($C25,"TR.Revenue","Curn=#1",,$D$1)/1000000)</f>
        <v>#NAME?</v>
      </c>
      <c r="E25" s="64" t="e" cm="1">
        <f t="array" aca="1" ref="E25" ca="1">IF($C25="","",_xll.RDP.Data($C25,"TR.RevenueMean","Period=FY1 Frq=D SDate=1D Curn=#1",,$D$1)/1000000)</f>
        <v>#NAME?</v>
      </c>
      <c r="F25" s="64" t="e" cm="1">
        <f t="array" aca="1" ref="F25" ca="1">IF($C25="","",_xll.RDP.Data($C25,"TR.RevenueMean","Period=FY2 Frq=D SDate=1D Curn=#1",,$D$1)/1000000)</f>
        <v>#NAME?</v>
      </c>
      <c r="G25" s="65" t="e" cm="1">
        <f t="array" aca="1" ref="G25" ca="1">IF($C25="","",_xll.RDP.Data($C25,"TR.RevenueMean","Period=FY3 Frq=D SDate=1D Curn=#1",,$D$1)/1000000)</f>
        <v>#NAME?</v>
      </c>
      <c r="H25" s="66" t="e">
        <f ca="1">IF($C25="","",_xll.RDP.Data($C25,"TR.EPSMean","Period=FY0 Frq=D SDate=1D Curn=#1",,$D$1))</f>
        <v>#NAME?</v>
      </c>
      <c r="I25" s="67" t="e">
        <f ca="1">IF($C25="","",_xll.RDP.Data($C25,"TR.EPSMean","Period=FY1 Frq=D SDate=1D Curn=#1",,$D$1))</f>
        <v>#NAME?</v>
      </c>
      <c r="J25" s="67" t="e">
        <f ca="1">IF($C25="","",_xll.RDP.Data($C25,"TR.EPSMean","Period=FY2 Frq=D SDate=1D Curn=#1",,$D$1))</f>
        <v>#NAME?</v>
      </c>
      <c r="K25" s="68" t="e">
        <f ca="1">IF($C25="","",_xll.RDP.Data($C25,"TR.EPSMean","Period=FY3 Frq=D SDate=1D Curn=#1",,$D$1))</f>
        <v>#NAME?</v>
      </c>
      <c r="L25" s="64" t="e" cm="1">
        <f t="array" aca="1" ref="L25" ca="1">IF($C25="","",_xll.RDP.Data($C25,"TR.EBITMean","Period=FY0 Frq=D SDate=1D Curn=#1",,$D$1)/1000000)</f>
        <v>#NAME?</v>
      </c>
      <c r="M25" s="64" t="e" cm="1">
        <f t="array" aca="1" ref="M25" ca="1">IF($C25="","",_xll.RDP.Data($C25,"TR.EBITMean","Period=FY1 Frq=D SDate=1D Curn=#1",,$D$1)/1000000)</f>
        <v>#NAME?</v>
      </c>
      <c r="N25" s="65" t="e" cm="1">
        <f t="array" aca="1" ref="N25" ca="1">IF($C25="","",_xll.RDP.Data($C25,"TR.EBITMean","Period=FY2 Frq=D SDate=1D Curn=#1",,$D$1)/1000000)</f>
        <v>#NAME?</v>
      </c>
      <c r="O25" s="63" t="e" cm="1">
        <f t="array" aca="1" ref="O25" ca="1">IF($C25="","",_xll.RDP.Data($C25,"TR.EBITDAMean","Period=FY0 Frq=D SDate=1D Curn=#1",,$D$1)/1000000)</f>
        <v>#NAME?</v>
      </c>
      <c r="P25" s="64" t="e" cm="1">
        <f t="array" aca="1" ref="P25" ca="1">IF($C25="","",_xll.RDP.Data($C25,"TR.EBITDAMean","Period=FY1 Frq=D SDate=1D Curn=#1",,$D$1)/1000000)</f>
        <v>#NAME?</v>
      </c>
      <c r="Q25" s="65" t="e" cm="1">
        <f t="array" aca="1" ref="Q25" ca="1">IF($C25="","",_xll.RDP.Data($C25,"TR.EBITDAMean","Period=FY2 Frq=D SDate=1D Curn=#1",,$D$1)/1000000)</f>
        <v>#NAME?</v>
      </c>
      <c r="R25" s="69" t="e" cm="1">
        <f t="array" aca="1" ref="R25" ca="1">IF($C25="","",_xll.RDP.Data($C25,"TR.LTGMean",,)/100)</f>
        <v>#NAME?</v>
      </c>
    </row>
    <row r="27" spans="1:19" ht="15.95">
      <c r="B27" s="613" t="s">
        <v>497</v>
      </c>
      <c r="C27" s="614"/>
      <c r="D27" s="613"/>
      <c r="E27" s="613"/>
      <c r="F27" s="613"/>
      <c r="G27" s="613"/>
      <c r="H27" s="613"/>
      <c r="I27" s="613"/>
      <c r="J27" s="613"/>
      <c r="K27" s="613"/>
      <c r="L27" s="613"/>
      <c r="M27" s="613"/>
      <c r="N27" s="613"/>
      <c r="O27" s="613"/>
      <c r="P27" s="613"/>
      <c r="Q27" s="615"/>
      <c r="R27" s="611"/>
    </row>
    <row r="28" spans="1:19">
      <c r="B28" s="9"/>
      <c r="C28" s="14"/>
      <c r="D28" s="14" t="s">
        <v>457</v>
      </c>
      <c r="E28" s="14" t="s">
        <v>498</v>
      </c>
      <c r="F28" s="42" t="s">
        <v>499</v>
      </c>
      <c r="G28" s="70"/>
      <c r="H28" s="71"/>
      <c r="I28" s="42" t="s">
        <v>500</v>
      </c>
      <c r="J28" s="70"/>
      <c r="K28" s="71"/>
      <c r="L28" s="42" t="s">
        <v>501</v>
      </c>
      <c r="M28" s="70"/>
      <c r="N28" s="71"/>
      <c r="O28" s="42" t="s">
        <v>502</v>
      </c>
      <c r="P28" s="70"/>
      <c r="Q28" s="71"/>
    </row>
    <row r="29" spans="1:19">
      <c r="B29" s="15" t="s">
        <v>464</v>
      </c>
      <c r="C29" s="15" t="s">
        <v>465</v>
      </c>
      <c r="D29" s="15" t="s">
        <v>285</v>
      </c>
      <c r="E29" s="15" t="s">
        <v>462</v>
      </c>
      <c r="F29" s="45" t="s">
        <v>493</v>
      </c>
      <c r="G29" s="46" t="s">
        <v>494</v>
      </c>
      <c r="H29" s="47" t="s">
        <v>495</v>
      </c>
      <c r="I29" s="45" t="s">
        <v>493</v>
      </c>
      <c r="J29" s="46" t="s">
        <v>494</v>
      </c>
      <c r="K29" s="47" t="s">
        <v>495</v>
      </c>
      <c r="L29" s="45" t="s">
        <v>493</v>
      </c>
      <c r="M29" s="46" t="s">
        <v>494</v>
      </c>
      <c r="N29" s="47" t="s">
        <v>495</v>
      </c>
      <c r="O29" s="45" t="s">
        <v>492</v>
      </c>
      <c r="P29" s="46" t="s">
        <v>493</v>
      </c>
      <c r="Q29" s="47" t="s">
        <v>494</v>
      </c>
    </row>
    <row r="30" spans="1:19">
      <c r="B30" s="48" t="e">
        <f t="shared" ref="B30:B37" ca="1" si="4">B6</f>
        <v>#NAME?</v>
      </c>
      <c r="C30" s="72" t="str">
        <f t="shared" ref="C30:D37" si="5">IF(C6="","",C6)</f>
        <v>AMZN.O</v>
      </c>
      <c r="D30" s="73" t="e">
        <f t="shared" ca="1" si="5"/>
        <v>#NAME?</v>
      </c>
      <c r="E30" s="74" t="str">
        <f t="shared" ref="E30:E37" ca="1" si="6">IF(OR(C30="",ISNUMBER(G6)=FALSE,ISNUMBER(K6)=FALSE),"",G6/K6)</f>
        <v/>
      </c>
      <c r="F30" s="74" t="str">
        <f t="shared" ref="F30:F32" ca="1" si="7">IF(OR($C30="",ISNUMBER($G6)=FALSE,ISNUMBER(E18)=FALSE),"",$G6/E18)</f>
        <v/>
      </c>
      <c r="G30" s="75" t="str">
        <f t="shared" ref="G30:G35" ca="1" si="8">IF(OR($C30="",ISNUMBER($G6)=FALSE,ISNUMBER(F18)=FALSE),"",$G6/F18)</f>
        <v/>
      </c>
      <c r="H30" s="76" t="str">
        <f t="shared" ref="H30:H32" ca="1" si="9">IF(OR($C30="",ISNUMBER($G6)=FALSE,ISNUMBER(G18)=FALSE),"",$G6/G18)</f>
        <v/>
      </c>
      <c r="I30" s="77" t="e">
        <f t="shared" ref="I30:K37" ca="1" si="10">IF(OR($C30="",ISNA(I18)=TRUE),"",$D6/I18)</f>
        <v>#NAME?</v>
      </c>
      <c r="J30" s="78" t="e">
        <f t="shared" ca="1" si="10"/>
        <v>#NAME?</v>
      </c>
      <c r="K30" s="79" t="e">
        <f t="shared" ca="1" si="10"/>
        <v>#NAME?</v>
      </c>
      <c r="L30" s="77" t="e">
        <f t="shared" ref="L30" ca="1" si="11">IF(OR($C30="",I30="",ISNA($R18)=TRUE),"",I30/$R18/100)</f>
        <v>#NAME?</v>
      </c>
      <c r="M30" s="78" t="e">
        <f t="shared" ref="M30" ca="1" si="12">IF(OR($C30="",J30="",ISNA($R18)=TRUE),"",J30/$R18/100)</f>
        <v>#NAME?</v>
      </c>
      <c r="N30" s="79" t="e">
        <f t="shared" ref="N30" ca="1" si="13">IF(OR($C30="",K30="",ISNA($R18)=TRUE),"",K30/$R18/100)</f>
        <v>#NAME?</v>
      </c>
      <c r="O30" s="78" t="e">
        <f t="shared" ref="O30:Q37" ca="1" si="14">IF(OR($C30="",ISNA($J6)=TRUE,ISNA(O18)=TRUE),"",$J6/O18)</f>
        <v>#NAME?</v>
      </c>
      <c r="P30" s="78" t="e">
        <f t="shared" ca="1" si="14"/>
        <v>#NAME?</v>
      </c>
      <c r="Q30" s="79" t="e">
        <f t="shared" ca="1" si="14"/>
        <v>#NAME?</v>
      </c>
    </row>
    <row r="31" spans="1:19">
      <c r="B31" s="48" t="e">
        <f t="shared" ca="1" si="4"/>
        <v>#NAME?</v>
      </c>
      <c r="C31" s="72" t="str">
        <f t="shared" si="5"/>
        <v>WMT</v>
      </c>
      <c r="D31" s="73" t="e">
        <f t="shared" ca="1" si="5"/>
        <v>#NAME?</v>
      </c>
      <c r="E31" s="74" t="str">
        <f t="shared" ca="1" si="6"/>
        <v/>
      </c>
      <c r="F31" s="74" t="str">
        <f t="shared" ca="1" si="7"/>
        <v/>
      </c>
      <c r="G31" s="75" t="str">
        <f t="shared" ca="1" si="8"/>
        <v/>
      </c>
      <c r="H31" s="76" t="str">
        <f t="shared" ca="1" si="9"/>
        <v/>
      </c>
      <c r="I31" s="77" t="e">
        <f t="shared" ca="1" si="10"/>
        <v>#NAME?</v>
      </c>
      <c r="J31" s="78" t="e">
        <f ca="1">IF(OR($C31="",ISNA(J19)=TRUE),"",$D7/J19)</f>
        <v>#NAME?</v>
      </c>
      <c r="K31" s="79" t="e">
        <f t="shared" ca="1" si="10"/>
        <v>#NAME?</v>
      </c>
      <c r="L31" s="77" t="e">
        <f t="shared" ref="L31:N31" ca="1" si="15">IF(OR($C31="",I31="",ISNA($R19)=TRUE),"",I31/$R19/100)</f>
        <v>#NAME?</v>
      </c>
      <c r="M31" s="78" t="e">
        <f t="shared" ca="1" si="15"/>
        <v>#NAME?</v>
      </c>
      <c r="N31" s="79" t="e">
        <f t="shared" ca="1" si="15"/>
        <v>#NAME?</v>
      </c>
      <c r="O31" s="78" t="e">
        <f t="shared" ca="1" si="14"/>
        <v>#NAME?</v>
      </c>
      <c r="P31" s="78" t="e">
        <f t="shared" ca="1" si="14"/>
        <v>#NAME?</v>
      </c>
      <c r="Q31" s="79" t="e">
        <f t="shared" ca="1" si="14"/>
        <v>#NAME?</v>
      </c>
    </row>
    <row r="32" spans="1:19">
      <c r="B32" s="48" t="e">
        <f t="shared" ca="1" si="4"/>
        <v>#NAME?</v>
      </c>
      <c r="C32" s="72" t="str">
        <f t="shared" si="5"/>
        <v>COST.OQ</v>
      </c>
      <c r="D32" s="73" t="e">
        <f t="shared" ca="1" si="5"/>
        <v>#NAME?</v>
      </c>
      <c r="E32" s="74" t="str">
        <f t="shared" ca="1" si="6"/>
        <v/>
      </c>
      <c r="F32" s="74" t="str">
        <f t="shared" ca="1" si="7"/>
        <v/>
      </c>
      <c r="G32" s="75" t="str">
        <f t="shared" ca="1" si="8"/>
        <v/>
      </c>
      <c r="H32" s="76" t="str">
        <f t="shared" ca="1" si="9"/>
        <v/>
      </c>
      <c r="I32" s="77" t="e">
        <f t="shared" ca="1" si="10"/>
        <v>#NAME?</v>
      </c>
      <c r="J32" s="78" t="e">
        <f t="shared" ca="1" si="10"/>
        <v>#NAME?</v>
      </c>
      <c r="K32" s="79" t="e">
        <f t="shared" ca="1" si="10"/>
        <v>#NAME?</v>
      </c>
      <c r="L32" s="77" t="e">
        <f t="shared" ref="L32" ca="1" si="16">IF(OR($C32="",I32="",ISNA($R20)=TRUE),"",I32/$R20/100)</f>
        <v>#NAME?</v>
      </c>
      <c r="M32" s="78" t="e">
        <f t="shared" ref="M32" ca="1" si="17">IF(OR($C32="",J32="",ISNA($R20)=TRUE),"",J32/$R20/100)</f>
        <v>#NAME?</v>
      </c>
      <c r="N32" s="79" t="e">
        <f t="shared" ref="N32" ca="1" si="18">IF(OR($C32="",K32="",ISNA($R20)=TRUE),"",K32/$R20/100)</f>
        <v>#NAME?</v>
      </c>
      <c r="O32" s="78" t="e">
        <f t="shared" ca="1" si="14"/>
        <v>#NAME?</v>
      </c>
      <c r="P32" s="78" t="e">
        <f t="shared" ca="1" si="14"/>
        <v>#NAME?</v>
      </c>
      <c r="Q32" s="79" t="e">
        <f t="shared" ca="1" si="14"/>
        <v>#NAME?</v>
      </c>
    </row>
    <row r="33" spans="2:18">
      <c r="B33" s="48" t="e">
        <f t="shared" ca="1" si="4"/>
        <v>#NAME?</v>
      </c>
      <c r="C33" s="72" t="str">
        <f t="shared" si="5"/>
        <v>ACI</v>
      </c>
      <c r="D33" s="73" t="e">
        <f t="shared" ca="1" si="5"/>
        <v>#NAME?</v>
      </c>
      <c r="E33" s="74" t="str">
        <f t="shared" ca="1" si="6"/>
        <v/>
      </c>
      <c r="F33" s="74" t="str">
        <f t="shared" ref="F33:H37" ca="1" si="19">IF(OR($C33="",ISNUMBER($G9)=FALSE,ISNUMBER(E21)=FALSE),"",$G9/E21)</f>
        <v/>
      </c>
      <c r="G33" s="75" t="str">
        <f t="shared" ca="1" si="8"/>
        <v/>
      </c>
      <c r="H33" s="76" t="str">
        <f t="shared" ca="1" si="19"/>
        <v/>
      </c>
      <c r="I33" s="77" t="e">
        <f t="shared" ca="1" si="10"/>
        <v>#NAME?</v>
      </c>
      <c r="J33" s="78" t="e">
        <f t="shared" ca="1" si="10"/>
        <v>#NAME?</v>
      </c>
      <c r="K33" s="79" t="e">
        <f t="shared" ca="1" si="10"/>
        <v>#NAME?</v>
      </c>
      <c r="L33" s="77"/>
      <c r="M33" s="78"/>
      <c r="N33" s="79"/>
      <c r="O33" s="78" t="e">
        <f t="shared" ca="1" si="14"/>
        <v>#NAME?</v>
      </c>
      <c r="P33" s="78" t="e">
        <f t="shared" ca="1" si="14"/>
        <v>#NAME?</v>
      </c>
      <c r="Q33" s="79" t="e">
        <f t="shared" ca="1" si="14"/>
        <v>#NAME?</v>
      </c>
    </row>
    <row r="34" spans="2:18">
      <c r="B34" s="48" t="e">
        <f t="shared" ca="1" si="4"/>
        <v>#NAME?</v>
      </c>
      <c r="C34" s="72" t="str">
        <f t="shared" si="5"/>
        <v>KR</v>
      </c>
      <c r="D34" s="73" t="e">
        <f t="shared" ca="1" si="5"/>
        <v>#NAME?</v>
      </c>
      <c r="E34" s="74" t="str">
        <f t="shared" ref="E34" ca="1" si="20">IF(OR(C34="",ISNUMBER(G10)=FALSE,ISNUMBER(K10)=FALSE),"",G10/K10)</f>
        <v/>
      </c>
      <c r="F34" s="74" t="str">
        <f ca="1">IF(OR($C34="",ISNUMBER($G10)=FALSE,ISNUMBER(E22)=FALSE),"",$G10/E22)</f>
        <v/>
      </c>
      <c r="G34" s="75" t="str">
        <f t="shared" ca="1" si="8"/>
        <v/>
      </c>
      <c r="H34" s="76" t="str">
        <f t="shared" ref="H34" ca="1" si="21">IF(OR($C34="",ISNUMBER($G10)=FALSE,ISNUMBER(G22)=FALSE),"",$G10/G22)</f>
        <v/>
      </c>
      <c r="I34" s="77" t="e">
        <f t="shared" ca="1" si="10"/>
        <v>#NAME?</v>
      </c>
      <c r="J34" s="78" t="e">
        <f t="shared" ca="1" si="10"/>
        <v>#NAME?</v>
      </c>
      <c r="K34" s="79" t="e">
        <f t="shared" ca="1" si="10"/>
        <v>#NAME?</v>
      </c>
      <c r="L34" s="77" t="e">
        <f t="shared" ref="L34:N34" ca="1" si="22">IF(OR($C34="",I34="",ISNA($R22)=TRUE),"",I34/$R22/100)</f>
        <v>#NAME?</v>
      </c>
      <c r="M34" s="78" t="e">
        <f t="shared" ca="1" si="22"/>
        <v>#NAME?</v>
      </c>
      <c r="N34" s="79" t="e">
        <f t="shared" ca="1" si="22"/>
        <v>#NAME?</v>
      </c>
      <c r="O34" s="78" t="e">
        <f t="shared" ca="1" si="14"/>
        <v>#NAME?</v>
      </c>
      <c r="P34" s="78" t="e">
        <f t="shared" ca="1" si="14"/>
        <v>#NAME?</v>
      </c>
      <c r="Q34" s="79" t="e">
        <f t="shared" ca="1" si="14"/>
        <v>#NAME?</v>
      </c>
    </row>
    <row r="35" spans="2:18">
      <c r="B35" s="48" t="str">
        <f t="shared" si="4"/>
        <v/>
      </c>
      <c r="C35" s="72" t="str">
        <f t="shared" si="5"/>
        <v/>
      </c>
      <c r="D35" s="73" t="str">
        <f t="shared" si="5"/>
        <v/>
      </c>
      <c r="E35" s="74" t="str">
        <f t="shared" si="6"/>
        <v/>
      </c>
      <c r="F35" s="74" t="str">
        <f>IF(OR($C35="",ISNUMBER($G11)=FALSE,ISNUMBER(E23)=FALSE),"",$G11/E23)</f>
        <v/>
      </c>
      <c r="G35" s="75" t="str">
        <f t="shared" si="8"/>
        <v/>
      </c>
      <c r="H35" s="76" t="str">
        <f t="shared" ref="H35" si="23">IF(OR($C35="",ISNUMBER($G11)=FALSE,ISNUMBER(G23)=FALSE),"",$G11/G23)</f>
        <v/>
      </c>
      <c r="I35" s="77" t="str">
        <f t="shared" si="10"/>
        <v/>
      </c>
      <c r="J35" s="78" t="str">
        <f t="shared" si="10"/>
        <v/>
      </c>
      <c r="K35" s="79" t="str">
        <f t="shared" si="10"/>
        <v/>
      </c>
      <c r="L35" s="77" t="str">
        <f t="shared" ref="L35" si="24">IF(OR($C35="",I35="",ISNA($R23)=TRUE),"",I35/$R23/100)</f>
        <v/>
      </c>
      <c r="M35" s="78" t="str">
        <f t="shared" ref="M35" si="25">IF(OR($C35="",J35="",ISNA($R23)=TRUE),"",J35/$R23/100)</f>
        <v/>
      </c>
      <c r="N35" s="79" t="str">
        <f t="shared" ref="N35" si="26">IF(OR($C35="",K35="",ISNA($R23)=TRUE),"",K35/$R23/100)</f>
        <v/>
      </c>
      <c r="O35" s="78" t="str">
        <f t="shared" si="14"/>
        <v/>
      </c>
      <c r="P35" s="78" t="str">
        <f t="shared" si="14"/>
        <v/>
      </c>
      <c r="Q35" s="79" t="str">
        <f t="shared" si="14"/>
        <v/>
      </c>
    </row>
    <row r="36" spans="2:18">
      <c r="B36" s="48" t="str">
        <f t="shared" si="4"/>
        <v/>
      </c>
      <c r="C36" s="72" t="str">
        <f t="shared" si="5"/>
        <v/>
      </c>
      <c r="D36" s="73" t="str">
        <f t="shared" si="5"/>
        <v/>
      </c>
      <c r="E36" s="74" t="str">
        <f t="shared" si="6"/>
        <v/>
      </c>
      <c r="F36" s="74" t="str">
        <f t="shared" si="19"/>
        <v/>
      </c>
      <c r="G36" s="75" t="str">
        <f t="shared" si="19"/>
        <v/>
      </c>
      <c r="H36" s="76" t="str">
        <f t="shared" si="19"/>
        <v/>
      </c>
      <c r="I36" s="77" t="str">
        <f t="shared" si="10"/>
        <v/>
      </c>
      <c r="J36" s="78" t="str">
        <f t="shared" si="10"/>
        <v/>
      </c>
      <c r="K36" s="79" t="str">
        <f t="shared" si="10"/>
        <v/>
      </c>
      <c r="L36" s="77"/>
      <c r="M36" s="78"/>
      <c r="N36" s="79"/>
      <c r="O36" s="77" t="str">
        <f t="shared" si="14"/>
        <v/>
      </c>
      <c r="P36" s="78" t="str">
        <f t="shared" si="14"/>
        <v/>
      </c>
      <c r="Q36" s="79" t="str">
        <f t="shared" si="14"/>
        <v/>
      </c>
    </row>
    <row r="37" spans="2:18">
      <c r="B37" s="62" t="e">
        <f t="shared" ca="1" si="4"/>
        <v>#NAME?</v>
      </c>
      <c r="C37" s="80" t="str">
        <f t="shared" si="5"/>
        <v>SFM.OQ</v>
      </c>
      <c r="D37" s="80" t="e">
        <f t="shared" ca="1" si="5"/>
        <v>#NAME?</v>
      </c>
      <c r="E37" s="81" t="str">
        <f t="shared" ca="1" si="6"/>
        <v/>
      </c>
      <c r="F37" s="81" t="str">
        <f t="shared" ca="1" si="19"/>
        <v/>
      </c>
      <c r="G37" s="82" t="str">
        <f t="shared" ca="1" si="19"/>
        <v/>
      </c>
      <c r="H37" s="83" t="str">
        <f t="shared" ca="1" si="19"/>
        <v/>
      </c>
      <c r="I37" s="84" t="e">
        <f t="shared" ca="1" si="10"/>
        <v>#NAME?</v>
      </c>
      <c r="J37" s="85" t="e">
        <f t="shared" ca="1" si="10"/>
        <v>#NAME?</v>
      </c>
      <c r="K37" s="86" t="e">
        <f t="shared" ca="1" si="10"/>
        <v>#NAME?</v>
      </c>
      <c r="L37" s="84" t="e">
        <f t="shared" ref="L37:N37" ca="1" si="27">IF(OR($C37="",I37="",ISNA($R25)=TRUE),"",I37/$R25/100)</f>
        <v>#NAME?</v>
      </c>
      <c r="M37" s="85" t="e">
        <f t="shared" ca="1" si="27"/>
        <v>#NAME?</v>
      </c>
      <c r="N37" s="86" t="e">
        <f t="shared" ca="1" si="27"/>
        <v>#NAME?</v>
      </c>
      <c r="O37" s="84" t="e">
        <f t="shared" ca="1" si="14"/>
        <v>#NAME?</v>
      </c>
      <c r="P37" s="85" t="e">
        <f t="shared" ca="1" si="14"/>
        <v>#NAME?</v>
      </c>
      <c r="Q37" s="86" t="e">
        <f t="shared" ca="1" si="14"/>
        <v>#NAME?</v>
      </c>
    </row>
    <row r="39" spans="2:18">
      <c r="D39" s="613" t="s">
        <v>214</v>
      </c>
      <c r="E39" s="87" t="e">
        <f t="shared" ref="E39:Q39" ca="1" si="28">AVERAGE(E30:E36)</f>
        <v>#DIV/0!</v>
      </c>
      <c r="F39" s="87" t="e">
        <f t="shared" ca="1" si="28"/>
        <v>#DIV/0!</v>
      </c>
      <c r="G39" s="87" t="e">
        <f t="shared" ca="1" si="28"/>
        <v>#DIV/0!</v>
      </c>
      <c r="H39" s="87" t="e">
        <f t="shared" ca="1" si="28"/>
        <v>#DIV/0!</v>
      </c>
      <c r="I39" s="87" t="e">
        <f t="shared" ca="1" si="28"/>
        <v>#NAME?</v>
      </c>
      <c r="J39" s="87" t="e">
        <f t="shared" ca="1" si="28"/>
        <v>#NAME?</v>
      </c>
      <c r="K39" s="87" t="e">
        <f t="shared" ca="1" si="28"/>
        <v>#NAME?</v>
      </c>
      <c r="L39" s="87" t="e">
        <f t="shared" ca="1" si="28"/>
        <v>#NAME?</v>
      </c>
      <c r="M39" s="87" t="e">
        <f t="shared" ca="1" si="28"/>
        <v>#NAME?</v>
      </c>
      <c r="N39" s="87" t="e">
        <f t="shared" ca="1" si="28"/>
        <v>#NAME?</v>
      </c>
      <c r="O39" s="87" t="e">
        <f t="shared" ca="1" si="28"/>
        <v>#NAME?</v>
      </c>
      <c r="P39" s="87" t="e">
        <f t="shared" ca="1" si="28"/>
        <v>#NAME?</v>
      </c>
      <c r="Q39" s="87" t="e">
        <f t="shared" ca="1" si="28"/>
        <v>#NAME?</v>
      </c>
    </row>
    <row r="40" spans="2:18">
      <c r="D40" s="613" t="s">
        <v>503</v>
      </c>
      <c r="E40" s="88" t="e">
        <f t="shared" ref="E40:Q40" ca="1" si="29">MEDIAN(E30:E36)</f>
        <v>#NUM!</v>
      </c>
      <c r="F40" s="88" t="e">
        <f t="shared" ca="1" si="29"/>
        <v>#NUM!</v>
      </c>
      <c r="G40" s="88" t="e">
        <f t="shared" ca="1" si="29"/>
        <v>#NUM!</v>
      </c>
      <c r="H40" s="88" t="e">
        <f t="shared" ca="1" si="29"/>
        <v>#NUM!</v>
      </c>
      <c r="I40" s="88" t="e">
        <f t="shared" ca="1" si="29"/>
        <v>#NAME?</v>
      </c>
      <c r="J40" s="88" t="e">
        <f t="shared" ca="1" si="29"/>
        <v>#NAME?</v>
      </c>
      <c r="K40" s="88" t="e">
        <f t="shared" ca="1" si="29"/>
        <v>#NAME?</v>
      </c>
      <c r="L40" s="88" t="e">
        <f t="shared" ca="1" si="29"/>
        <v>#NAME?</v>
      </c>
      <c r="M40" s="88" t="e">
        <f t="shared" ca="1" si="29"/>
        <v>#NAME?</v>
      </c>
      <c r="N40" s="88" t="e">
        <f t="shared" ca="1" si="29"/>
        <v>#NAME?</v>
      </c>
      <c r="O40" s="88" t="e">
        <f t="shared" ca="1" si="29"/>
        <v>#NAME?</v>
      </c>
      <c r="P40" s="88" t="e">
        <f t="shared" ca="1" si="29"/>
        <v>#NAME?</v>
      </c>
      <c r="Q40" s="88" t="e">
        <f t="shared" ca="1" si="29"/>
        <v>#NAME?</v>
      </c>
    </row>
    <row r="42" spans="2:18">
      <c r="D42" s="613" t="s">
        <v>214</v>
      </c>
      <c r="E42" s="89" t="e">
        <f ca="1">E39*$K$13/$F$13</f>
        <v>#DIV/0!</v>
      </c>
      <c r="F42" s="89" t="e">
        <f t="shared" ref="F42:H43" ca="1" si="30">(F39*E$25)/$F$13</f>
        <v>#DIV/0!</v>
      </c>
      <c r="G42" s="90" t="e">
        <f t="shared" ca="1" si="30"/>
        <v>#DIV/0!</v>
      </c>
      <c r="H42" s="91" t="e">
        <f t="shared" ca="1" si="30"/>
        <v>#DIV/0!</v>
      </c>
      <c r="I42" s="89" t="e">
        <f t="shared" ref="I42:K43" ca="1" si="31">I39*I$25</f>
        <v>#NAME?</v>
      </c>
      <c r="J42" s="90" t="e">
        <f t="shared" ca="1" si="31"/>
        <v>#NAME?</v>
      </c>
      <c r="K42" s="91" t="e">
        <f t="shared" ca="1" si="31"/>
        <v>#NAME?</v>
      </c>
      <c r="L42" s="89" t="e">
        <f t="shared" ref="L42:N43" ca="1" si="32">L39*I$25*$R$25*100</f>
        <v>#NAME?</v>
      </c>
      <c r="M42" s="90" t="e">
        <f t="shared" ca="1" si="32"/>
        <v>#NAME?</v>
      </c>
      <c r="N42" s="91" t="e">
        <f t="shared" ca="1" si="32"/>
        <v>#NAME?</v>
      </c>
      <c r="O42" s="89" t="e">
        <f t="shared" ref="O42:Q43" ca="1" si="33">(O39*O$25-($H$13-$I$13))/$F$13</f>
        <v>#NAME?</v>
      </c>
      <c r="P42" s="90" t="e">
        <f t="shared" ca="1" si="33"/>
        <v>#NAME?</v>
      </c>
      <c r="Q42" s="91" t="e">
        <f t="shared" ca="1" si="33"/>
        <v>#NAME?</v>
      </c>
    </row>
    <row r="43" spans="2:18">
      <c r="D43" s="613" t="s">
        <v>503</v>
      </c>
      <c r="E43" s="92" t="e">
        <f ca="1">E40*$K$13/$F$13</f>
        <v>#NUM!</v>
      </c>
      <c r="F43" s="92" t="e">
        <f t="shared" ca="1" si="30"/>
        <v>#NUM!</v>
      </c>
      <c r="G43" s="93" t="e">
        <f t="shared" ca="1" si="30"/>
        <v>#NUM!</v>
      </c>
      <c r="H43" s="94" t="e">
        <f t="shared" ca="1" si="30"/>
        <v>#NUM!</v>
      </c>
      <c r="I43" s="92" t="e">
        <f t="shared" ca="1" si="31"/>
        <v>#NAME?</v>
      </c>
      <c r="J43" s="93" t="e">
        <f t="shared" ca="1" si="31"/>
        <v>#NAME?</v>
      </c>
      <c r="K43" s="94" t="e">
        <f t="shared" ca="1" si="31"/>
        <v>#NAME?</v>
      </c>
      <c r="L43" s="92" t="e">
        <f t="shared" ca="1" si="32"/>
        <v>#NAME?</v>
      </c>
      <c r="M43" s="93" t="e">
        <f t="shared" ca="1" si="32"/>
        <v>#NAME?</v>
      </c>
      <c r="N43" s="94" t="e">
        <f t="shared" ca="1" si="32"/>
        <v>#NAME?</v>
      </c>
      <c r="O43" s="92" t="e">
        <f t="shared" ca="1" si="33"/>
        <v>#NAME?</v>
      </c>
      <c r="P43" s="93" t="e">
        <f t="shared" ca="1" si="33"/>
        <v>#NAME?</v>
      </c>
      <c r="Q43" s="94" t="e">
        <f t="shared" ca="1" si="33"/>
        <v>#NAME?</v>
      </c>
    </row>
    <row r="44" spans="2:18" s="4" customFormat="1">
      <c r="C44" s="95"/>
      <c r="D44" s="1"/>
      <c r="E44" s="96" t="s">
        <v>504</v>
      </c>
      <c r="F44" s="97"/>
      <c r="G44" s="97"/>
      <c r="H44" s="97"/>
      <c r="I44" s="96" t="s">
        <v>505</v>
      </c>
      <c r="J44" s="96" t="s">
        <v>506</v>
      </c>
      <c r="K44" s="96" t="s">
        <v>507</v>
      </c>
      <c r="L44" s="96" t="s">
        <v>508</v>
      </c>
      <c r="M44" s="96" t="s">
        <v>509</v>
      </c>
      <c r="N44" s="96" t="s">
        <v>510</v>
      </c>
      <c r="O44" s="96" t="s">
        <v>511</v>
      </c>
      <c r="P44" s="96" t="s">
        <v>512</v>
      </c>
    </row>
    <row r="45" spans="2:18" ht="15.95">
      <c r="B45" s="613" t="s">
        <v>513</v>
      </c>
      <c r="C45" s="614"/>
      <c r="D45" s="613"/>
      <c r="E45" s="613"/>
      <c r="F45" s="613"/>
      <c r="G45" s="613"/>
      <c r="H45" s="613"/>
      <c r="I45" s="613"/>
      <c r="J45" s="613"/>
      <c r="K45" s="613"/>
      <c r="L45" s="613"/>
      <c r="M45" s="613"/>
      <c r="N45" s="613"/>
      <c r="O45" s="613"/>
      <c r="P45" s="613"/>
      <c r="Q45" s="615"/>
      <c r="R45" s="611"/>
    </row>
    <row r="46" spans="2:18" s="2" customFormat="1" outlineLevel="1">
      <c r="B46" s="98"/>
      <c r="C46" s="99"/>
      <c r="D46" s="100" t="s">
        <v>514</v>
      </c>
      <c r="E46" s="101" t="s">
        <v>515</v>
      </c>
      <c r="F46" s="101" t="s">
        <v>516</v>
      </c>
      <c r="G46" s="101"/>
      <c r="H46" s="102"/>
      <c r="I46" s="100" t="s">
        <v>517</v>
      </c>
      <c r="J46" s="101" t="s">
        <v>518</v>
      </c>
      <c r="K46" s="101" t="s">
        <v>519</v>
      </c>
      <c r="L46" s="100"/>
      <c r="M46" s="102"/>
      <c r="N46" s="100" t="s">
        <v>520</v>
      </c>
      <c r="O46" s="102" t="s">
        <v>521</v>
      </c>
      <c r="P46" s="102" t="s">
        <v>522</v>
      </c>
    </row>
    <row r="47" spans="2:18" s="2" customFormat="1" outlineLevel="1">
      <c r="B47" s="103" t="s">
        <v>464</v>
      </c>
      <c r="C47" s="103" t="s">
        <v>465</v>
      </c>
      <c r="D47" s="104" t="s">
        <v>523</v>
      </c>
      <c r="E47" s="105" t="s">
        <v>523</v>
      </c>
      <c r="F47" s="105" t="s">
        <v>523</v>
      </c>
      <c r="G47" s="105" t="s">
        <v>413</v>
      </c>
      <c r="H47" s="106" t="s">
        <v>415</v>
      </c>
      <c r="I47" s="104" t="s">
        <v>524</v>
      </c>
      <c r="J47" s="105" t="s">
        <v>524</v>
      </c>
      <c r="K47" s="105" t="s">
        <v>524</v>
      </c>
      <c r="L47" s="104" t="s">
        <v>525</v>
      </c>
      <c r="M47" s="106" t="s">
        <v>526</v>
      </c>
      <c r="N47" s="104" t="s">
        <v>527</v>
      </c>
      <c r="O47" s="106" t="s">
        <v>527</v>
      </c>
      <c r="P47" s="106" t="s">
        <v>528</v>
      </c>
      <c r="Q47" s="30"/>
    </row>
    <row r="48" spans="2:18" s="2" customFormat="1" outlineLevel="1">
      <c r="B48" s="19" t="e">
        <f t="shared" ref="B48:B55" ca="1" si="34">B6</f>
        <v>#NAME?</v>
      </c>
      <c r="C48" s="107" t="str">
        <f t="shared" ref="C48:C55" si="35">IF(C18="","",C30)</f>
        <v>AMZN.O</v>
      </c>
      <c r="D48" s="108" t="e" cm="1">
        <f t="array" aca="1" ref="D48" ca="1">IF($C48="","",_xll.RDP.Data($C48,"TR.GrossMargin")/100)</f>
        <v>#NAME?</v>
      </c>
      <c r="E48" s="109" t="e" cm="1">
        <f t="array" aca="1" ref="E48" ca="1">IF($C48="","",_xll.RDP.Data($C48,"TR.OperatingMarginPercent")/100)</f>
        <v>#NAME?</v>
      </c>
      <c r="F48" s="109" t="e" cm="1">
        <f t="array" aca="1" ref="F48" ca="1">IF($C48="","",_xll.RDP.Data($C48,"TR.NetProfitMargin")/100)</f>
        <v>#NAME?</v>
      </c>
      <c r="G48" s="109" t="e" cm="1">
        <f t="array" aca="1" ref="G48" ca="1">IF($C48="","",_xll.RDP.Data($C48,"TR.ROAActValue")/100)</f>
        <v>#NAME?</v>
      </c>
      <c r="H48" s="109" t="e" cm="1">
        <f t="array" aca="1" ref="H48" ca="1">IF($C48="","",_xll.RDP.Data($C48,"TR.ROEActValue")/100)</f>
        <v>#NAME?</v>
      </c>
      <c r="I48" s="110" t="e">
        <f ca="1">IF($C48="","",_xll.RDP.Data($C48,"TR.AssetTurnover"))</f>
        <v>#NAME?</v>
      </c>
      <c r="J48" s="111" t="e">
        <f ca="1">IF($C48="","",_xll.RDP.Data($C48,"TR.InventoryTurnover"))</f>
        <v>#NAME?</v>
      </c>
      <c r="K48" s="111" t="e" cm="1">
        <f t="array" aca="1" ref="K48" ca="1">IF($C48="","",_xll.RDP.Data($C48,"TR.Revenue")/_xll.RDP.Data($C48,"TR.TotalReceivablesNet"))</f>
        <v>#NAME?</v>
      </c>
      <c r="L48" s="112" t="e">
        <f ca="1">IF($C48="","",_xll.RDP.Data($C48,"TR.TtlDebtToTtlEquityPct"))</f>
        <v>#NAME?</v>
      </c>
      <c r="M48" s="113" t="e">
        <f ca="1">IF($C48="","",_xll.RDP.Data($C48,"TR.LTDebtToTtlCapitalPct"))</f>
        <v>#NAME?</v>
      </c>
      <c r="N48" s="112" t="e">
        <f ca="1">IF($C48="","",_xll.RDP.Data($C48,"TR.QuickRatio"))</f>
        <v>#NAME?</v>
      </c>
      <c r="O48" s="113" t="e">
        <f ca="1">IF($C48="","",_xll.RDP.Data($C48,"TR.CurrentRatio"))</f>
        <v>#NAME?</v>
      </c>
      <c r="P48" s="129" t="e" cm="1">
        <f t="array" aca="1" ref="P48" ca="1">IF($C48="","",_xll.RDP.Data($C48,"TR.EBITDA")/_xll.RDP.Data($C48,"TR.InterestExpense"))</f>
        <v>#NAME?</v>
      </c>
      <c r="Q48" s="30"/>
    </row>
    <row r="49" spans="2:16" s="2" customFormat="1" outlineLevel="1">
      <c r="B49" s="19" t="e">
        <f t="shared" ca="1" si="34"/>
        <v>#NAME?</v>
      </c>
      <c r="C49" s="107" t="str">
        <f t="shared" si="35"/>
        <v>WMT</v>
      </c>
      <c r="D49" s="114" t="e" cm="1">
        <f t="array" aca="1" ref="D49" ca="1">IF($C49="","",_xll.RDP.Data($C49,"TR.GrossMargin")/100)</f>
        <v>#NAME?</v>
      </c>
      <c r="E49" s="115" t="e" cm="1">
        <f t="array" aca="1" ref="E49" ca="1">IF($C49="","",_xll.RDP.Data($C49,"TR.OperatingMarginPercent")/100)</f>
        <v>#NAME?</v>
      </c>
      <c r="F49" s="115" t="e" cm="1">
        <f t="array" aca="1" ref="F49" ca="1">IF($C49="","",_xll.RDP.Data($C49,"TR.NetProfitMargin")/100)</f>
        <v>#NAME?</v>
      </c>
      <c r="G49" s="115" t="e" cm="1">
        <f t="array" aca="1" ref="G49" ca="1">IF($C49="","",_xll.RDP.Data($C49,"TR.ROAActValue")/100)</f>
        <v>#NAME?</v>
      </c>
      <c r="H49" s="116" t="e" cm="1">
        <f t="array" aca="1" ref="H49" ca="1">IF($C49="","",_xll.RDP.Data($C49,"TR.ROEActValue")/100)</f>
        <v>#NAME?</v>
      </c>
      <c r="I49" s="112" t="e">
        <f ca="1">IF($C49="","",_xll.RDP.Data($C49,"TR.AssetTurnover"))</f>
        <v>#NAME?</v>
      </c>
      <c r="J49" s="117" t="e">
        <f ca="1">IF($C49="","",_xll.RDP.Data($C49,"TR.InventoryTurnover"))</f>
        <v>#NAME?</v>
      </c>
      <c r="K49" s="117" t="e" cm="1">
        <f t="array" aca="1" ref="K49" ca="1">IF($C49="","",_xll.RDP.Data($C49,"TR.Revenue")/_xll.RDP.Data($C49,"TR.TotalReceivablesNet"))</f>
        <v>#NAME?</v>
      </c>
      <c r="L49" s="112" t="e">
        <f ca="1">IF($C49="","",_xll.RDP.Data($C49,"TR.TtlDebtToTtlEquityPct"))</f>
        <v>#NAME?</v>
      </c>
      <c r="M49" s="113" t="e">
        <f ca="1">IF($C49="","",_xll.RDP.Data($C49,"TR.LTDebtToTtlCapitalPct"))</f>
        <v>#NAME?</v>
      </c>
      <c r="N49" s="112" t="e">
        <f ca="1">IF($C49="","",_xll.RDP.Data($C49,"TR.QuickRatio"))</f>
        <v>#NAME?</v>
      </c>
      <c r="O49" s="113" t="e">
        <f ca="1">IF($C49="","",_xll.RDP.Data($C49,"TR.CurrentRatio"))</f>
        <v>#NAME?</v>
      </c>
      <c r="P49" s="118" t="e" cm="1">
        <f t="array" aca="1" ref="P49" ca="1">IF($C49="","",_xll.RDP.Data($C49,"TR.EBITDA")/_xll.RDP.Data($C49,"TR.InterestExpense"))</f>
        <v>#NAME?</v>
      </c>
    </row>
    <row r="50" spans="2:16" s="2" customFormat="1" outlineLevel="1">
      <c r="B50" s="19" t="e">
        <f t="shared" ca="1" si="34"/>
        <v>#NAME?</v>
      </c>
      <c r="C50" s="107" t="str">
        <f t="shared" si="35"/>
        <v>COST.OQ</v>
      </c>
      <c r="D50" s="114" t="e" cm="1">
        <f t="array" aca="1" ref="D50" ca="1">IF($C50="","",_xll.RDP.Data($C50,"TR.GrossMargin")/100)</f>
        <v>#NAME?</v>
      </c>
      <c r="E50" s="115" t="e" cm="1">
        <f t="array" aca="1" ref="E50" ca="1">IF($C50="","",_xll.RDP.Data($C50,"TR.OperatingMarginPercent")/100)</f>
        <v>#NAME?</v>
      </c>
      <c r="F50" s="115" t="e" cm="1">
        <f t="array" aca="1" ref="F50" ca="1">IF($C50="","",_xll.RDP.Data($C50,"TR.NetProfitMargin")/100)</f>
        <v>#NAME?</v>
      </c>
      <c r="G50" s="115" t="e" cm="1">
        <f t="array" aca="1" ref="G50" ca="1">IF($C50="","",_xll.RDP.Data($C50,"TR.ROAActValue")/100)</f>
        <v>#NAME?</v>
      </c>
      <c r="H50" s="116" t="e" cm="1">
        <f t="array" aca="1" ref="H50" ca="1">IF($C50="","",_xll.RDP.Data($C50,"TR.ROEActValue")/100)</f>
        <v>#NAME?</v>
      </c>
      <c r="I50" s="112" t="e">
        <f ca="1">IF($C50="","",_xll.RDP.Data($C50,"TR.AssetTurnover"))</f>
        <v>#NAME?</v>
      </c>
      <c r="J50" s="117" t="e">
        <f ca="1">IF($C50="","",_xll.RDP.Data($C50,"TR.InventoryTurnover"))</f>
        <v>#NAME?</v>
      </c>
      <c r="K50" s="117" t="e" cm="1">
        <f t="array" aca="1" ref="K50" ca="1">IF($C50="","",_xll.RDP.Data($C50,"TR.Revenue")/_xll.RDP.Data($C50,"TR.TotalReceivablesNet"))</f>
        <v>#NAME?</v>
      </c>
      <c r="L50" s="112" t="e">
        <f ca="1">IF($C50="","",_xll.RDP.Data($C50,"TR.TtlDebtToTtlEquityPct"))</f>
        <v>#NAME?</v>
      </c>
      <c r="M50" s="113" t="e">
        <f ca="1">IF($C50="","",_xll.RDP.Data($C50,"TR.LTDebtToTtlCapitalPct"))</f>
        <v>#NAME?</v>
      </c>
      <c r="N50" s="112" t="e">
        <f ca="1">IF($C50="","",_xll.RDP.Data($C50,"TR.QuickRatio"))</f>
        <v>#NAME?</v>
      </c>
      <c r="O50" s="113" t="e">
        <f ca="1">IF($C50="","",_xll.RDP.Data($C50,"TR.CurrentRatio"))</f>
        <v>#NAME?</v>
      </c>
      <c r="P50" s="118" t="e" cm="1">
        <f t="array" aca="1" ref="P50" ca="1">IF($C50="","",_xll.RDP.Data($C50,"TR.EBITDA")/_xll.RDP.Data($C50,"TR.InterestExpense"))</f>
        <v>#NAME?</v>
      </c>
    </row>
    <row r="51" spans="2:16" s="2" customFormat="1" outlineLevel="1">
      <c r="B51" s="19" t="e">
        <f t="shared" ca="1" si="34"/>
        <v>#NAME?</v>
      </c>
      <c r="C51" s="107" t="str">
        <f t="shared" si="35"/>
        <v>ACI</v>
      </c>
      <c r="D51" s="114" t="e" cm="1">
        <f t="array" aca="1" ref="D51" ca="1">IF($C51="","",_xll.RDP.Data($C51,"TR.GrossMargin")/100)</f>
        <v>#NAME?</v>
      </c>
      <c r="E51" s="115" t="e" cm="1">
        <f t="array" aca="1" ref="E51" ca="1">IF($C51="","",_xll.RDP.Data($C51,"TR.OperatingMarginPercent")/100)</f>
        <v>#NAME?</v>
      </c>
      <c r="F51" s="115" t="e" cm="1">
        <f t="array" aca="1" ref="F51" ca="1">IF($C51="","",_xll.RDP.Data($C51,"TR.NetProfitMargin")/100)</f>
        <v>#NAME?</v>
      </c>
      <c r="G51" s="115" t="e" cm="1">
        <f t="array" aca="1" ref="G51" ca="1">IF($C51="","",_xll.RDP.Data($C51,"TR.ROAActValue")/100)</f>
        <v>#NAME?</v>
      </c>
      <c r="H51" s="116" t="e" cm="1">
        <f t="array" aca="1" ref="H51" ca="1">IF($C51="","",_xll.RDP.Data($C51,"TR.ROEActValue")/100)</f>
        <v>#NAME?</v>
      </c>
      <c r="I51" s="112" t="e">
        <f ca="1">IF($C51="","",_xll.RDP.Data($C51,"TR.AssetTurnover"))</f>
        <v>#NAME?</v>
      </c>
      <c r="J51" s="117" t="e">
        <f ca="1">IF($C51="","",_xll.RDP.Data($C51,"TR.InventoryTurnover"))</f>
        <v>#NAME?</v>
      </c>
      <c r="K51" s="117" t="e" cm="1">
        <f t="array" aca="1" ref="K51" ca="1">IF($C51="","",_xll.RDP.Data($C51,"TR.Revenue")/_xll.RDP.Data($C51,"TR.TotalReceivablesNet"))</f>
        <v>#NAME?</v>
      </c>
      <c r="L51" s="112" t="e">
        <f ca="1">IF($C51="","",_xll.RDP.Data($C51,"TR.TtlDebtToTtlEquityPct"))</f>
        <v>#NAME?</v>
      </c>
      <c r="M51" s="113" t="e">
        <f ca="1">IF($C51="","",_xll.RDP.Data($C51,"TR.LTDebtToTtlCapitalPct"))</f>
        <v>#NAME?</v>
      </c>
      <c r="N51" s="112" t="e">
        <f ca="1">IF($C51="","",_xll.RDP.Data($C51,"TR.QuickRatio"))</f>
        <v>#NAME?</v>
      </c>
      <c r="O51" s="113" t="e">
        <f ca="1">IF($C51="","",_xll.RDP.Data($C51,"TR.CurrentRatio"))</f>
        <v>#NAME?</v>
      </c>
      <c r="P51" s="118" t="e" cm="1">
        <f t="array" aca="1" ref="P51" ca="1">IF($C51="","",_xll.RDP.Data($C51,"TR.EBITDA")/_xll.RDP.Data($C51,"TR.InterestExpense"))</f>
        <v>#NAME?</v>
      </c>
    </row>
    <row r="52" spans="2:16" s="2" customFormat="1" outlineLevel="1">
      <c r="B52" s="19" t="e">
        <f t="shared" ca="1" si="34"/>
        <v>#NAME?</v>
      </c>
      <c r="C52" s="107" t="str">
        <f t="shared" si="35"/>
        <v>KR</v>
      </c>
      <c r="D52" s="114" t="e" cm="1">
        <f t="array" aca="1" ref="D52" ca="1">IF($C52="","",_xll.RDP.Data($C52,"TR.GrossMargin")/100)</f>
        <v>#NAME?</v>
      </c>
      <c r="E52" s="115" t="e" cm="1">
        <f t="array" aca="1" ref="E52" ca="1">IF($C52="","",_xll.RDP.Data($C52,"TR.OperatingMarginPercent")/100)</f>
        <v>#NAME?</v>
      </c>
      <c r="F52" s="115" t="e" cm="1">
        <f t="array" aca="1" ref="F52" ca="1">IF($C52="","",_xll.RDP.Data($C52,"TR.NetProfitMargin")/100)</f>
        <v>#NAME?</v>
      </c>
      <c r="G52" s="115" t="e" cm="1">
        <f t="array" aca="1" ref="G52" ca="1">IF($C52="","",_xll.RDP.Data($C52,"TR.ROAActValue")/100)</f>
        <v>#NAME?</v>
      </c>
      <c r="H52" s="116" t="e" cm="1">
        <f t="array" aca="1" ref="H52" ca="1">IF($C52="","",_xll.RDP.Data($C52,"TR.ROEActValue")/100)</f>
        <v>#NAME?</v>
      </c>
      <c r="I52" s="112" t="e">
        <f ca="1">IF($C52="","",_xll.RDP.Data($C52,"TR.AssetTurnover"))</f>
        <v>#NAME?</v>
      </c>
      <c r="J52" s="117" t="e">
        <f ca="1">IF($C52="","",_xll.RDP.Data($C52,"TR.InventoryTurnover"))</f>
        <v>#NAME?</v>
      </c>
      <c r="K52" s="117" t="e" cm="1">
        <f t="array" aca="1" ref="K52" ca="1">IF($C52="","",_xll.RDP.Data($C52,"TR.Revenue")/_xll.RDP.Data($C52,"TR.TotalReceivablesNet"))</f>
        <v>#NAME?</v>
      </c>
      <c r="L52" s="112" t="e">
        <f ca="1">IF($C52="","",_xll.RDP.Data($C52,"TR.TtlDebtToTtlEquityPct"))</f>
        <v>#NAME?</v>
      </c>
      <c r="M52" s="113" t="e">
        <f ca="1">IF($C52="","",_xll.RDP.Data($C52,"TR.LTDebtToTtlCapitalPct"))</f>
        <v>#NAME?</v>
      </c>
      <c r="N52" s="112" t="e">
        <f ca="1">IF($C52="","",_xll.RDP.Data($C52,"TR.QuickRatio"))</f>
        <v>#NAME?</v>
      </c>
      <c r="O52" s="113" t="e">
        <f ca="1">IF($C52="","",_xll.RDP.Data($C52,"TR.CurrentRatio"))</f>
        <v>#NAME?</v>
      </c>
      <c r="P52" s="118" t="e" cm="1">
        <f t="array" aca="1" ref="P52" ca="1">IF($C52="","",_xll.RDP.Data($C52,"TR.EBITDA")/_xll.RDP.Data($C52,"TR.InterestExpense"))</f>
        <v>#NAME?</v>
      </c>
    </row>
    <row r="53" spans="2:16" s="2" customFormat="1" outlineLevel="1">
      <c r="B53" s="19" t="str">
        <f t="shared" si="34"/>
        <v/>
      </c>
      <c r="C53" s="107" t="s">
        <v>529</v>
      </c>
      <c r="D53" s="114" t="e" cm="1">
        <f t="array" aca="1" ref="D53" ca="1">IF($C53="","",_xll.RDP.Data($C53,"TR.GrossMargin")/100)</f>
        <v>#NAME?</v>
      </c>
      <c r="E53" s="115" t="e" cm="1">
        <f t="array" aca="1" ref="E53" ca="1">IF($C53="","",_xll.RDP.Data($C53,"TR.OperatingMarginPercent")/100)</f>
        <v>#NAME?</v>
      </c>
      <c r="F53" s="115" t="e" cm="1">
        <f t="array" aca="1" ref="F53" ca="1">IF($C53="","",_xll.RDP.Data($C53,"TR.NetProfitMargin")/100)</f>
        <v>#NAME?</v>
      </c>
      <c r="G53" s="115"/>
      <c r="H53" s="116"/>
      <c r="I53" s="112" t="e">
        <f ca="1">IF($C53="","",_xll.RDP.Data($C53,"TR.AssetTurnover"))</f>
        <v>#NAME?</v>
      </c>
      <c r="J53" s="117" t="e">
        <f ca="1">IF($C53="","",_xll.RDP.Data($C53,"TR.InventoryTurnover"))</f>
        <v>#NAME?</v>
      </c>
      <c r="K53" s="117" t="e" cm="1">
        <f t="array" aca="1" ref="K53" ca="1">IF($C53="","",_xll.RDP.Data($C53,"TR.Revenue")/_xll.RDP.Data($C53,"TR.TotalReceivablesNet"))</f>
        <v>#NAME?</v>
      </c>
      <c r="L53" s="112" t="e">
        <f ca="1">IF($C53="","",_xll.RDP.Data($C53,"TR.TtlDebtToTtlEquityPct"))</f>
        <v>#NAME?</v>
      </c>
      <c r="M53" s="113" t="e">
        <f ca="1">IF($C53="","",_xll.RDP.Data($C53,"TR.LTDebtToTtlCapitalPct"))</f>
        <v>#NAME?</v>
      </c>
      <c r="N53" s="112" t="e">
        <f ca="1">IF($C53="","",_xll.RDP.Data($C53,"TR.QuickRatio"))</f>
        <v>#NAME?</v>
      </c>
      <c r="O53" s="113" t="e">
        <f ca="1">IF($C53="","",_xll.RDP.Data($C53,"TR.CurrentRatio"))</f>
        <v>#NAME?</v>
      </c>
      <c r="P53" s="118" t="e" cm="1">
        <f t="array" aca="1" ref="P53" ca="1">IF($C53="","",_xll.RDP.Data($C53,"TR.EBITDA")/_xll.RDP.Data($C53,"TR.InterestExpense"))</f>
        <v>#NAME?</v>
      </c>
    </row>
    <row r="54" spans="2:16" s="2" customFormat="1" outlineLevel="1">
      <c r="B54" s="19" t="str">
        <f t="shared" si="34"/>
        <v/>
      </c>
      <c r="C54" s="107" t="str">
        <f t="shared" si="35"/>
        <v/>
      </c>
      <c r="D54" s="114" t="str" cm="1">
        <f t="array" ref="D54">IF($C54="","",_xll.RDP.Data($C54,"TR.GrossMargin")/100)</f>
        <v/>
      </c>
      <c r="E54" s="115" t="str" cm="1">
        <f t="array" ref="E54">IF($C54="","",_xll.RDP.Data($C54,"TR.OperatingMarginPercent")/100)</f>
        <v/>
      </c>
      <c r="F54" s="115" t="str" cm="1">
        <f t="array" ref="F54">IF($C54="","",_xll.RDP.Data($C54,"TR.NetProfitMargin")/100)</f>
        <v/>
      </c>
      <c r="G54" s="115" t="str" cm="1">
        <f t="array" ref="G54">IF($C54="","",_xll.RDP.Data($C54,"TR.ROAActValue")/100)</f>
        <v/>
      </c>
      <c r="H54" s="116" t="str" cm="1">
        <f t="array" ref="H54">IF($C54="","",_xll.RDP.Data($C54,"TR.ROEActValue")/100)</f>
        <v/>
      </c>
      <c r="I54" s="112" t="str">
        <f>IF($C54="","",_xll.RDP.Data($C54,"TR.AssetTurnover"))</f>
        <v/>
      </c>
      <c r="J54" s="117" t="str">
        <f>IF($C54="","",_xll.RDP.Data($C54,"TR.InventoryTurnover"))</f>
        <v/>
      </c>
      <c r="K54" s="117" t="str" cm="1">
        <f t="array" ref="K54">IF($C54="","",_xll.RDP.Data($C54,"TR.Revenue")/_xll.RDP.Data($C54,"TR.TotalReceivablesNet"))</f>
        <v/>
      </c>
      <c r="L54" s="112" t="str">
        <f>IF($C54="","",_xll.RDP.Data($C54,"TR.TtlDebtToTtlEquityPct"))</f>
        <v/>
      </c>
      <c r="M54" s="113" t="str">
        <f>IF($C54="","",_xll.RDP.Data($C54,"TR.LTDebtToTtlCapitalPct"))</f>
        <v/>
      </c>
      <c r="N54" s="112" t="str">
        <f>IF($C54="","",_xll.RDP.Data($C54,"TR.QuickRatio"))</f>
        <v/>
      </c>
      <c r="O54" s="113" t="str">
        <f>IF($C54="","",_xll.RDP.Data($C54,"TR.CurrentRatio"))</f>
        <v/>
      </c>
      <c r="P54" s="118" t="str" cm="1">
        <f t="array" ref="P54">IF($C54="","",_xll.RDP.Data($C54,"TR.EBITDA")/_xll.RDP.Data($C54,"TR.InterestExpense"))</f>
        <v/>
      </c>
    </row>
    <row r="55" spans="2:16" s="2" customFormat="1" outlineLevel="1">
      <c r="B55" s="34" t="e">
        <f t="shared" ca="1" si="34"/>
        <v>#NAME?</v>
      </c>
      <c r="C55" s="119" t="str">
        <f t="shared" si="35"/>
        <v>SFM.OQ</v>
      </c>
      <c r="D55" s="120" t="e" cm="1">
        <f t="array" aca="1" ref="D55" ca="1">IF($C55="","",_xll.RDP.Data($C55,"TR.GrossMargin")/100)</f>
        <v>#NAME?</v>
      </c>
      <c r="E55" s="121" t="e" cm="1">
        <f t="array" aca="1" ref="E55" ca="1">IF($C55="","",_xll.RDP.Data($C55,"TR.OperatingMarginPercent")/100)</f>
        <v>#NAME?</v>
      </c>
      <c r="F55" s="121" t="e" cm="1">
        <f t="array" aca="1" ref="F55" ca="1">IF($C55="","",_xll.RDP.Data($C55,"TR.NetProfitMargin")/100)</f>
        <v>#NAME?</v>
      </c>
      <c r="G55" s="121" t="e" cm="1">
        <f t="array" aca="1" ref="G55" ca="1">IF($C55="","",_xll.RDP.Data($C55,"TR.ROAActValue")/100)</f>
        <v>#NAME?</v>
      </c>
      <c r="H55" s="122" t="e" cm="1">
        <f t="array" aca="1" ref="H55" ca="1">IF($C55="","",_xll.RDP.Data($C55,"TR.ROEActValue")/100)</f>
        <v>#NAME?</v>
      </c>
      <c r="I55" s="123" t="e">
        <f ca="1">IF($C55="","",_xll.RDP.Data($C55,"TR.AssetTurnover"))</f>
        <v>#NAME?</v>
      </c>
      <c r="J55" s="124" t="e">
        <f ca="1">IF($C55="","",_xll.RDP.Data($C55,"TR.InventoryTurnover"))</f>
        <v>#NAME?</v>
      </c>
      <c r="K55" s="124" t="e" cm="1">
        <f t="array" aca="1" ref="K55" ca="1">IF($C55="","",_xll.RDP.Data($C55,"TR.Revenue")/_xll.RDP.Data($C55,"TR.TotalReceivablesNet"))</f>
        <v>#NAME?</v>
      </c>
      <c r="L55" s="123" t="e">
        <f ca="1">IF($C55="","",_xll.RDP.Data($C55,"TR.TtlDebtToTtlEquityPct"))</f>
        <v>#NAME?</v>
      </c>
      <c r="M55" s="125" t="e">
        <f ca="1">IF($C55="","",_xll.RDP.Data($C55,"TR.LTDebtToTtlCapitalPct"))</f>
        <v>#NAME?</v>
      </c>
      <c r="N55" s="123" t="e">
        <f ca="1">IF($C55="","",_xll.RDP.Data($C55,"TR.QuickRatio"))</f>
        <v>#NAME?</v>
      </c>
      <c r="O55" s="125" t="e">
        <f ca="1">IF($C55="","",_xll.RDP.Data($C55,"TR.CurrentRatio"))</f>
        <v>#NAME?</v>
      </c>
      <c r="P55" s="126" t="e" cm="1">
        <f t="array" aca="1" ref="P55" ca="1">IF($C55="","",_xll.RDP.Data($C55,"TR.EBITDA")/_xll.RDP.Data($C55,"TR.InterestExpense"))</f>
        <v>#NAME?</v>
      </c>
    </row>
    <row r="56" spans="2:16">
      <c r="B56" s="34" t="s">
        <v>214</v>
      </c>
      <c r="C56" s="119"/>
      <c r="D56" s="120" t="e">
        <f ca="1">AVERAGE(D48:D54)</f>
        <v>#NAME?</v>
      </c>
      <c r="E56" s="121" t="e">
        <f t="shared" ref="E56:P56" ca="1" si="36">AVERAGE(E48:E54)</f>
        <v>#NAME?</v>
      </c>
      <c r="F56" s="121" t="e">
        <f t="shared" ca="1" si="36"/>
        <v>#NAME?</v>
      </c>
      <c r="G56" s="121" t="e">
        <f t="shared" ca="1" si="36"/>
        <v>#NAME?</v>
      </c>
      <c r="H56" s="122" t="e">
        <f t="shared" ca="1" si="36"/>
        <v>#NAME?</v>
      </c>
      <c r="I56" s="123" t="e">
        <f t="shared" ca="1" si="36"/>
        <v>#NAME?</v>
      </c>
      <c r="J56" s="124" t="e">
        <f t="shared" ca="1" si="36"/>
        <v>#NAME?</v>
      </c>
      <c r="K56" s="124" t="e">
        <f t="shared" ca="1" si="36"/>
        <v>#NAME?</v>
      </c>
      <c r="L56" s="123" t="e">
        <f t="shared" ca="1" si="36"/>
        <v>#NAME?</v>
      </c>
      <c r="M56" s="125" t="e">
        <f t="shared" ca="1" si="36"/>
        <v>#NAME?</v>
      </c>
      <c r="N56" s="123" t="e">
        <f t="shared" ca="1" si="36"/>
        <v>#NAME?</v>
      </c>
      <c r="O56" s="125" t="e">
        <f t="shared" ca="1" si="36"/>
        <v>#NAME?</v>
      </c>
      <c r="P56" s="126" t="e">
        <f t="shared" ca="1" si="36"/>
        <v>#NAME?</v>
      </c>
    </row>
    <row r="58" spans="2:16">
      <c r="D58" s="128"/>
      <c r="E58" s="128"/>
      <c r="F58" s="128"/>
      <c r="G58" s="128"/>
      <c r="H58" s="128"/>
      <c r="I58" s="128"/>
      <c r="J58" s="128"/>
      <c r="K58" s="128"/>
      <c r="L58" s="128"/>
      <c r="M58" s="128"/>
      <c r="N58" s="128"/>
      <c r="O58" s="128"/>
      <c r="P58" s="128"/>
    </row>
    <row r="59" spans="2:16">
      <c r="D59" s="128"/>
      <c r="E59" s="128"/>
      <c r="F59" s="128"/>
      <c r="G59" s="128"/>
      <c r="H59" s="128"/>
      <c r="I59" s="128"/>
      <c r="J59" s="128"/>
      <c r="K59" s="128"/>
      <c r="L59" s="128"/>
      <c r="M59" s="128"/>
      <c r="N59" s="128"/>
      <c r="O59" s="128"/>
      <c r="P59" s="128"/>
    </row>
  </sheetData>
  <conditionalFormatting sqref="E42:Q43">
    <cfRule type="cellIs" dxfId="14" priority="1" operator="lessThan">
      <formula>$D$37</formula>
    </cfRule>
    <cfRule type="cellIs" dxfId="13" priority="2" operator="greaterThan">
      <formula>$D$37</formula>
    </cfRule>
  </conditionalFormatting>
  <hyperlinks>
    <hyperlink ref="K54" tooltip="Thomson Reuters Click-Thru" xr:uid="{64C99EA4-9807-774E-8A3C-2794A353E0D2}"/>
    <hyperlink ref="H13" tooltip="Thomson Reuters Click-Thru" xr:uid="{E8AB3F66-6CA6-764C-8DE0-BC5DEAF02ED6}"/>
    <hyperlink ref="I13" tooltip="Thomson Reuters Click-Thru" xr:uid="{BAB6C6F5-FA05-4C48-A6AD-E052695F3FF9}"/>
    <hyperlink ref="K49" tooltip="Thomson Reuters Click-Thru" xr:uid="{74C2B6E0-D0D0-A44E-AABB-68E5B7366850}"/>
    <hyperlink ref="H7" tooltip="Thomson Reuters Click-Thru" xr:uid="{D7DCEFED-49D4-5D49-A96B-EC1711997FDA}"/>
    <hyperlink ref="H8" tooltip="Thomson Reuters Click-Thru" xr:uid="{3A716440-782B-1E49-8A00-07E619370E07}"/>
    <hyperlink ref="K51" tooltip="Thomson Reuters Click-Thru" xr:uid="{2C1A4C1D-1800-8D40-84DB-F485FF40F87A}"/>
    <hyperlink ref="H9" tooltip="Thomson Reuters Click-Thru" xr:uid="{3F0D8874-51C3-5C41-8CF5-CB6994BBF0C3}"/>
    <hyperlink ref="H10" tooltip="Thomson Reuters Click-Thru" xr:uid="{219B9F0A-1609-094E-904E-70FC1FCB9C92}"/>
    <hyperlink ref="K53" tooltip="Thomson Reuters Click-Thru" xr:uid="{26E68A2E-7318-4E40-AB54-6FF0B1F40250}"/>
    <hyperlink ref="I7:I8" tooltip="Thomson Reuters Click-Thru" xr:uid="{DD47EA5F-017C-4A4D-A108-D0D075B0981D}"/>
    <hyperlink ref="I6" tooltip="Thomson Reuters Click-Thru" xr:uid="{87096FCC-D8F8-514D-9EE8-7DD152703870}"/>
    <hyperlink ref="H6" tooltip="Thomson Reuters Click-Thru" xr:uid="{E608CA8C-6051-D942-8905-E906125987AC}"/>
    <hyperlink ref="K48" tooltip="Thomson Reuters Click-Thru" xr:uid="{188077C8-156A-C042-A413-98155E53EF54}"/>
    <hyperlink ref="I9" tooltip="Thomson Reuters Click-Thru" xr:uid="{67B3073A-6BEC-8A4E-A051-C112A507BEE4}"/>
    <hyperlink ref="I11" tooltip="Thomson Reuters Click-Thru" xr:uid="{F9453874-0738-C54B-BE7E-3911AFAF4F40}"/>
    <hyperlink ref="H11" tooltip="Thomson Reuters Click-Thru" xr:uid="{0723DBA2-6F44-AE45-B76C-2F730458B2E6}"/>
    <hyperlink ref="I12" tooltip="Thomson Reuters Click-Thru" xr:uid="{534B86B4-7308-3E4D-A9D3-05763C3BAF1B}"/>
    <hyperlink ref="H12" tooltip="Thomson Reuters Click-Thru" xr:uid="{A0EE26F7-B2F5-D04C-9164-3ACD3F579BDE}"/>
  </hyperlink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AF062-3C2B-E547-B324-AA9134CCE5AC}">
  <dimension ref="E6:E10"/>
  <sheetViews>
    <sheetView showGridLines="0" workbookViewId="0">
      <selection activeCell="L54" sqref="L54"/>
    </sheetView>
  </sheetViews>
  <sheetFormatPr defaultColWidth="11.44140625" defaultRowHeight="15.95"/>
  <cols>
    <col min="1" max="16384" width="11.44140625" style="297"/>
  </cols>
  <sheetData>
    <row r="6" spans="5:5">
      <c r="E6" s="297" t="s">
        <v>530</v>
      </c>
    </row>
    <row r="10" spans="5:5">
      <c r="E10"/>
    </row>
  </sheetData>
  <pageMargins left="0.7" right="0.7" top="0.75" bottom="0.75" header="0.3" footer="0.3"/>
  <pageSetup orientation="portrait" horizontalDpi="0" verticalDpi="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D0B5-0EE5-CB42-81CD-8BA31E26C5CE}">
  <dimension ref="B2:M65"/>
  <sheetViews>
    <sheetView workbookViewId="0">
      <selection activeCell="A22" sqref="A22"/>
    </sheetView>
  </sheetViews>
  <sheetFormatPr defaultColWidth="11.44140625" defaultRowHeight="15.95"/>
  <cols>
    <col min="2" max="2" width="27.21875" bestFit="1" customWidth="1"/>
    <col min="3" max="3" width="6.77734375" customWidth="1"/>
    <col min="4" max="4" width="6.6640625" customWidth="1"/>
    <col min="5" max="5" width="5.88671875" customWidth="1"/>
    <col min="6" max="6" width="5.6640625" customWidth="1"/>
    <col min="7" max="7" width="5.44140625" style="392" customWidth="1"/>
    <col min="9" max="9" width="12.6640625" customWidth="1"/>
    <col min="10" max="10" width="14.33203125" customWidth="1"/>
    <col min="11" max="11" width="12.44140625" customWidth="1"/>
    <col min="12" max="12" width="14.33203125" customWidth="1"/>
  </cols>
  <sheetData>
    <row r="2" spans="2:13">
      <c r="B2" s="616" t="s">
        <v>531</v>
      </c>
      <c r="C2" s="617" t="s">
        <v>532</v>
      </c>
      <c r="D2" s="617" t="s">
        <v>533</v>
      </c>
      <c r="E2" s="617" t="s">
        <v>534</v>
      </c>
      <c r="F2" s="617" t="s">
        <v>535</v>
      </c>
      <c r="G2" s="618" t="s">
        <v>536</v>
      </c>
      <c r="H2" s="617" t="s">
        <v>537</v>
      </c>
      <c r="I2" s="617" t="s">
        <v>538</v>
      </c>
      <c r="J2" s="617" t="s">
        <v>539</v>
      </c>
      <c r="K2" s="617" t="s">
        <v>540</v>
      </c>
      <c r="L2" s="617" t="s">
        <v>541</v>
      </c>
    </row>
    <row r="3" spans="2:13">
      <c r="B3" s="154" t="s">
        <v>542</v>
      </c>
      <c r="C3" s="273">
        <v>10</v>
      </c>
      <c r="D3" s="273">
        <v>10</v>
      </c>
      <c r="E3" s="273">
        <v>9</v>
      </c>
      <c r="F3" s="273">
        <v>8</v>
      </c>
      <c r="G3" s="619">
        <v>9.25</v>
      </c>
      <c r="H3" s="154">
        <f t="shared" ref="H3:H34" si="0">_xlfn.RANK.EQ(C3,C$3:C$60,0)</f>
        <v>1</v>
      </c>
      <c r="I3" s="154">
        <f t="shared" ref="I3:I34" si="1">_xlfn.RANK.EQ(D3,D$3:D$60,0)</f>
        <v>1</v>
      </c>
      <c r="J3" s="154">
        <f t="shared" ref="J3:J34" si="2">_xlfn.RANK.EQ(E3,E$3:E$60,0)</f>
        <v>6</v>
      </c>
      <c r="K3" s="154">
        <f t="shared" ref="K3:K34" si="3">_xlfn.RANK.EQ(F3,F$3:F$60,0)</f>
        <v>10</v>
      </c>
      <c r="L3" s="154">
        <f t="shared" ref="L3:L34" si="4">_xlfn.RANK.EQ(G3,G$3:G$60,0)</f>
        <v>1</v>
      </c>
      <c r="M3" s="154"/>
    </row>
    <row r="4" spans="2:13">
      <c r="B4" s="154" t="s">
        <v>543</v>
      </c>
      <c r="C4" s="273">
        <v>9</v>
      </c>
      <c r="D4" s="273">
        <v>9</v>
      </c>
      <c r="E4" s="273">
        <v>7</v>
      </c>
      <c r="F4" s="273">
        <v>10</v>
      </c>
      <c r="G4" s="619">
        <v>8.75</v>
      </c>
      <c r="H4" s="154">
        <f t="shared" si="0"/>
        <v>5</v>
      </c>
      <c r="I4" s="154">
        <f t="shared" si="1"/>
        <v>6</v>
      </c>
      <c r="J4" s="154">
        <f t="shared" si="2"/>
        <v>13</v>
      </c>
      <c r="K4" s="154">
        <f t="shared" si="3"/>
        <v>1</v>
      </c>
      <c r="L4" s="154">
        <f t="shared" si="4"/>
        <v>2</v>
      </c>
      <c r="M4" s="154"/>
    </row>
    <row r="5" spans="2:13">
      <c r="B5" s="154" t="s">
        <v>544</v>
      </c>
      <c r="C5" s="273">
        <v>4</v>
      </c>
      <c r="D5" s="273">
        <v>10</v>
      </c>
      <c r="E5" s="273">
        <v>10</v>
      </c>
      <c r="F5" s="273">
        <v>10</v>
      </c>
      <c r="G5" s="619">
        <v>8.5</v>
      </c>
      <c r="H5" s="154">
        <f t="shared" si="0"/>
        <v>32</v>
      </c>
      <c r="I5" s="154">
        <f t="shared" si="1"/>
        <v>1</v>
      </c>
      <c r="J5" s="154">
        <f t="shared" si="2"/>
        <v>1</v>
      </c>
      <c r="K5" s="154">
        <f t="shared" si="3"/>
        <v>1</v>
      </c>
      <c r="L5" s="154">
        <f t="shared" si="4"/>
        <v>3</v>
      </c>
      <c r="M5" s="154"/>
    </row>
    <row r="6" spans="2:13">
      <c r="B6" s="154" t="s">
        <v>545</v>
      </c>
      <c r="C6" s="273">
        <v>3</v>
      </c>
      <c r="D6" s="273">
        <v>9</v>
      </c>
      <c r="E6" s="273">
        <v>10</v>
      </c>
      <c r="F6" s="273">
        <v>8</v>
      </c>
      <c r="G6" s="619">
        <v>7.5</v>
      </c>
      <c r="H6" s="154">
        <f t="shared" si="0"/>
        <v>39</v>
      </c>
      <c r="I6" s="154">
        <f t="shared" si="1"/>
        <v>6</v>
      </c>
      <c r="J6" s="154">
        <f t="shared" si="2"/>
        <v>1</v>
      </c>
      <c r="K6" s="154">
        <f t="shared" si="3"/>
        <v>10</v>
      </c>
      <c r="L6" s="154">
        <f t="shared" si="4"/>
        <v>4</v>
      </c>
      <c r="M6" s="154"/>
    </row>
    <row r="7" spans="2:13">
      <c r="B7" s="154" t="s">
        <v>546</v>
      </c>
      <c r="C7" s="273">
        <v>6</v>
      </c>
      <c r="D7" s="273">
        <v>4</v>
      </c>
      <c r="E7" s="273">
        <v>10</v>
      </c>
      <c r="F7" s="273">
        <v>10</v>
      </c>
      <c r="G7" s="619">
        <v>7.5</v>
      </c>
      <c r="H7" s="154">
        <f t="shared" si="0"/>
        <v>21</v>
      </c>
      <c r="I7" s="154">
        <f t="shared" si="1"/>
        <v>30</v>
      </c>
      <c r="J7" s="154">
        <f t="shared" si="2"/>
        <v>1</v>
      </c>
      <c r="K7" s="154">
        <f t="shared" si="3"/>
        <v>1</v>
      </c>
      <c r="L7" s="154">
        <f t="shared" si="4"/>
        <v>4</v>
      </c>
      <c r="M7" s="154"/>
    </row>
    <row r="8" spans="2:13">
      <c r="B8" s="154" t="s">
        <v>547</v>
      </c>
      <c r="C8" s="273">
        <v>8</v>
      </c>
      <c r="D8" s="273">
        <v>0</v>
      </c>
      <c r="E8" s="273">
        <v>5</v>
      </c>
      <c r="F8" s="273">
        <v>9</v>
      </c>
      <c r="G8" s="619">
        <v>7.3333333329999997</v>
      </c>
      <c r="H8" s="154">
        <f t="shared" si="0"/>
        <v>11</v>
      </c>
      <c r="I8" s="154">
        <f t="shared" si="1"/>
        <v>55</v>
      </c>
      <c r="J8" s="154">
        <f t="shared" si="2"/>
        <v>29</v>
      </c>
      <c r="K8" s="154">
        <f t="shared" si="3"/>
        <v>5</v>
      </c>
      <c r="L8" s="154">
        <f t="shared" si="4"/>
        <v>6</v>
      </c>
      <c r="M8" s="154"/>
    </row>
    <row r="9" spans="2:13">
      <c r="B9" s="154" t="s">
        <v>548</v>
      </c>
      <c r="C9" s="273">
        <v>9</v>
      </c>
      <c r="D9" s="273">
        <v>8</v>
      </c>
      <c r="E9" s="273">
        <v>3</v>
      </c>
      <c r="F9" s="273">
        <v>8</v>
      </c>
      <c r="G9" s="619">
        <v>7</v>
      </c>
      <c r="H9" s="154">
        <f t="shared" si="0"/>
        <v>5</v>
      </c>
      <c r="I9" s="154">
        <f t="shared" si="1"/>
        <v>10</v>
      </c>
      <c r="J9" s="154">
        <f t="shared" si="2"/>
        <v>40</v>
      </c>
      <c r="K9" s="154">
        <f t="shared" si="3"/>
        <v>10</v>
      </c>
      <c r="L9" s="154">
        <f t="shared" si="4"/>
        <v>7</v>
      </c>
      <c r="M9" s="154"/>
    </row>
    <row r="10" spans="2:13">
      <c r="B10" s="156" t="s">
        <v>549</v>
      </c>
      <c r="C10" s="516">
        <v>6</v>
      </c>
      <c r="D10" s="516">
        <v>10</v>
      </c>
      <c r="E10" s="516">
        <v>6</v>
      </c>
      <c r="F10" s="516">
        <v>5</v>
      </c>
      <c r="G10" s="620">
        <v>6.75</v>
      </c>
      <c r="H10" s="156">
        <f t="shared" si="0"/>
        <v>21</v>
      </c>
      <c r="I10" s="156">
        <f t="shared" si="1"/>
        <v>1</v>
      </c>
      <c r="J10" s="156">
        <f t="shared" si="2"/>
        <v>21</v>
      </c>
      <c r="K10" s="156">
        <f t="shared" si="3"/>
        <v>29</v>
      </c>
      <c r="L10" s="156">
        <f t="shared" si="4"/>
        <v>8</v>
      </c>
      <c r="M10" s="154"/>
    </row>
    <row r="11" spans="2:13">
      <c r="B11" s="154" t="s">
        <v>550</v>
      </c>
      <c r="C11" s="273">
        <v>8</v>
      </c>
      <c r="D11" s="273">
        <v>8</v>
      </c>
      <c r="E11" s="273">
        <v>5</v>
      </c>
      <c r="F11" s="273">
        <v>6</v>
      </c>
      <c r="G11" s="619">
        <v>6.75</v>
      </c>
      <c r="H11" s="154">
        <f t="shared" si="0"/>
        <v>11</v>
      </c>
      <c r="I11" s="154">
        <f t="shared" si="1"/>
        <v>10</v>
      </c>
      <c r="J11" s="154">
        <f t="shared" si="2"/>
        <v>29</v>
      </c>
      <c r="K11" s="154">
        <f t="shared" si="3"/>
        <v>20</v>
      </c>
      <c r="L11" s="154">
        <f t="shared" si="4"/>
        <v>8</v>
      </c>
      <c r="M11" s="154"/>
    </row>
    <row r="12" spans="2:13">
      <c r="B12" s="156" t="s">
        <v>551</v>
      </c>
      <c r="C12" s="516">
        <v>4</v>
      </c>
      <c r="D12" s="516">
        <v>10</v>
      </c>
      <c r="E12" s="516">
        <v>9</v>
      </c>
      <c r="F12" s="516">
        <v>3</v>
      </c>
      <c r="G12" s="620">
        <v>6.5</v>
      </c>
      <c r="H12" s="156">
        <f t="shared" si="0"/>
        <v>32</v>
      </c>
      <c r="I12" s="156">
        <f t="shared" si="1"/>
        <v>1</v>
      </c>
      <c r="J12" s="156">
        <f t="shared" si="2"/>
        <v>6</v>
      </c>
      <c r="K12" s="156">
        <f t="shared" si="3"/>
        <v>36</v>
      </c>
      <c r="L12" s="156">
        <f t="shared" si="4"/>
        <v>10</v>
      </c>
      <c r="M12" s="154"/>
    </row>
    <row r="13" spans="2:13">
      <c r="B13" s="154" t="s">
        <v>552</v>
      </c>
      <c r="C13" s="154">
        <v>8</v>
      </c>
      <c r="D13" s="154">
        <v>8</v>
      </c>
      <c r="E13" s="154">
        <v>8</v>
      </c>
      <c r="F13" s="154">
        <v>2</v>
      </c>
      <c r="G13" s="621">
        <v>6.5</v>
      </c>
      <c r="H13" s="154">
        <f t="shared" si="0"/>
        <v>11</v>
      </c>
      <c r="I13" s="154">
        <f t="shared" si="1"/>
        <v>10</v>
      </c>
      <c r="J13" s="154">
        <f t="shared" si="2"/>
        <v>10</v>
      </c>
      <c r="K13" s="154">
        <f t="shared" si="3"/>
        <v>45</v>
      </c>
      <c r="L13" s="154">
        <f t="shared" si="4"/>
        <v>10</v>
      </c>
      <c r="M13" s="154"/>
    </row>
    <row r="14" spans="2:13">
      <c r="B14" s="154" t="s">
        <v>553</v>
      </c>
      <c r="C14" s="154">
        <v>9</v>
      </c>
      <c r="D14" s="154">
        <v>6</v>
      </c>
      <c r="E14" s="154">
        <v>8</v>
      </c>
      <c r="F14" s="154">
        <v>3</v>
      </c>
      <c r="G14" s="621">
        <v>6.5</v>
      </c>
      <c r="H14" s="154">
        <f t="shared" si="0"/>
        <v>5</v>
      </c>
      <c r="I14" s="154">
        <f t="shared" si="1"/>
        <v>17</v>
      </c>
      <c r="J14" s="154">
        <f t="shared" si="2"/>
        <v>10</v>
      </c>
      <c r="K14" s="154">
        <f t="shared" si="3"/>
        <v>36</v>
      </c>
      <c r="L14" s="154">
        <f t="shared" si="4"/>
        <v>10</v>
      </c>
      <c r="M14" s="154"/>
    </row>
    <row r="15" spans="2:13">
      <c r="B15" s="154" t="s">
        <v>554</v>
      </c>
      <c r="C15" s="154">
        <v>8</v>
      </c>
      <c r="D15" s="154">
        <v>4</v>
      </c>
      <c r="E15" s="154">
        <v>6</v>
      </c>
      <c r="F15" s="154">
        <v>8</v>
      </c>
      <c r="G15" s="621">
        <v>6.5</v>
      </c>
      <c r="H15" s="154">
        <f t="shared" si="0"/>
        <v>11</v>
      </c>
      <c r="I15" s="154">
        <f t="shared" si="1"/>
        <v>30</v>
      </c>
      <c r="J15" s="154">
        <f t="shared" si="2"/>
        <v>21</v>
      </c>
      <c r="K15" s="154">
        <f t="shared" si="3"/>
        <v>10</v>
      </c>
      <c r="L15" s="154">
        <f t="shared" si="4"/>
        <v>10</v>
      </c>
      <c r="M15" s="154"/>
    </row>
    <row r="16" spans="2:13">
      <c r="B16" s="154" t="s">
        <v>555</v>
      </c>
      <c r="C16" s="154">
        <v>8</v>
      </c>
      <c r="D16" s="154">
        <v>8</v>
      </c>
      <c r="E16" s="154">
        <v>6</v>
      </c>
      <c r="F16" s="154">
        <v>3</v>
      </c>
      <c r="G16" s="621">
        <v>6.25</v>
      </c>
      <c r="H16" s="154">
        <f t="shared" si="0"/>
        <v>11</v>
      </c>
      <c r="I16" s="154">
        <f t="shared" si="1"/>
        <v>10</v>
      </c>
      <c r="J16" s="154">
        <f t="shared" si="2"/>
        <v>21</v>
      </c>
      <c r="K16" s="154">
        <f t="shared" si="3"/>
        <v>36</v>
      </c>
      <c r="L16" s="154">
        <f t="shared" si="4"/>
        <v>14</v>
      </c>
      <c r="M16" s="154"/>
    </row>
    <row r="17" spans="2:13">
      <c r="B17" s="154" t="s">
        <v>556</v>
      </c>
      <c r="C17" s="154">
        <v>4</v>
      </c>
      <c r="D17" s="154">
        <v>4</v>
      </c>
      <c r="E17" s="154">
        <v>10</v>
      </c>
      <c r="F17" s="154">
        <v>7</v>
      </c>
      <c r="G17" s="621">
        <v>6.25</v>
      </c>
      <c r="H17" s="154">
        <f t="shared" si="0"/>
        <v>32</v>
      </c>
      <c r="I17" s="154">
        <f t="shared" si="1"/>
        <v>30</v>
      </c>
      <c r="J17" s="154">
        <f t="shared" si="2"/>
        <v>1</v>
      </c>
      <c r="K17" s="154">
        <f t="shared" si="3"/>
        <v>17</v>
      </c>
      <c r="L17" s="154">
        <f t="shared" si="4"/>
        <v>14</v>
      </c>
      <c r="M17" s="154"/>
    </row>
    <row r="18" spans="2:13">
      <c r="B18" s="154" t="s">
        <v>557</v>
      </c>
      <c r="C18" s="154">
        <v>9</v>
      </c>
      <c r="D18" s="154">
        <v>8</v>
      </c>
      <c r="E18" s="154">
        <v>4</v>
      </c>
      <c r="F18" s="154">
        <v>3</v>
      </c>
      <c r="G18" s="621">
        <v>6</v>
      </c>
      <c r="H18" s="154">
        <f t="shared" si="0"/>
        <v>5</v>
      </c>
      <c r="I18" s="154">
        <f t="shared" si="1"/>
        <v>10</v>
      </c>
      <c r="J18" s="154">
        <f t="shared" si="2"/>
        <v>34</v>
      </c>
      <c r="K18" s="154">
        <f t="shared" si="3"/>
        <v>36</v>
      </c>
      <c r="L18" s="154">
        <f t="shared" si="4"/>
        <v>16</v>
      </c>
      <c r="M18" s="154"/>
    </row>
    <row r="19" spans="2:13">
      <c r="B19" s="154" t="s">
        <v>558</v>
      </c>
      <c r="C19" s="154">
        <v>2</v>
      </c>
      <c r="D19" s="154">
        <v>8</v>
      </c>
      <c r="E19" s="154">
        <v>7</v>
      </c>
      <c r="F19" s="154">
        <v>7</v>
      </c>
      <c r="G19" s="621">
        <v>6</v>
      </c>
      <c r="H19" s="154">
        <f t="shared" si="0"/>
        <v>46</v>
      </c>
      <c r="I19" s="154">
        <f t="shared" si="1"/>
        <v>10</v>
      </c>
      <c r="J19" s="154">
        <f t="shared" si="2"/>
        <v>13</v>
      </c>
      <c r="K19" s="154">
        <f t="shared" si="3"/>
        <v>17</v>
      </c>
      <c r="L19" s="154">
        <f t="shared" si="4"/>
        <v>16</v>
      </c>
      <c r="M19" s="154"/>
    </row>
    <row r="20" spans="2:13">
      <c r="B20" s="154" t="s">
        <v>559</v>
      </c>
      <c r="C20" s="154">
        <v>5</v>
      </c>
      <c r="D20" s="154">
        <v>6</v>
      </c>
      <c r="E20" s="154">
        <v>4</v>
      </c>
      <c r="F20" s="154">
        <v>9</v>
      </c>
      <c r="G20" s="621">
        <v>6</v>
      </c>
      <c r="H20" s="154">
        <f t="shared" si="0"/>
        <v>28</v>
      </c>
      <c r="I20" s="154">
        <f t="shared" si="1"/>
        <v>17</v>
      </c>
      <c r="J20" s="154">
        <f t="shared" si="2"/>
        <v>34</v>
      </c>
      <c r="K20" s="154">
        <f t="shared" si="3"/>
        <v>5</v>
      </c>
      <c r="L20" s="154">
        <f t="shared" si="4"/>
        <v>16</v>
      </c>
      <c r="M20" s="154"/>
    </row>
    <row r="21" spans="2:13">
      <c r="B21" s="154" t="s">
        <v>560</v>
      </c>
      <c r="C21" s="154">
        <v>3</v>
      </c>
      <c r="D21" s="154">
        <v>10</v>
      </c>
      <c r="E21" s="154">
        <v>6</v>
      </c>
      <c r="F21" s="154">
        <v>4</v>
      </c>
      <c r="G21" s="621">
        <v>5.75</v>
      </c>
      <c r="H21" s="154">
        <f t="shared" si="0"/>
        <v>39</v>
      </c>
      <c r="I21" s="154">
        <f t="shared" si="1"/>
        <v>1</v>
      </c>
      <c r="J21" s="154">
        <f t="shared" si="2"/>
        <v>21</v>
      </c>
      <c r="K21" s="154">
        <f t="shared" si="3"/>
        <v>34</v>
      </c>
      <c r="L21" s="154">
        <f t="shared" si="4"/>
        <v>19</v>
      </c>
      <c r="M21" s="154"/>
    </row>
    <row r="22" spans="2:13">
      <c r="B22" s="154" t="s">
        <v>561</v>
      </c>
      <c r="C22" s="154">
        <v>4</v>
      </c>
      <c r="D22" s="154">
        <v>8</v>
      </c>
      <c r="E22" s="154">
        <v>5</v>
      </c>
      <c r="F22" s="154">
        <v>6</v>
      </c>
      <c r="G22" s="621">
        <v>5.75</v>
      </c>
      <c r="H22" s="154">
        <f t="shared" si="0"/>
        <v>32</v>
      </c>
      <c r="I22" s="154">
        <f t="shared" si="1"/>
        <v>10</v>
      </c>
      <c r="J22" s="154">
        <f t="shared" si="2"/>
        <v>29</v>
      </c>
      <c r="K22" s="154">
        <f t="shared" si="3"/>
        <v>20</v>
      </c>
      <c r="L22" s="154">
        <f t="shared" si="4"/>
        <v>19</v>
      </c>
      <c r="M22" s="154"/>
    </row>
    <row r="23" spans="2:13">
      <c r="B23" s="154" t="s">
        <v>562</v>
      </c>
      <c r="C23" s="154">
        <v>3</v>
      </c>
      <c r="D23" s="154">
        <v>6</v>
      </c>
      <c r="E23" s="154">
        <v>4</v>
      </c>
      <c r="F23" s="154">
        <v>10</v>
      </c>
      <c r="G23" s="621">
        <v>5.75</v>
      </c>
      <c r="H23" s="154">
        <f t="shared" si="0"/>
        <v>39</v>
      </c>
      <c r="I23" s="154">
        <f t="shared" si="1"/>
        <v>17</v>
      </c>
      <c r="J23" s="154">
        <f t="shared" si="2"/>
        <v>34</v>
      </c>
      <c r="K23" s="154">
        <f t="shared" si="3"/>
        <v>1</v>
      </c>
      <c r="L23" s="154">
        <f t="shared" si="4"/>
        <v>19</v>
      </c>
      <c r="M23" s="154"/>
    </row>
    <row r="24" spans="2:13">
      <c r="B24" s="154" t="s">
        <v>563</v>
      </c>
      <c r="C24" s="154">
        <v>6</v>
      </c>
      <c r="D24" s="154">
        <v>5</v>
      </c>
      <c r="E24" s="154">
        <v>9</v>
      </c>
      <c r="F24" s="154">
        <v>3</v>
      </c>
      <c r="G24" s="621">
        <v>5.75</v>
      </c>
      <c r="H24" s="154">
        <f t="shared" si="0"/>
        <v>21</v>
      </c>
      <c r="I24" s="154">
        <f t="shared" si="1"/>
        <v>24</v>
      </c>
      <c r="J24" s="154">
        <f t="shared" si="2"/>
        <v>6</v>
      </c>
      <c r="K24" s="154">
        <f t="shared" si="3"/>
        <v>36</v>
      </c>
      <c r="L24" s="154">
        <f t="shared" si="4"/>
        <v>19</v>
      </c>
      <c r="M24" s="154"/>
    </row>
    <row r="25" spans="2:13">
      <c r="B25" s="154" t="s">
        <v>564</v>
      </c>
      <c r="C25" s="154">
        <v>7</v>
      </c>
      <c r="D25" s="154">
        <v>9</v>
      </c>
      <c r="E25" s="154">
        <v>5</v>
      </c>
      <c r="F25" s="154">
        <v>1</v>
      </c>
      <c r="G25" s="621">
        <v>5.5</v>
      </c>
      <c r="H25" s="154">
        <f t="shared" si="0"/>
        <v>18</v>
      </c>
      <c r="I25" s="154">
        <f t="shared" si="1"/>
        <v>6</v>
      </c>
      <c r="J25" s="154">
        <f t="shared" si="2"/>
        <v>29</v>
      </c>
      <c r="K25" s="154">
        <f t="shared" si="3"/>
        <v>49</v>
      </c>
      <c r="L25" s="154">
        <f t="shared" si="4"/>
        <v>23</v>
      </c>
      <c r="M25" s="154"/>
    </row>
    <row r="26" spans="2:13">
      <c r="B26" s="154" t="s">
        <v>565</v>
      </c>
      <c r="C26" s="154">
        <v>7</v>
      </c>
      <c r="D26" s="154">
        <v>6</v>
      </c>
      <c r="E26" s="154">
        <v>1</v>
      </c>
      <c r="F26" s="154">
        <v>8</v>
      </c>
      <c r="G26" s="621">
        <v>5.5</v>
      </c>
      <c r="H26" s="154">
        <f t="shared" si="0"/>
        <v>18</v>
      </c>
      <c r="I26" s="154">
        <f t="shared" si="1"/>
        <v>17</v>
      </c>
      <c r="J26" s="154">
        <f t="shared" si="2"/>
        <v>53</v>
      </c>
      <c r="K26" s="154">
        <f t="shared" si="3"/>
        <v>10</v>
      </c>
      <c r="L26" s="154">
        <f t="shared" si="4"/>
        <v>23</v>
      </c>
      <c r="M26" s="154"/>
    </row>
    <row r="27" spans="2:13">
      <c r="B27" s="154" t="s">
        <v>566</v>
      </c>
      <c r="C27" s="154">
        <v>9</v>
      </c>
      <c r="D27" s="154">
        <v>5</v>
      </c>
      <c r="E27" s="154">
        <v>6</v>
      </c>
      <c r="F27" s="154">
        <v>2</v>
      </c>
      <c r="G27" s="621">
        <v>5.5</v>
      </c>
      <c r="H27" s="154">
        <f t="shared" si="0"/>
        <v>5</v>
      </c>
      <c r="I27" s="154">
        <f t="shared" si="1"/>
        <v>24</v>
      </c>
      <c r="J27" s="154">
        <f t="shared" si="2"/>
        <v>21</v>
      </c>
      <c r="K27" s="154">
        <f t="shared" si="3"/>
        <v>45</v>
      </c>
      <c r="L27" s="154">
        <f t="shared" si="4"/>
        <v>23</v>
      </c>
      <c r="M27" s="154"/>
    </row>
    <row r="28" spans="2:13">
      <c r="B28" s="154" t="s">
        <v>567</v>
      </c>
      <c r="C28" s="154">
        <v>10</v>
      </c>
      <c r="D28" s="154">
        <v>1</v>
      </c>
      <c r="E28" s="154">
        <v>2</v>
      </c>
      <c r="F28" s="154">
        <v>9</v>
      </c>
      <c r="G28" s="621">
        <v>5.5</v>
      </c>
      <c r="H28" s="154">
        <f t="shared" si="0"/>
        <v>1</v>
      </c>
      <c r="I28" s="154">
        <f t="shared" si="1"/>
        <v>48</v>
      </c>
      <c r="J28" s="154">
        <f t="shared" si="2"/>
        <v>45</v>
      </c>
      <c r="K28" s="154">
        <f t="shared" si="3"/>
        <v>5</v>
      </c>
      <c r="L28" s="154">
        <f t="shared" si="4"/>
        <v>23</v>
      </c>
      <c r="M28" s="154"/>
    </row>
    <row r="29" spans="2:13">
      <c r="B29" s="154" t="s">
        <v>568</v>
      </c>
      <c r="C29" s="154">
        <v>2</v>
      </c>
      <c r="D29" s="154">
        <v>6</v>
      </c>
      <c r="E29" s="154">
        <v>7</v>
      </c>
      <c r="F29" s="154">
        <v>6</v>
      </c>
      <c r="G29" s="621">
        <v>5.25</v>
      </c>
      <c r="H29" s="154">
        <f t="shared" si="0"/>
        <v>46</v>
      </c>
      <c r="I29" s="154">
        <f t="shared" si="1"/>
        <v>17</v>
      </c>
      <c r="J29" s="154">
        <f t="shared" si="2"/>
        <v>13</v>
      </c>
      <c r="K29" s="154">
        <f t="shared" si="3"/>
        <v>20</v>
      </c>
      <c r="L29" s="154">
        <f t="shared" si="4"/>
        <v>27</v>
      </c>
      <c r="M29" s="154"/>
    </row>
    <row r="30" spans="2:13">
      <c r="B30" s="154" t="s">
        <v>569</v>
      </c>
      <c r="C30" s="154">
        <v>6</v>
      </c>
      <c r="D30" s="154">
        <v>2</v>
      </c>
      <c r="E30" s="154">
        <v>4</v>
      </c>
      <c r="F30" s="154">
        <v>9</v>
      </c>
      <c r="G30" s="621">
        <v>5.25</v>
      </c>
      <c r="H30" s="154">
        <f t="shared" si="0"/>
        <v>21</v>
      </c>
      <c r="I30" s="154">
        <f t="shared" si="1"/>
        <v>43</v>
      </c>
      <c r="J30" s="154">
        <f t="shared" si="2"/>
        <v>34</v>
      </c>
      <c r="K30" s="154">
        <f t="shared" si="3"/>
        <v>5</v>
      </c>
      <c r="L30" s="154">
        <f t="shared" si="4"/>
        <v>27</v>
      </c>
      <c r="M30" s="154"/>
    </row>
    <row r="31" spans="2:13">
      <c r="B31" s="154" t="s">
        <v>570</v>
      </c>
      <c r="C31" s="154">
        <v>8</v>
      </c>
      <c r="D31" s="154">
        <v>5</v>
      </c>
      <c r="E31" s="154">
        <v>6</v>
      </c>
      <c r="F31" s="154">
        <v>1</v>
      </c>
      <c r="G31" s="621">
        <v>5</v>
      </c>
      <c r="H31" s="154">
        <f t="shared" si="0"/>
        <v>11</v>
      </c>
      <c r="I31" s="154">
        <f t="shared" si="1"/>
        <v>24</v>
      </c>
      <c r="J31" s="154">
        <f t="shared" si="2"/>
        <v>21</v>
      </c>
      <c r="K31" s="154">
        <f t="shared" si="3"/>
        <v>49</v>
      </c>
      <c r="L31" s="154">
        <f t="shared" si="4"/>
        <v>29</v>
      </c>
      <c r="M31" s="154"/>
    </row>
    <row r="32" spans="2:13">
      <c r="B32" s="154" t="s">
        <v>571</v>
      </c>
      <c r="C32" s="154">
        <v>3</v>
      </c>
      <c r="D32" s="154">
        <v>5</v>
      </c>
      <c r="E32" s="154">
        <v>10</v>
      </c>
      <c r="F32" s="154">
        <v>2</v>
      </c>
      <c r="G32" s="621">
        <v>5</v>
      </c>
      <c r="H32" s="154">
        <f t="shared" si="0"/>
        <v>39</v>
      </c>
      <c r="I32" s="154">
        <f t="shared" si="1"/>
        <v>24</v>
      </c>
      <c r="J32" s="154">
        <f t="shared" si="2"/>
        <v>1</v>
      </c>
      <c r="K32" s="154">
        <f t="shared" si="3"/>
        <v>45</v>
      </c>
      <c r="L32" s="154">
        <f t="shared" si="4"/>
        <v>29</v>
      </c>
      <c r="M32" s="154"/>
    </row>
    <row r="33" spans="2:13">
      <c r="B33" s="154" t="s">
        <v>572</v>
      </c>
      <c r="C33" s="154">
        <v>1</v>
      </c>
      <c r="D33" s="154">
        <v>5</v>
      </c>
      <c r="E33" s="154">
        <v>8</v>
      </c>
      <c r="F33" s="154">
        <v>6</v>
      </c>
      <c r="G33" s="621">
        <v>5</v>
      </c>
      <c r="H33" s="154">
        <f t="shared" si="0"/>
        <v>52</v>
      </c>
      <c r="I33" s="154">
        <f t="shared" si="1"/>
        <v>24</v>
      </c>
      <c r="J33" s="154">
        <f t="shared" si="2"/>
        <v>10</v>
      </c>
      <c r="K33" s="154">
        <f t="shared" si="3"/>
        <v>20</v>
      </c>
      <c r="L33" s="154">
        <f t="shared" si="4"/>
        <v>29</v>
      </c>
      <c r="M33" s="154"/>
    </row>
    <row r="34" spans="2:13">
      <c r="B34" s="154" t="s">
        <v>573</v>
      </c>
      <c r="C34" s="154">
        <v>5</v>
      </c>
      <c r="D34" s="154">
        <v>4</v>
      </c>
      <c r="E34" s="154">
        <v>7</v>
      </c>
      <c r="F34" s="154">
        <v>3</v>
      </c>
      <c r="G34" s="621">
        <v>4.75</v>
      </c>
      <c r="H34" s="154">
        <f t="shared" si="0"/>
        <v>28</v>
      </c>
      <c r="I34" s="154">
        <f t="shared" si="1"/>
        <v>30</v>
      </c>
      <c r="J34" s="154">
        <f t="shared" si="2"/>
        <v>13</v>
      </c>
      <c r="K34" s="154">
        <f t="shared" si="3"/>
        <v>36</v>
      </c>
      <c r="L34" s="154">
        <f t="shared" si="4"/>
        <v>32</v>
      </c>
      <c r="M34" s="154"/>
    </row>
    <row r="35" spans="2:13">
      <c r="B35" s="154" t="s">
        <v>574</v>
      </c>
      <c r="C35" s="154">
        <v>2</v>
      </c>
      <c r="D35" s="154">
        <v>4</v>
      </c>
      <c r="E35" s="154">
        <v>4</v>
      </c>
      <c r="F35" s="154">
        <v>9</v>
      </c>
      <c r="G35" s="621">
        <v>4.75</v>
      </c>
      <c r="H35" s="154">
        <f t="shared" ref="H35:H60" si="5">_xlfn.RANK.EQ(C35,C$3:C$60,0)</f>
        <v>46</v>
      </c>
      <c r="I35" s="154">
        <f t="shared" ref="I35:I60" si="6">_xlfn.RANK.EQ(D35,D$3:D$60,0)</f>
        <v>30</v>
      </c>
      <c r="J35" s="154">
        <f t="shared" ref="J35:J60" si="7">_xlfn.RANK.EQ(E35,E$3:E$60,0)</f>
        <v>34</v>
      </c>
      <c r="K35" s="154">
        <f t="shared" ref="K35:K60" si="8">_xlfn.RANK.EQ(F35,F$3:F$60,0)</f>
        <v>5</v>
      </c>
      <c r="L35" s="154">
        <f t="shared" ref="L35:L60" si="9">_xlfn.RANK.EQ(G35,G$3:G$60,0)</f>
        <v>32</v>
      </c>
      <c r="M35" s="154"/>
    </row>
    <row r="36" spans="2:13">
      <c r="B36" s="154" t="s">
        <v>575</v>
      </c>
      <c r="C36" s="154">
        <v>3</v>
      </c>
      <c r="D36" s="154">
        <v>9</v>
      </c>
      <c r="E36" s="154">
        <v>3</v>
      </c>
      <c r="F36" s="154">
        <v>3</v>
      </c>
      <c r="G36" s="621">
        <v>4.5</v>
      </c>
      <c r="H36" s="154">
        <f t="shared" si="5"/>
        <v>39</v>
      </c>
      <c r="I36" s="154">
        <f t="shared" si="6"/>
        <v>6</v>
      </c>
      <c r="J36" s="154">
        <f t="shared" si="7"/>
        <v>40</v>
      </c>
      <c r="K36" s="154">
        <f t="shared" si="8"/>
        <v>36</v>
      </c>
      <c r="L36" s="154">
        <f t="shared" si="9"/>
        <v>34</v>
      </c>
      <c r="M36" s="154"/>
    </row>
    <row r="37" spans="2:13">
      <c r="B37" s="154" t="s">
        <v>576</v>
      </c>
      <c r="C37" s="154">
        <v>1</v>
      </c>
      <c r="D37" s="154">
        <v>5</v>
      </c>
      <c r="E37" s="154">
        <v>7</v>
      </c>
      <c r="F37" s="154">
        <v>5</v>
      </c>
      <c r="G37" s="621">
        <v>4.5</v>
      </c>
      <c r="H37" s="154">
        <f t="shared" si="5"/>
        <v>52</v>
      </c>
      <c r="I37" s="154">
        <f t="shared" si="6"/>
        <v>24</v>
      </c>
      <c r="J37" s="154">
        <f t="shared" si="7"/>
        <v>13</v>
      </c>
      <c r="K37" s="154">
        <f t="shared" si="8"/>
        <v>29</v>
      </c>
      <c r="L37" s="154">
        <f t="shared" si="9"/>
        <v>34</v>
      </c>
      <c r="M37" s="154"/>
    </row>
    <row r="38" spans="2:13">
      <c r="B38" s="154" t="s">
        <v>577</v>
      </c>
      <c r="C38" s="154">
        <v>8</v>
      </c>
      <c r="D38" s="154">
        <v>3</v>
      </c>
      <c r="E38" s="154">
        <v>2</v>
      </c>
      <c r="F38" s="154">
        <v>5</v>
      </c>
      <c r="G38" s="621">
        <v>4.5</v>
      </c>
      <c r="H38" s="154">
        <f t="shared" si="5"/>
        <v>11</v>
      </c>
      <c r="I38" s="154">
        <f t="shared" si="6"/>
        <v>37</v>
      </c>
      <c r="J38" s="154">
        <f t="shared" si="7"/>
        <v>45</v>
      </c>
      <c r="K38" s="154">
        <f t="shared" si="8"/>
        <v>29</v>
      </c>
      <c r="L38" s="154">
        <f t="shared" si="9"/>
        <v>34</v>
      </c>
      <c r="M38" s="154"/>
    </row>
    <row r="39" spans="2:13">
      <c r="B39" s="154" t="s">
        <v>578</v>
      </c>
      <c r="C39" s="154">
        <v>6</v>
      </c>
      <c r="D39" s="154">
        <v>3</v>
      </c>
      <c r="E39" s="154">
        <v>7</v>
      </c>
      <c r="F39" s="154">
        <v>2</v>
      </c>
      <c r="G39" s="621">
        <v>4.5</v>
      </c>
      <c r="H39" s="154">
        <f t="shared" si="5"/>
        <v>21</v>
      </c>
      <c r="I39" s="154">
        <f t="shared" si="6"/>
        <v>37</v>
      </c>
      <c r="J39" s="154">
        <f t="shared" si="7"/>
        <v>13</v>
      </c>
      <c r="K39" s="154">
        <f t="shared" si="8"/>
        <v>45</v>
      </c>
      <c r="L39" s="154">
        <f t="shared" si="9"/>
        <v>34</v>
      </c>
      <c r="M39" s="154"/>
    </row>
    <row r="40" spans="2:13">
      <c r="B40" s="154" t="s">
        <v>579</v>
      </c>
      <c r="C40" s="154">
        <v>5</v>
      </c>
      <c r="D40" s="154">
        <v>3</v>
      </c>
      <c r="E40" s="154">
        <v>9</v>
      </c>
      <c r="F40" s="154">
        <v>1</v>
      </c>
      <c r="G40" s="621">
        <v>4.5</v>
      </c>
      <c r="H40" s="154">
        <f t="shared" si="5"/>
        <v>28</v>
      </c>
      <c r="I40" s="154">
        <f t="shared" si="6"/>
        <v>37</v>
      </c>
      <c r="J40" s="154">
        <f t="shared" si="7"/>
        <v>6</v>
      </c>
      <c r="K40" s="154">
        <f t="shared" si="8"/>
        <v>49</v>
      </c>
      <c r="L40" s="154">
        <f t="shared" si="9"/>
        <v>34</v>
      </c>
      <c r="M40" s="154"/>
    </row>
    <row r="41" spans="2:13">
      <c r="B41" s="154" t="s">
        <v>580</v>
      </c>
      <c r="C41" s="154">
        <v>1</v>
      </c>
      <c r="D41" s="154">
        <v>3</v>
      </c>
      <c r="E41" s="154">
        <v>6</v>
      </c>
      <c r="F41" s="154">
        <v>8</v>
      </c>
      <c r="G41" s="621">
        <v>4.5</v>
      </c>
      <c r="H41" s="154">
        <f t="shared" si="5"/>
        <v>52</v>
      </c>
      <c r="I41" s="154">
        <f t="shared" si="6"/>
        <v>37</v>
      </c>
      <c r="J41" s="154">
        <f t="shared" si="7"/>
        <v>21</v>
      </c>
      <c r="K41" s="154">
        <f t="shared" si="8"/>
        <v>10</v>
      </c>
      <c r="L41" s="154">
        <f t="shared" si="9"/>
        <v>34</v>
      </c>
      <c r="M41" s="154"/>
    </row>
    <row r="42" spans="2:13">
      <c r="B42" s="154" t="s">
        <v>581</v>
      </c>
      <c r="C42" s="154">
        <v>10</v>
      </c>
      <c r="D42" s="154">
        <v>1</v>
      </c>
      <c r="E42" s="154">
        <v>1</v>
      </c>
      <c r="F42" s="154">
        <v>6</v>
      </c>
      <c r="G42" s="621">
        <v>4.5</v>
      </c>
      <c r="H42" s="154">
        <f t="shared" si="5"/>
        <v>1</v>
      </c>
      <c r="I42" s="154">
        <f t="shared" si="6"/>
        <v>48</v>
      </c>
      <c r="J42" s="154">
        <f t="shared" si="7"/>
        <v>53</v>
      </c>
      <c r="K42" s="154">
        <f t="shared" si="8"/>
        <v>20</v>
      </c>
      <c r="L42" s="154">
        <f t="shared" si="9"/>
        <v>34</v>
      </c>
      <c r="M42" s="154"/>
    </row>
    <row r="43" spans="2:13">
      <c r="B43" s="154" t="s">
        <v>582</v>
      </c>
      <c r="C43" s="154">
        <v>1</v>
      </c>
      <c r="D43" s="154">
        <v>0</v>
      </c>
      <c r="E43" s="154">
        <v>7</v>
      </c>
      <c r="F43" s="154">
        <v>5</v>
      </c>
      <c r="G43" s="621">
        <v>4.3333333329999997</v>
      </c>
      <c r="H43" s="154">
        <f t="shared" si="5"/>
        <v>52</v>
      </c>
      <c r="I43" s="154">
        <f t="shared" si="6"/>
        <v>55</v>
      </c>
      <c r="J43" s="154">
        <f t="shared" si="7"/>
        <v>13</v>
      </c>
      <c r="K43" s="154">
        <f t="shared" si="8"/>
        <v>29</v>
      </c>
      <c r="L43" s="154">
        <f t="shared" si="9"/>
        <v>41</v>
      </c>
      <c r="M43" s="154"/>
    </row>
    <row r="44" spans="2:13">
      <c r="B44" s="154" t="s">
        <v>583</v>
      </c>
      <c r="C44" s="154">
        <v>4</v>
      </c>
      <c r="D44" s="154">
        <v>2</v>
      </c>
      <c r="E44" s="154">
        <v>3</v>
      </c>
      <c r="F44" s="154">
        <v>8</v>
      </c>
      <c r="G44" s="621">
        <v>4.25</v>
      </c>
      <c r="H44" s="154">
        <f t="shared" si="5"/>
        <v>32</v>
      </c>
      <c r="I44" s="154">
        <f t="shared" si="6"/>
        <v>43</v>
      </c>
      <c r="J44" s="154">
        <f t="shared" si="7"/>
        <v>40</v>
      </c>
      <c r="K44" s="154">
        <f t="shared" si="8"/>
        <v>10</v>
      </c>
      <c r="L44" s="154">
        <f t="shared" si="9"/>
        <v>42</v>
      </c>
      <c r="M44" s="154"/>
    </row>
    <row r="45" spans="2:13">
      <c r="B45" s="154" t="s">
        <v>584</v>
      </c>
      <c r="C45" s="154">
        <v>2</v>
      </c>
      <c r="D45" s="154">
        <v>6</v>
      </c>
      <c r="E45" s="154">
        <v>2</v>
      </c>
      <c r="F45" s="154">
        <v>6</v>
      </c>
      <c r="G45" s="621">
        <v>4</v>
      </c>
      <c r="H45" s="154">
        <f t="shared" si="5"/>
        <v>46</v>
      </c>
      <c r="I45" s="154">
        <f t="shared" si="6"/>
        <v>17</v>
      </c>
      <c r="J45" s="154">
        <f t="shared" si="7"/>
        <v>45</v>
      </c>
      <c r="K45" s="154">
        <f t="shared" si="8"/>
        <v>20</v>
      </c>
      <c r="L45" s="154">
        <f t="shared" si="9"/>
        <v>43</v>
      </c>
      <c r="M45" s="154"/>
    </row>
    <row r="46" spans="2:13">
      <c r="B46" s="154" t="s">
        <v>585</v>
      </c>
      <c r="C46" s="154">
        <v>10</v>
      </c>
      <c r="D46" s="154">
        <v>3</v>
      </c>
      <c r="E46" s="154">
        <v>2</v>
      </c>
      <c r="F46" s="154">
        <v>1</v>
      </c>
      <c r="G46" s="621">
        <v>4</v>
      </c>
      <c r="H46" s="154">
        <f t="shared" si="5"/>
        <v>1</v>
      </c>
      <c r="I46" s="154">
        <f t="shared" si="6"/>
        <v>37</v>
      </c>
      <c r="J46" s="154">
        <f t="shared" si="7"/>
        <v>45</v>
      </c>
      <c r="K46" s="154">
        <f t="shared" si="8"/>
        <v>49</v>
      </c>
      <c r="L46" s="154">
        <f t="shared" si="9"/>
        <v>43</v>
      </c>
      <c r="M46" s="154"/>
    </row>
    <row r="47" spans="2:13">
      <c r="B47" s="154" t="s">
        <v>586</v>
      </c>
      <c r="C47" s="154">
        <v>2</v>
      </c>
      <c r="D47" s="154">
        <v>1</v>
      </c>
      <c r="E47" s="154">
        <v>6</v>
      </c>
      <c r="F47" s="154">
        <v>7</v>
      </c>
      <c r="G47" s="621">
        <v>4</v>
      </c>
      <c r="H47" s="154">
        <f t="shared" si="5"/>
        <v>46</v>
      </c>
      <c r="I47" s="154">
        <f t="shared" si="6"/>
        <v>48</v>
      </c>
      <c r="J47" s="154">
        <f t="shared" si="7"/>
        <v>21</v>
      </c>
      <c r="K47" s="154">
        <f t="shared" si="8"/>
        <v>17</v>
      </c>
      <c r="L47" s="154">
        <f t="shared" si="9"/>
        <v>43</v>
      </c>
      <c r="M47" s="154"/>
    </row>
    <row r="48" spans="2:13">
      <c r="B48" s="154" t="s">
        <v>587</v>
      </c>
      <c r="C48" s="154">
        <v>4</v>
      </c>
      <c r="D48" s="154">
        <v>0</v>
      </c>
      <c r="E48" s="154">
        <v>2</v>
      </c>
      <c r="F48" s="154">
        <v>6</v>
      </c>
      <c r="G48" s="621">
        <v>4</v>
      </c>
      <c r="H48" s="154">
        <f t="shared" si="5"/>
        <v>32</v>
      </c>
      <c r="I48" s="154">
        <f t="shared" si="6"/>
        <v>55</v>
      </c>
      <c r="J48" s="154">
        <f t="shared" si="7"/>
        <v>45</v>
      </c>
      <c r="K48" s="154">
        <f t="shared" si="8"/>
        <v>20</v>
      </c>
      <c r="L48" s="154">
        <f t="shared" si="9"/>
        <v>43</v>
      </c>
      <c r="M48" s="154"/>
    </row>
    <row r="49" spans="2:13">
      <c r="B49" s="154" t="s">
        <v>588</v>
      </c>
      <c r="C49" s="154">
        <v>7</v>
      </c>
      <c r="D49" s="154">
        <v>4</v>
      </c>
      <c r="E49" s="154">
        <v>3</v>
      </c>
      <c r="F49" s="154">
        <v>1</v>
      </c>
      <c r="G49" s="621">
        <v>3.75</v>
      </c>
      <c r="H49" s="154">
        <f t="shared" si="5"/>
        <v>18</v>
      </c>
      <c r="I49" s="154">
        <f t="shared" si="6"/>
        <v>30</v>
      </c>
      <c r="J49" s="154">
        <f t="shared" si="7"/>
        <v>40</v>
      </c>
      <c r="K49" s="154">
        <f t="shared" si="8"/>
        <v>49</v>
      </c>
      <c r="L49" s="154">
        <f t="shared" si="9"/>
        <v>47</v>
      </c>
      <c r="M49" s="154"/>
    </row>
    <row r="50" spans="2:13">
      <c r="B50" s="154" t="s">
        <v>589</v>
      </c>
      <c r="C50" s="154">
        <v>6</v>
      </c>
      <c r="D50" s="154">
        <v>3</v>
      </c>
      <c r="E50" s="154">
        <v>5</v>
      </c>
      <c r="F50" s="154">
        <v>1</v>
      </c>
      <c r="G50" s="621">
        <v>3.75</v>
      </c>
      <c r="H50" s="154">
        <f t="shared" si="5"/>
        <v>21</v>
      </c>
      <c r="I50" s="154">
        <f t="shared" si="6"/>
        <v>37</v>
      </c>
      <c r="J50" s="154">
        <f t="shared" si="7"/>
        <v>29</v>
      </c>
      <c r="K50" s="154">
        <f t="shared" si="8"/>
        <v>49</v>
      </c>
      <c r="L50" s="154">
        <f t="shared" si="9"/>
        <v>47</v>
      </c>
      <c r="M50" s="154"/>
    </row>
    <row r="51" spans="2:13">
      <c r="B51" s="154" t="s">
        <v>590</v>
      </c>
      <c r="C51" s="154">
        <v>9</v>
      </c>
      <c r="D51" s="154">
        <v>2</v>
      </c>
      <c r="E51" s="154">
        <v>1</v>
      </c>
      <c r="F51" s="154">
        <v>3</v>
      </c>
      <c r="G51" s="621">
        <v>3.75</v>
      </c>
      <c r="H51" s="154">
        <f t="shared" si="5"/>
        <v>5</v>
      </c>
      <c r="I51" s="154">
        <f t="shared" si="6"/>
        <v>43</v>
      </c>
      <c r="J51" s="154">
        <f t="shared" si="7"/>
        <v>53</v>
      </c>
      <c r="K51" s="154">
        <f t="shared" si="8"/>
        <v>36</v>
      </c>
      <c r="L51" s="154">
        <f t="shared" si="9"/>
        <v>47</v>
      </c>
      <c r="M51" s="154"/>
    </row>
    <row r="52" spans="2:13">
      <c r="B52" s="156" t="s">
        <v>591</v>
      </c>
      <c r="C52" s="156">
        <v>3</v>
      </c>
      <c r="D52" s="156">
        <v>6</v>
      </c>
      <c r="E52" s="156">
        <v>4</v>
      </c>
      <c r="F52" s="156">
        <v>1</v>
      </c>
      <c r="G52" s="622">
        <v>3.5</v>
      </c>
      <c r="H52" s="156">
        <f t="shared" si="5"/>
        <v>39</v>
      </c>
      <c r="I52" s="156">
        <f t="shared" si="6"/>
        <v>17</v>
      </c>
      <c r="J52" s="156">
        <f t="shared" si="7"/>
        <v>34</v>
      </c>
      <c r="K52" s="156">
        <f t="shared" si="8"/>
        <v>49</v>
      </c>
      <c r="L52" s="156">
        <f t="shared" si="9"/>
        <v>50</v>
      </c>
      <c r="M52" s="154"/>
    </row>
    <row r="53" spans="2:13">
      <c r="B53" s="154" t="s">
        <v>592</v>
      </c>
      <c r="C53" s="154">
        <v>1</v>
      </c>
      <c r="D53" s="154">
        <v>4</v>
      </c>
      <c r="E53" s="154">
        <v>7</v>
      </c>
      <c r="F53" s="154">
        <v>1</v>
      </c>
      <c r="G53" s="621">
        <v>3.25</v>
      </c>
      <c r="H53" s="154">
        <f t="shared" si="5"/>
        <v>52</v>
      </c>
      <c r="I53" s="154">
        <f t="shared" si="6"/>
        <v>30</v>
      </c>
      <c r="J53" s="154">
        <f t="shared" si="7"/>
        <v>13</v>
      </c>
      <c r="K53" s="154">
        <f t="shared" si="8"/>
        <v>49</v>
      </c>
      <c r="L53" s="154">
        <f t="shared" si="9"/>
        <v>51</v>
      </c>
      <c r="M53" s="154"/>
    </row>
    <row r="54" spans="2:13">
      <c r="B54" s="154" t="s">
        <v>593</v>
      </c>
      <c r="C54" s="154">
        <v>6</v>
      </c>
      <c r="D54" s="154">
        <v>1</v>
      </c>
      <c r="E54" s="154">
        <v>1</v>
      </c>
      <c r="F54" s="154">
        <v>5</v>
      </c>
      <c r="G54" s="621">
        <v>3.25</v>
      </c>
      <c r="H54" s="154">
        <f t="shared" si="5"/>
        <v>21</v>
      </c>
      <c r="I54" s="154">
        <f t="shared" si="6"/>
        <v>48</v>
      </c>
      <c r="J54" s="154">
        <f t="shared" si="7"/>
        <v>53</v>
      </c>
      <c r="K54" s="154">
        <f t="shared" si="8"/>
        <v>29</v>
      </c>
      <c r="L54" s="154">
        <f t="shared" si="9"/>
        <v>51</v>
      </c>
      <c r="M54" s="154"/>
    </row>
    <row r="55" spans="2:13">
      <c r="B55" s="156" t="s">
        <v>594</v>
      </c>
      <c r="C55" s="156">
        <v>4</v>
      </c>
      <c r="D55" s="156">
        <v>2</v>
      </c>
      <c r="E55" s="156">
        <v>3</v>
      </c>
      <c r="F55" s="156">
        <v>3</v>
      </c>
      <c r="G55" s="622">
        <v>3</v>
      </c>
      <c r="H55" s="156">
        <f t="shared" si="5"/>
        <v>32</v>
      </c>
      <c r="I55" s="156">
        <f t="shared" si="6"/>
        <v>43</v>
      </c>
      <c r="J55" s="156">
        <f t="shared" si="7"/>
        <v>40</v>
      </c>
      <c r="K55" s="156">
        <f t="shared" si="8"/>
        <v>36</v>
      </c>
      <c r="L55" s="156">
        <f t="shared" si="9"/>
        <v>53</v>
      </c>
      <c r="M55" s="154"/>
    </row>
    <row r="56" spans="2:13">
      <c r="B56" s="154" t="s">
        <v>595</v>
      </c>
      <c r="C56" s="154">
        <v>2</v>
      </c>
      <c r="D56" s="154">
        <v>2</v>
      </c>
      <c r="E56" s="154">
        <v>2</v>
      </c>
      <c r="F56" s="154">
        <v>6</v>
      </c>
      <c r="G56" s="621">
        <v>3</v>
      </c>
      <c r="H56" s="154">
        <f t="shared" si="5"/>
        <v>46</v>
      </c>
      <c r="I56" s="154">
        <f t="shared" si="6"/>
        <v>43</v>
      </c>
      <c r="J56" s="154">
        <f t="shared" si="7"/>
        <v>45</v>
      </c>
      <c r="K56" s="154">
        <f t="shared" si="8"/>
        <v>20</v>
      </c>
      <c r="L56" s="154">
        <f t="shared" si="9"/>
        <v>53</v>
      </c>
      <c r="M56" s="154"/>
    </row>
    <row r="57" spans="2:13">
      <c r="B57" s="154" t="s">
        <v>596</v>
      </c>
      <c r="C57" s="154">
        <v>3</v>
      </c>
      <c r="D57" s="154">
        <v>1</v>
      </c>
      <c r="E57" s="154">
        <v>1</v>
      </c>
      <c r="F57" s="154">
        <v>6</v>
      </c>
      <c r="G57" s="621">
        <v>2.75</v>
      </c>
      <c r="H57" s="154">
        <f t="shared" si="5"/>
        <v>39</v>
      </c>
      <c r="I57" s="154">
        <f t="shared" si="6"/>
        <v>48</v>
      </c>
      <c r="J57" s="154">
        <f t="shared" si="7"/>
        <v>53</v>
      </c>
      <c r="K57" s="154">
        <f t="shared" si="8"/>
        <v>20</v>
      </c>
      <c r="L57" s="154">
        <f t="shared" si="9"/>
        <v>55</v>
      </c>
      <c r="M57" s="154"/>
    </row>
    <row r="58" spans="2:13">
      <c r="B58" s="154" t="s">
        <v>597</v>
      </c>
      <c r="C58" s="154">
        <v>5</v>
      </c>
      <c r="D58" s="154">
        <v>1</v>
      </c>
      <c r="E58" s="154">
        <v>2</v>
      </c>
      <c r="F58" s="154">
        <v>1</v>
      </c>
      <c r="G58" s="621">
        <v>2.25</v>
      </c>
      <c r="H58" s="154">
        <f t="shared" si="5"/>
        <v>28</v>
      </c>
      <c r="I58" s="154">
        <f t="shared" si="6"/>
        <v>48</v>
      </c>
      <c r="J58" s="154">
        <f t="shared" si="7"/>
        <v>45</v>
      </c>
      <c r="K58" s="154">
        <f t="shared" si="8"/>
        <v>49</v>
      </c>
      <c r="L58" s="154">
        <f t="shared" si="9"/>
        <v>56</v>
      </c>
      <c r="M58" s="154"/>
    </row>
    <row r="59" spans="2:13">
      <c r="B59" s="154" t="s">
        <v>575</v>
      </c>
      <c r="C59" s="154">
        <v>0</v>
      </c>
      <c r="D59" s="154">
        <v>0</v>
      </c>
      <c r="E59" s="154">
        <v>2</v>
      </c>
      <c r="F59" s="154">
        <v>0</v>
      </c>
      <c r="G59" s="621">
        <v>2</v>
      </c>
      <c r="H59" s="154">
        <f t="shared" si="5"/>
        <v>58</v>
      </c>
      <c r="I59" s="154">
        <f t="shared" si="6"/>
        <v>55</v>
      </c>
      <c r="J59" s="154">
        <f t="shared" si="7"/>
        <v>45</v>
      </c>
      <c r="K59" s="154">
        <f t="shared" si="8"/>
        <v>58</v>
      </c>
      <c r="L59" s="154">
        <f t="shared" si="9"/>
        <v>57</v>
      </c>
      <c r="M59" s="154"/>
    </row>
    <row r="60" spans="2:13">
      <c r="B60" s="154" t="s">
        <v>598</v>
      </c>
      <c r="C60" s="154">
        <v>1</v>
      </c>
      <c r="D60" s="154">
        <v>1</v>
      </c>
      <c r="E60" s="154">
        <v>1</v>
      </c>
      <c r="F60" s="154">
        <v>4</v>
      </c>
      <c r="G60" s="621">
        <v>1.75</v>
      </c>
      <c r="H60" s="154">
        <f t="shared" si="5"/>
        <v>52</v>
      </c>
      <c r="I60" s="154">
        <f t="shared" si="6"/>
        <v>48</v>
      </c>
      <c r="J60" s="154">
        <f t="shared" si="7"/>
        <v>53</v>
      </c>
      <c r="K60" s="154">
        <f t="shared" si="8"/>
        <v>34</v>
      </c>
      <c r="L60" s="154">
        <f t="shared" si="9"/>
        <v>58</v>
      </c>
      <c r="M60" s="154"/>
    </row>
    <row r="61" spans="2:13">
      <c r="B61" s="154"/>
      <c r="C61" s="154"/>
      <c r="D61" s="154"/>
      <c r="E61" s="154"/>
      <c r="F61" s="154"/>
      <c r="G61" s="621"/>
      <c r="H61" s="154"/>
      <c r="I61" s="154"/>
      <c r="J61" s="154"/>
      <c r="K61" s="154"/>
      <c r="L61" s="154"/>
      <c r="M61" s="154"/>
    </row>
    <row r="62" spans="2:13">
      <c r="B62" s="154"/>
      <c r="C62" s="154"/>
      <c r="D62" s="154"/>
      <c r="E62" s="154"/>
      <c r="F62" s="154"/>
      <c r="G62" s="621"/>
      <c r="H62" s="154"/>
      <c r="I62" s="154"/>
      <c r="J62" s="154"/>
      <c r="K62" s="154"/>
      <c r="L62" s="154"/>
      <c r="M62" s="154"/>
    </row>
    <row r="63" spans="2:13">
      <c r="B63" s="154"/>
      <c r="C63" s="154"/>
      <c r="D63" s="154"/>
      <c r="E63" s="154"/>
      <c r="F63" s="154"/>
      <c r="G63" s="621"/>
      <c r="H63" s="154"/>
      <c r="I63" s="154"/>
      <c r="J63" s="154"/>
      <c r="K63" s="154"/>
      <c r="L63" s="154"/>
      <c r="M63" s="154"/>
    </row>
    <row r="64" spans="2:13">
      <c r="B64" s="154"/>
      <c r="C64" s="154"/>
      <c r="D64" s="154"/>
      <c r="E64" s="154"/>
      <c r="F64" s="154"/>
      <c r="G64" s="621"/>
      <c r="H64" s="154"/>
      <c r="I64" s="154"/>
      <c r="J64" s="154"/>
      <c r="K64" s="154"/>
      <c r="L64" s="154"/>
      <c r="M64" s="154"/>
    </row>
    <row r="65" spans="2:13">
      <c r="B65" s="154"/>
      <c r="C65" s="154"/>
      <c r="D65" s="154"/>
      <c r="E65" s="154"/>
      <c r="F65" s="154"/>
      <c r="G65" s="621"/>
      <c r="H65" s="154"/>
      <c r="I65" s="154"/>
      <c r="J65" s="154"/>
      <c r="K65" s="154"/>
      <c r="L65" s="154"/>
      <c r="M65" s="15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Kshitiz Udainiya</dc:creator>
  <cp:keywords/>
  <dc:description/>
  <cp:lastModifiedBy/>
  <cp:revision/>
  <dcterms:created xsi:type="dcterms:W3CDTF">2024-11-30T20:51:14Z</dcterms:created>
  <dcterms:modified xsi:type="dcterms:W3CDTF">2025-04-29T07:17:49Z</dcterms:modified>
  <cp:category/>
  <cp:contentStatus/>
</cp:coreProperties>
</file>