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88\Desktop\New folder\"/>
    </mc:Choice>
  </mc:AlternateContent>
  <xr:revisionPtr revIDLastSave="0" documentId="13_ncr:1_{837B3E30-A256-4E56-8961-84586B96040A}" xr6:coauthVersionLast="47" xr6:coauthVersionMax="47" xr10:uidLastSave="{00000000-0000-0000-0000-000000000000}"/>
  <bookViews>
    <workbookView xWindow="8586" yWindow="0" windowWidth="14454" windowHeight="12360" firstSheet="1" activeTab="1" xr2:uid="{D8D13C8B-21DC-4530-9439-539915C1AB0A}"/>
  </bookViews>
  <sheets>
    <sheet name="Mondarra" sheetId="1" r:id="rId1"/>
    <sheet name="PFLOTRAN_EX1" sheetId="4" r:id="rId2"/>
    <sheet name="H_Amount_Calc" sheetId="5" r:id="rId3"/>
    <sheet name="Tubridgi" sheetId="2" r:id="rId4"/>
    <sheet name="Chabowo3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4" l="1"/>
  <c r="C14" i="4" a="1"/>
  <c r="C14" i="4" s="1"/>
  <c r="K2" i="4" s="1"/>
  <c r="E10" i="4" s="1"/>
  <c r="B14" i="4" a="1"/>
  <c r="B14" i="4" s="1"/>
  <c r="B5" i="5"/>
  <c r="B4" i="5"/>
  <c r="F4" i="5"/>
  <c r="E4" i="5"/>
  <c r="F5" i="5"/>
  <c r="G5" i="5" s="1"/>
  <c r="E5" i="5"/>
  <c r="A26" i="4"/>
  <c r="H20" i="1"/>
  <c r="D20" i="4"/>
  <c r="E20" i="4" s="1"/>
  <c r="D19" i="4"/>
  <c r="E19" i="4" s="1"/>
  <c r="D13" i="2"/>
  <c r="D22" i="3"/>
  <c r="F22" i="3" s="1"/>
  <c r="D23" i="3"/>
  <c r="F23" i="3" s="1"/>
  <c r="D24" i="3"/>
  <c r="F24" i="3" s="1"/>
  <c r="D25" i="3"/>
  <c r="F25" i="3" s="1"/>
  <c r="D26" i="3"/>
  <c r="C26" i="3" s="1"/>
  <c r="D27" i="3"/>
  <c r="C27" i="3" s="1"/>
  <c r="D21" i="3"/>
  <c r="C21" i="3" s="1"/>
  <c r="E21" i="3"/>
  <c r="H24" i="3"/>
  <c r="H5" i="1"/>
  <c r="E8" i="1"/>
  <c r="I23" i="3"/>
  <c r="H2" i="3"/>
  <c r="B33" i="3" s="1"/>
  <c r="C33" i="3" s="1"/>
  <c r="A33" i="3"/>
  <c r="F26" i="3"/>
  <c r="G16" i="3"/>
  <c r="B16" i="3" a="1"/>
  <c r="B16" i="3" s="1"/>
  <c r="J2" i="3" s="1"/>
  <c r="B12" i="1" a="1"/>
  <c r="B12" i="1" s="1"/>
  <c r="J7" i="3"/>
  <c r="J7" i="2"/>
  <c r="A32" i="2"/>
  <c r="C14" i="2" a="1"/>
  <c r="C14" i="2" s="1"/>
  <c r="J2" i="2" s="1"/>
  <c r="B14" i="2" a="1"/>
  <c r="B14" i="2" s="1"/>
  <c r="D26" i="2"/>
  <c r="E26" i="2" s="1"/>
  <c r="D25" i="2"/>
  <c r="E25" i="2" s="1"/>
  <c r="D24" i="2"/>
  <c r="E24" i="2" s="1"/>
  <c r="D23" i="2"/>
  <c r="E23" i="2" s="1"/>
  <c r="D22" i="2"/>
  <c r="E22" i="2" s="1"/>
  <c r="D21" i="2"/>
  <c r="E21" i="2" s="1"/>
  <c r="D20" i="2"/>
  <c r="E20" i="2" s="1"/>
  <c r="A30" i="1"/>
  <c r="E11" i="4" l="1"/>
  <c r="F10" i="4"/>
  <c r="H10" i="4"/>
  <c r="E7" i="4"/>
  <c r="H7" i="4" s="1"/>
  <c r="E4" i="4"/>
  <c r="E9" i="4"/>
  <c r="H9" i="4" s="1"/>
  <c r="H2" i="4"/>
  <c r="G4" i="5"/>
  <c r="I4" i="5" s="1"/>
  <c r="C25" i="3"/>
  <c r="C24" i="3"/>
  <c r="C23" i="3"/>
  <c r="C22" i="3"/>
  <c r="F27" i="3"/>
  <c r="F21" i="3"/>
  <c r="F9" i="3"/>
  <c r="F10" i="3"/>
  <c r="F8" i="3"/>
  <c r="F7" i="3"/>
  <c r="F5" i="3"/>
  <c r="F12" i="3"/>
  <c r="F6" i="3"/>
  <c r="F11" i="3"/>
  <c r="D13" i="3"/>
  <c r="E13" i="3" s="1"/>
  <c r="H13" i="3" s="1"/>
  <c r="D5" i="3"/>
  <c r="E5" i="3" s="1"/>
  <c r="H5" i="3" s="1"/>
  <c r="F4" i="3"/>
  <c r="F14" i="3"/>
  <c r="H20" i="3"/>
  <c r="H23" i="3" s="1"/>
  <c r="F13" i="3"/>
  <c r="D7" i="3"/>
  <c r="D12" i="3"/>
  <c r="E12" i="3" s="1"/>
  <c r="H12" i="3" s="1"/>
  <c r="D11" i="3"/>
  <c r="D10" i="3"/>
  <c r="D9" i="3"/>
  <c r="D8" i="3"/>
  <c r="D6" i="3"/>
  <c r="D14" i="3"/>
  <c r="E14" i="3" s="1"/>
  <c r="H14" i="3" s="1"/>
  <c r="D4" i="3"/>
  <c r="E4" i="3" s="1"/>
  <c r="D33" i="3"/>
  <c r="E33" i="3" s="1"/>
  <c r="H2" i="2"/>
  <c r="H19" i="2" s="1"/>
  <c r="E11" i="2"/>
  <c r="H11" i="2" s="1"/>
  <c r="E10" i="2"/>
  <c r="E6" i="2"/>
  <c r="E9" i="2"/>
  <c r="E5" i="2"/>
  <c r="E8" i="2"/>
  <c r="E4" i="2"/>
  <c r="E7" i="2"/>
  <c r="E19" i="1"/>
  <c r="E20" i="1"/>
  <c r="E21" i="1"/>
  <c r="E22" i="1"/>
  <c r="E23" i="1"/>
  <c r="E24" i="1"/>
  <c r="D19" i="1"/>
  <c r="D20" i="1"/>
  <c r="D21" i="1"/>
  <c r="D22" i="1"/>
  <c r="D23" i="1"/>
  <c r="D24" i="1"/>
  <c r="D18" i="1"/>
  <c r="E18" i="1" s="1"/>
  <c r="C12" i="1" a="1"/>
  <c r="C12" i="1" s="1"/>
  <c r="J2" i="1" s="1"/>
  <c r="E4" i="1" s="1"/>
  <c r="H4" i="1" s="1"/>
  <c r="F11" i="4" l="1"/>
  <c r="G11" i="4" s="1"/>
  <c r="O11" i="4" s="1"/>
  <c r="H11" i="4"/>
  <c r="G10" i="4"/>
  <c r="O10" i="4" s="1"/>
  <c r="F7" i="4"/>
  <c r="G7" i="4" s="1"/>
  <c r="O7" i="4" s="1"/>
  <c r="F9" i="4"/>
  <c r="G9" i="4" s="1"/>
  <c r="B26" i="4"/>
  <c r="H18" i="4"/>
  <c r="H21" i="4" s="1"/>
  <c r="E29" i="4"/>
  <c r="F31" i="4"/>
  <c r="E8" i="4"/>
  <c r="E6" i="4"/>
  <c r="H4" i="4"/>
  <c r="E5" i="4"/>
  <c r="H5" i="4" s="1"/>
  <c r="K20" i="3"/>
  <c r="E6" i="3"/>
  <c r="H4" i="3"/>
  <c r="D16" i="3"/>
  <c r="E7" i="3"/>
  <c r="H7" i="3" s="1"/>
  <c r="B32" i="2"/>
  <c r="F11" i="2"/>
  <c r="G11" i="2" s="1"/>
  <c r="H9" i="2"/>
  <c r="F9" i="2"/>
  <c r="G9" i="2" s="1"/>
  <c r="H10" i="2"/>
  <c r="F10" i="2"/>
  <c r="G10" i="2" s="1"/>
  <c r="H22" i="2"/>
  <c r="I23" i="2" s="1"/>
  <c r="H4" i="2"/>
  <c r="F4" i="2"/>
  <c r="G4" i="2" s="1"/>
  <c r="H8" i="2"/>
  <c r="F8" i="2"/>
  <c r="G8" i="2" s="1"/>
  <c r="H6" i="2"/>
  <c r="F6" i="2"/>
  <c r="G6" i="2" s="1"/>
  <c r="H7" i="2"/>
  <c r="F7" i="2"/>
  <c r="G7" i="2" s="1"/>
  <c r="H5" i="2"/>
  <c r="F5" i="2"/>
  <c r="G5" i="2" s="1"/>
  <c r="E6" i="1"/>
  <c r="H2" i="1"/>
  <c r="F4" i="1"/>
  <c r="E9" i="1"/>
  <c r="E10" i="1"/>
  <c r="H10" i="1" s="1"/>
  <c r="E5" i="1"/>
  <c r="F5" i="1" s="1"/>
  <c r="E7" i="1"/>
  <c r="F6" i="4" l="1"/>
  <c r="G6" i="4" s="1"/>
  <c r="O9" i="4"/>
  <c r="C26" i="4"/>
  <c r="D26" i="4" s="1"/>
  <c r="E26" i="4" s="1"/>
  <c r="K22" i="4"/>
  <c r="I25" i="4"/>
  <c r="H8" i="4"/>
  <c r="F8" i="4"/>
  <c r="G8" i="4" s="1"/>
  <c r="O8" i="4" s="1"/>
  <c r="H6" i="4"/>
  <c r="F4" i="4"/>
  <c r="F5" i="4"/>
  <c r="G5" i="4" s="1"/>
  <c r="E8" i="3"/>
  <c r="H6" i="3"/>
  <c r="K20" i="2"/>
  <c r="C32" i="2"/>
  <c r="D32" i="2" s="1"/>
  <c r="E32" i="2" s="1"/>
  <c r="B30" i="1"/>
  <c r="C30" i="1" s="1"/>
  <c r="D30" i="1" s="1"/>
  <c r="E30" i="1" s="1"/>
  <c r="H8" i="1"/>
  <c r="F8" i="1"/>
  <c r="G8" i="1" s="1"/>
  <c r="H17" i="1"/>
  <c r="I20" i="1" s="1"/>
  <c r="F10" i="1"/>
  <c r="G10" i="1" s="1"/>
  <c r="H9" i="1"/>
  <c r="F9" i="1"/>
  <c r="G9" i="1" s="1"/>
  <c r="F7" i="1"/>
  <c r="G7" i="1" s="1"/>
  <c r="H7" i="1"/>
  <c r="F6" i="1"/>
  <c r="G6" i="1" s="1"/>
  <c r="H6" i="1"/>
  <c r="G4" i="1"/>
  <c r="G5" i="1"/>
  <c r="O6" i="4" l="1"/>
  <c r="G18" i="4"/>
  <c r="G4" i="4"/>
  <c r="G13" i="4" s="1"/>
  <c r="G17" i="4"/>
  <c r="O5" i="4"/>
  <c r="G19" i="4"/>
  <c r="E10" i="3"/>
  <c r="H10" i="3" s="1"/>
  <c r="H8" i="3"/>
  <c r="E9" i="3"/>
  <c r="H9" i="3" s="1"/>
  <c r="K17" i="1"/>
  <c r="O4" i="4" l="1"/>
  <c r="G16" i="4"/>
  <c r="E11" i="3"/>
  <c r="H1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<sst xmlns="http://schemas.openxmlformats.org/spreadsheetml/2006/main" count="212" uniqueCount="78">
  <si>
    <t>Density (g/cc)</t>
  </si>
  <si>
    <t>Kaolinite</t>
  </si>
  <si>
    <t>K-feldspar</t>
  </si>
  <si>
    <t>Pyrophyllite</t>
  </si>
  <si>
    <t>Calcite</t>
  </si>
  <si>
    <t>Chlorite</t>
  </si>
  <si>
    <t>K-mica</t>
  </si>
  <si>
    <t>Weighted Avg</t>
  </si>
  <si>
    <t>Molar Mass (g/mol)</t>
  </si>
  <si>
    <t>W%</t>
  </si>
  <si>
    <t>Total Mineral Moles</t>
  </si>
  <si>
    <t>Total Volume [cc]</t>
  </si>
  <si>
    <t>Total Weight [g]</t>
  </si>
  <si>
    <t>Weight (g)</t>
  </si>
  <si>
    <t>Volume (cc)</t>
  </si>
  <si>
    <t>Vol%</t>
  </si>
  <si>
    <t>Moles</t>
  </si>
  <si>
    <t>Brine</t>
  </si>
  <si>
    <t>Species</t>
  </si>
  <si>
    <t>g/mol</t>
  </si>
  <si>
    <t>ppm</t>
  </si>
  <si>
    <t>g/L</t>
  </si>
  <si>
    <t>mol/L</t>
  </si>
  <si>
    <t>Mondarra (Western Australia)</t>
  </si>
  <si>
    <t>Porosity</t>
  </si>
  <si>
    <t>Pressure [Mpa]</t>
  </si>
  <si>
    <t>T [C]</t>
  </si>
  <si>
    <t>K+</t>
  </si>
  <si>
    <t>Na+</t>
  </si>
  <si>
    <t>Cl-</t>
  </si>
  <si>
    <t>Ca++</t>
  </si>
  <si>
    <t>HCO3-</t>
  </si>
  <si>
    <t>SO4-</t>
  </si>
  <si>
    <t>Mg++</t>
  </si>
  <si>
    <t>Pore Volume [cc]</t>
  </si>
  <si>
    <t>Average Sw</t>
  </si>
  <si>
    <t>Vw [cc]</t>
  </si>
  <si>
    <t>H2</t>
  </si>
  <si>
    <t>Density [g/cc]</t>
  </si>
  <si>
    <t>Vg [cc]</t>
  </si>
  <si>
    <t>Mass [g]</t>
  </si>
  <si>
    <t>M [g]</t>
  </si>
  <si>
    <t>Quartz</t>
  </si>
  <si>
    <t>L/M</t>
  </si>
  <si>
    <t>V_tot</t>
  </si>
  <si>
    <t xml:space="preserve">Pyrite </t>
  </si>
  <si>
    <t>Montmorillonite </t>
  </si>
  <si>
    <t>Tubridgi (Western Australia)</t>
  </si>
  <si>
    <t>L/Mol</t>
  </si>
  <si>
    <t>Pressure [atm]</t>
  </si>
  <si>
    <t>Chabowo (Poland)</t>
  </si>
  <si>
    <t>Chalcedony</t>
  </si>
  <si>
    <t>Illite</t>
  </si>
  <si>
    <t>Annite</t>
  </si>
  <si>
    <t>Albite</t>
  </si>
  <si>
    <t>Anorthite</t>
  </si>
  <si>
    <t>Goethite</t>
  </si>
  <si>
    <t>g/cc</t>
  </si>
  <si>
    <t>Mineral Volume [cc]</t>
  </si>
  <si>
    <t>mg/L</t>
  </si>
  <si>
    <t>Chamosite</t>
  </si>
  <si>
    <t>Total Mineral Volume [cc]</t>
  </si>
  <si>
    <t>Density [kg/m3]</t>
  </si>
  <si>
    <t>mol/m3</t>
  </si>
  <si>
    <t>mol/kg</t>
  </si>
  <si>
    <t>Moles Injected</t>
  </si>
  <si>
    <t>kg Injected</t>
  </si>
  <si>
    <t xml:space="preserve">$/kg </t>
  </si>
  <si>
    <t>NH3</t>
  </si>
  <si>
    <t>Assumptions: 25MPa, 80C</t>
  </si>
  <si>
    <t>Amount [kg]</t>
  </si>
  <si>
    <t>Density [mol/m3]</t>
  </si>
  <si>
    <t>Total H moles</t>
  </si>
  <si>
    <t>Total moles</t>
  </si>
  <si>
    <t>PFLOTRAN Sandstone</t>
  </si>
  <si>
    <t>Hematite</t>
  </si>
  <si>
    <t>Anhydrite</t>
  </si>
  <si>
    <t>Barite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</si>
</sst>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F052-9942-48B3-BA4F-8520ECD85E39}">
  <dimension ref="A1:L30"/>
  <sheetViews>
    <sheetView zoomScale="80" zoomScaleNormal="80" workbookViewId="0">
      <selection activeCell="A5" sqref="A5:C5"/>
    </sheetView>
  </sheetViews>
  <sheetFormatPr defaultRowHeight="14.4" x14ac:dyDescent="0.55000000000000004"/>
  <cols>
    <col min="1" max="1" width="11.578125" bestFit="1" customWidth="1"/>
    <col min="2" max="2" width="11.41796875" bestFit="1" customWidth="1"/>
    <col min="3" max="3" width="16.3125" bestFit="1" customWidth="1"/>
    <col min="6" max="6" width="16.5234375" bestFit="1" customWidth="1"/>
    <col min="8" max="8" width="14.5234375" bestFit="1" customWidth="1"/>
    <col min="9" max="9" width="11.41796875" bestFit="1" customWidth="1"/>
    <col min="10" max="10" width="13.26171875" bestFit="1" customWidth="1"/>
  </cols>
  <sheetData>
    <row r="1" spans="1:12" x14ac:dyDescent="0.55000000000000004">
      <c r="A1" s="1" t="s">
        <v>23</v>
      </c>
      <c r="F1" t="s">
        <v>10</v>
      </c>
      <c r="H1" t="s">
        <v>11</v>
      </c>
      <c r="J1" t="s">
        <v>12</v>
      </c>
      <c r="L1" t="s">
        <v>24</v>
      </c>
    </row>
    <row r="2" spans="1:12" x14ac:dyDescent="0.55000000000000004">
      <c r="F2">
        <v>185000</v>
      </c>
      <c r="H2">
        <f>J2/B12</f>
        <v>8197993.9618184082</v>
      </c>
      <c r="J2">
        <f>F2*C12</f>
        <v>21734473.954999998</v>
      </c>
      <c r="L2">
        <v>0.18</v>
      </c>
    </row>
    <row r="3" spans="1:12" x14ac:dyDescent="0.55000000000000004">
      <c r="A3" t="s">
        <v>18</v>
      </c>
      <c r="B3" t="s">
        <v>0</v>
      </c>
      <c r="C3" t="s">
        <v>8</v>
      </c>
      <c r="D3" t="s">
        <v>9</v>
      </c>
      <c r="E3" t="s">
        <v>13</v>
      </c>
      <c r="F3" t="s">
        <v>14</v>
      </c>
      <c r="G3" t="s">
        <v>15</v>
      </c>
      <c r="H3" t="s">
        <v>16</v>
      </c>
    </row>
    <row r="4" spans="1:12" x14ac:dyDescent="0.55000000000000004">
      <c r="A4" t="s">
        <v>42</v>
      </c>
      <c r="B4">
        <v>2.65</v>
      </c>
      <c r="C4">
        <v>60.08</v>
      </c>
      <c r="D4">
        <v>0.76</v>
      </c>
      <c r="E4">
        <f>$J$2*D4</f>
        <v>16518200.205799999</v>
      </c>
      <c r="F4">
        <f t="shared" ref="F4:F10" si="0">E4/B4</f>
        <v>6233283.0965283019</v>
      </c>
      <c r="G4">
        <f>F4/$H$2</f>
        <v>0.76034248446136798</v>
      </c>
      <c r="H4">
        <f t="shared" ref="H4:H10" si="1">E4/C4</f>
        <v>274936.75442410121</v>
      </c>
      <c r="J4" t="s">
        <v>25</v>
      </c>
      <c r="L4" t="s">
        <v>26</v>
      </c>
    </row>
    <row r="5" spans="1:12" x14ac:dyDescent="0.55000000000000004">
      <c r="A5" t="s">
        <v>1</v>
      </c>
      <c r="B5">
        <v>2.65</v>
      </c>
      <c r="C5">
        <v>258.07299999999998</v>
      </c>
      <c r="D5">
        <v>0.1</v>
      </c>
      <c r="E5">
        <f t="shared" ref="E5:E10" si="2">$J$2*D5</f>
        <v>2173447.3955000001</v>
      </c>
      <c r="F5">
        <f t="shared" si="0"/>
        <v>820168.82849056611</v>
      </c>
      <c r="G5">
        <f t="shared" ref="G5:G10" si="3">F5/$H$2</f>
        <v>0.10004506374491685</v>
      </c>
      <c r="H5">
        <f t="shared" si="1"/>
        <v>8421.8317898424102</v>
      </c>
      <c r="J5">
        <v>9</v>
      </c>
      <c r="L5">
        <v>118</v>
      </c>
    </row>
    <row r="6" spans="1:12" x14ac:dyDescent="0.55000000000000004">
      <c r="A6" t="s">
        <v>2</v>
      </c>
      <c r="B6">
        <v>2.5499999999999998</v>
      </c>
      <c r="C6">
        <v>278.33</v>
      </c>
      <c r="D6">
        <v>0.03</v>
      </c>
      <c r="E6">
        <f>$J$2*D6</f>
        <v>652034.21864999994</v>
      </c>
      <c r="F6">
        <f t="shared" si="0"/>
        <v>255699.6935882353</v>
      </c>
      <c r="G6">
        <f t="shared" si="3"/>
        <v>3.1190519873415253E-2</v>
      </c>
      <c r="H6">
        <f t="shared" si="1"/>
        <v>2342.665967197212</v>
      </c>
    </row>
    <row r="7" spans="1:12" x14ac:dyDescent="0.55000000000000004">
      <c r="A7" t="s">
        <v>3</v>
      </c>
      <c r="B7">
        <v>2.8</v>
      </c>
      <c r="C7">
        <v>360.31</v>
      </c>
      <c r="D7">
        <v>0.03</v>
      </c>
      <c r="E7">
        <f t="shared" si="2"/>
        <v>652034.21864999994</v>
      </c>
      <c r="F7">
        <f t="shared" si="0"/>
        <v>232869.36380357141</v>
      </c>
      <c r="G7">
        <f t="shared" si="3"/>
        <v>2.8405652027574602E-2</v>
      </c>
      <c r="H7">
        <f t="shared" si="1"/>
        <v>1809.6478550414918</v>
      </c>
    </row>
    <row r="8" spans="1:12" x14ac:dyDescent="0.55000000000000004">
      <c r="A8" t="s">
        <v>4</v>
      </c>
      <c r="B8">
        <v>2.71</v>
      </c>
      <c r="C8">
        <v>100.09</v>
      </c>
      <c r="D8">
        <v>0.03</v>
      </c>
      <c r="E8">
        <f t="shared" si="2"/>
        <v>652034.21864999994</v>
      </c>
      <c r="F8">
        <f t="shared" si="0"/>
        <v>240603.03271217711</v>
      </c>
      <c r="G8">
        <f t="shared" si="3"/>
        <v>2.9349013165021729E-2</v>
      </c>
      <c r="H8">
        <f t="shared" si="1"/>
        <v>6514.4791552602646</v>
      </c>
      <c r="J8" t="s">
        <v>35</v>
      </c>
    </row>
    <row r="9" spans="1:12" x14ac:dyDescent="0.55000000000000004">
      <c r="A9" t="s">
        <v>5</v>
      </c>
      <c r="B9">
        <v>2.5</v>
      </c>
      <c r="C9">
        <v>595.22</v>
      </c>
      <c r="D9">
        <v>0.02</v>
      </c>
      <c r="E9">
        <f>$J$2*D9</f>
        <v>434689.4791</v>
      </c>
      <c r="F9">
        <f t="shared" si="0"/>
        <v>173875.79164000001</v>
      </c>
      <c r="G9">
        <f t="shared" si="3"/>
        <v>2.1209553513922372E-2</v>
      </c>
      <c r="H9">
        <f t="shared" si="1"/>
        <v>730.3005260239911</v>
      </c>
      <c r="J9">
        <v>0.45</v>
      </c>
    </row>
    <row r="10" spans="1:12" x14ac:dyDescent="0.55000000000000004">
      <c r="A10" t="s">
        <v>6</v>
      </c>
      <c r="B10">
        <v>2.7</v>
      </c>
      <c r="C10">
        <v>398.30810000000002</v>
      </c>
      <c r="D10">
        <v>0.03</v>
      </c>
      <c r="E10">
        <f t="shared" si="2"/>
        <v>652034.21864999994</v>
      </c>
      <c r="F10">
        <f t="shared" si="0"/>
        <v>241494.15505555551</v>
      </c>
      <c r="G10">
        <f t="shared" si="3"/>
        <v>2.9457713213781066E-2</v>
      </c>
      <c r="H10">
        <f t="shared" si="1"/>
        <v>1637.0096883543165</v>
      </c>
    </row>
    <row r="12" spans="1:12" x14ac:dyDescent="0.55000000000000004">
      <c r="A12" t="s">
        <v>7</v>
      </c>
      <c r="B12" cm="1">
        <f t="array" ref="B12">1/SUM(D4:D10/B4:B10)</f>
        <v>2.6511941892402962</v>
      </c>
      <c r="C12" cm="1">
        <f t="array" ref="C12">SUM(C4:C10*D4:D10)</f>
        <v>117.48364299999999</v>
      </c>
    </row>
    <row r="16" spans="1:12" x14ac:dyDescent="0.55000000000000004">
      <c r="A16" t="s">
        <v>17</v>
      </c>
      <c r="H16" t="s">
        <v>34</v>
      </c>
      <c r="I16" t="s">
        <v>38</v>
      </c>
      <c r="K16" t="s">
        <v>44</v>
      </c>
    </row>
    <row r="17" spans="1:11" x14ac:dyDescent="0.55000000000000004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H17">
        <f>(H2/(1-L2))*L2</f>
        <v>1799559.65015526</v>
      </c>
      <c r="I17">
        <v>0.94903000000000004</v>
      </c>
      <c r="K17">
        <f>H2+H20+B30</f>
        <v>9997553.6119736694</v>
      </c>
    </row>
    <row r="18" spans="1:11" x14ac:dyDescent="0.55000000000000004">
      <c r="A18" t="s">
        <v>28</v>
      </c>
      <c r="B18">
        <v>20.99</v>
      </c>
      <c r="C18">
        <v>47520</v>
      </c>
      <c r="D18">
        <f>C18*0.000998859</f>
        <v>47.465779679999997</v>
      </c>
      <c r="E18">
        <f t="shared" ref="E18:E24" si="4">D18/B18</f>
        <v>2.2613520571700811</v>
      </c>
    </row>
    <row r="19" spans="1:11" x14ac:dyDescent="0.55000000000000004">
      <c r="A19" t="s">
        <v>29</v>
      </c>
      <c r="B19">
        <v>35.450000000000003</v>
      </c>
      <c r="C19">
        <v>86500</v>
      </c>
      <c r="D19">
        <f t="shared" ref="D19:D24" si="5">C19*0.000998859</f>
        <v>86.401303499999997</v>
      </c>
      <c r="E19">
        <f t="shared" si="4"/>
        <v>2.4372723131170662</v>
      </c>
      <c r="H19" t="s">
        <v>36</v>
      </c>
      <c r="I19" t="s">
        <v>41</v>
      </c>
    </row>
    <row r="20" spans="1:11" x14ac:dyDescent="0.55000000000000004">
      <c r="A20" t="s">
        <v>30</v>
      </c>
      <c r="B20">
        <v>40.078000000000003</v>
      </c>
      <c r="C20">
        <v>5840</v>
      </c>
      <c r="D20">
        <f t="shared" si="5"/>
        <v>5.8333365599999993</v>
      </c>
      <c r="E20">
        <f t="shared" si="4"/>
        <v>0.14554959229502468</v>
      </c>
      <c r="H20">
        <f>H17*J9</f>
        <v>809801.84256986703</v>
      </c>
      <c r="I20">
        <f>H20*I17</f>
        <v>768526.24265408097</v>
      </c>
    </row>
    <row r="21" spans="1:11" x14ac:dyDescent="0.55000000000000004">
      <c r="A21" t="s">
        <v>27</v>
      </c>
      <c r="B21">
        <v>39.098300000000002</v>
      </c>
      <c r="C21">
        <v>1152</v>
      </c>
      <c r="D21">
        <f t="shared" si="5"/>
        <v>1.1506855679999999</v>
      </c>
      <c r="E21">
        <f t="shared" si="4"/>
        <v>2.9430578004670277E-2</v>
      </c>
    </row>
    <row r="22" spans="1:11" x14ac:dyDescent="0.55000000000000004">
      <c r="A22" t="s">
        <v>31</v>
      </c>
      <c r="B22">
        <v>61.016800000000003</v>
      </c>
      <c r="C22">
        <v>596.70000000000005</v>
      </c>
      <c r="D22">
        <f t="shared" si="5"/>
        <v>0.59601916529999999</v>
      </c>
      <c r="E22">
        <f t="shared" si="4"/>
        <v>9.7681157533662851E-3</v>
      </c>
    </row>
    <row r="23" spans="1:11" x14ac:dyDescent="0.55000000000000004">
      <c r="A23" t="s">
        <v>32</v>
      </c>
      <c r="B23">
        <v>96.06</v>
      </c>
      <c r="C23">
        <v>61.5</v>
      </c>
      <c r="D23">
        <f t="shared" si="5"/>
        <v>6.1429828499999999E-2</v>
      </c>
      <c r="E23">
        <f t="shared" si="4"/>
        <v>6.394943628981886E-4</v>
      </c>
    </row>
    <row r="24" spans="1:11" x14ac:dyDescent="0.55000000000000004">
      <c r="A24" t="s">
        <v>33</v>
      </c>
      <c r="B24" s="2">
        <v>24.305</v>
      </c>
      <c r="C24">
        <v>771</v>
      </c>
      <c r="D24">
        <f t="shared" si="5"/>
        <v>0.77012028899999996</v>
      </c>
      <c r="E24">
        <f t="shared" si="4"/>
        <v>3.1685673277103477E-2</v>
      </c>
    </row>
    <row r="28" spans="1:11" x14ac:dyDescent="0.55000000000000004">
      <c r="A28" t="s">
        <v>37</v>
      </c>
    </row>
    <row r="29" spans="1:11" x14ac:dyDescent="0.55000000000000004">
      <c r="A29" t="s">
        <v>38</v>
      </c>
      <c r="B29" t="s">
        <v>39</v>
      </c>
      <c r="C29" t="s">
        <v>40</v>
      </c>
      <c r="D29" t="s">
        <v>16</v>
      </c>
      <c r="E29" t="s">
        <v>43</v>
      </c>
    </row>
    <row r="30" spans="1:11" x14ac:dyDescent="0.55000000000000004">
      <c r="A30">
        <f>0.0053441</f>
        <v>5.3441000000000001E-3</v>
      </c>
      <c r="B30">
        <f>(1-J9)*(H2/(1-L2))*L2</f>
        <v>989757.80758539308</v>
      </c>
      <c r="C30">
        <f>B30*A30</f>
        <v>5289.3646995170993</v>
      </c>
      <c r="D30">
        <f>C30/2.016</f>
        <v>2623.6928073001486</v>
      </c>
      <c r="E30">
        <f>(B30/1000)/D30</f>
        <v>0.3772384498793061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439B8-106D-43BF-AFF3-D17A5080EC96}">
  <dimension ref="A1:O32"/>
  <sheetViews>
    <sheetView tabSelected="1" zoomScale="80" workbookViewId="0">
      <selection activeCell="F10" sqref="F10"/>
    </sheetView>
  </sheetViews>
  <sheetFormatPr defaultRowHeight="14.4" x14ac:dyDescent="0.55000000000000004"/>
  <cols>
    <col min="5" max="6" width="11.68359375" bestFit="1" customWidth="1"/>
  </cols>
  <sheetData>
    <row r="1" spans="1:15" x14ac:dyDescent="0.55000000000000004">
      <c r="A1" s="1" t="s">
        <v>74</v>
      </c>
      <c r="F1" t="s">
        <v>10</v>
      </c>
      <c r="H1" t="s">
        <v>61</v>
      </c>
      <c r="K1" t="s">
        <v>12</v>
      </c>
      <c r="M1" t="s">
        <v>24</v>
      </c>
    </row>
    <row r="2" spans="1:15" x14ac:dyDescent="0.55000000000000004">
      <c r="F2">
        <v>246262.3</v>
      </c>
      <c r="H2">
        <f>K2/B14</f>
        <v>7833102.6970896525</v>
      </c>
      <c r="K2">
        <f>F2*C14</f>
        <v>21101980.321454301</v>
      </c>
      <c r="M2">
        <v>0.2</v>
      </c>
    </row>
    <row r="3" spans="1:15" x14ac:dyDescent="0.55000000000000004">
      <c r="A3" t="s">
        <v>18</v>
      </c>
      <c r="B3" t="s">
        <v>0</v>
      </c>
      <c r="C3" t="s">
        <v>8</v>
      </c>
      <c r="D3" t="s">
        <v>9</v>
      </c>
      <c r="E3" t="s">
        <v>13</v>
      </c>
      <c r="F3" t="s">
        <v>14</v>
      </c>
      <c r="G3" t="s">
        <v>15</v>
      </c>
      <c r="H3" t="s">
        <v>16</v>
      </c>
    </row>
    <row r="4" spans="1:15" x14ac:dyDescent="0.55000000000000004">
      <c r="A4" t="s">
        <v>42</v>
      </c>
      <c r="B4">
        <v>2.65</v>
      </c>
      <c r="C4">
        <v>60.084299999999999</v>
      </c>
      <c r="D4">
        <v>0.77</v>
      </c>
      <c r="E4">
        <f>$K$2*D4</f>
        <v>16248524.847519813</v>
      </c>
      <c r="F4">
        <f>E4/B4</f>
        <v>6131518.8103848351</v>
      </c>
      <c r="G4">
        <f>F4/$H$2</f>
        <v>0.7827701292187792</v>
      </c>
      <c r="H4">
        <f>E4/C4</f>
        <v>270428.7950016862</v>
      </c>
      <c r="J4" t="s">
        <v>25</v>
      </c>
      <c r="L4" t="s">
        <v>26</v>
      </c>
      <c r="O4">
        <f>G4*0.8</f>
        <v>0.62621610337502343</v>
      </c>
    </row>
    <row r="5" spans="1:15" x14ac:dyDescent="0.55000000000000004">
      <c r="A5" t="s">
        <v>4</v>
      </c>
      <c r="B5">
        <v>2.71</v>
      </c>
      <c r="C5">
        <v>100.0872</v>
      </c>
      <c r="D5">
        <v>0.1</v>
      </c>
      <c r="E5">
        <f>$K$2*D5</f>
        <v>2110198.0321454303</v>
      </c>
      <c r="F5">
        <f>E5/B5</f>
        <v>778670.86057026952</v>
      </c>
      <c r="G5">
        <f>F5/$H$2</f>
        <v>9.9407717565043616E-2</v>
      </c>
      <c r="H5">
        <f>E5/C5</f>
        <v>21083.59542624262</v>
      </c>
      <c r="J5">
        <v>25</v>
      </c>
      <c r="L5">
        <v>80</v>
      </c>
      <c r="O5">
        <f t="shared" ref="O5:O6" si="0">G5*0.8</f>
        <v>7.9526174052034895E-2</v>
      </c>
    </row>
    <row r="6" spans="1:15" x14ac:dyDescent="0.55000000000000004">
      <c r="A6" t="s">
        <v>45</v>
      </c>
      <c r="B6">
        <v>5</v>
      </c>
      <c r="C6">
        <v>119.979</v>
      </c>
      <c r="D6">
        <v>0.03</v>
      </c>
      <c r="E6">
        <f>$K$2*D6</f>
        <v>633059.40964362898</v>
      </c>
      <c r="F6">
        <f>E6/B6</f>
        <v>126611.88192872579</v>
      </c>
      <c r="G6">
        <f>F6/$H$2</f>
        <v>1.6163694876076086E-2</v>
      </c>
      <c r="H6">
        <f>E6/C6</f>
        <v>5276.4184535929535</v>
      </c>
      <c r="O6">
        <f t="shared" si="0"/>
        <v>1.2930955900860869E-2</v>
      </c>
    </row>
    <row r="7" spans="1:15" x14ac:dyDescent="0.55000000000000004">
      <c r="A7" t="s">
        <v>56</v>
      </c>
      <c r="B7">
        <v>4.28</v>
      </c>
      <c r="C7">
        <v>88.853700000000003</v>
      </c>
      <c r="D7">
        <v>0</v>
      </c>
      <c r="E7">
        <f t="shared" ref="E7" si="1">$K$2*D7</f>
        <v>0</v>
      </c>
      <c r="F7">
        <f t="shared" ref="F7" si="2">E7/B7</f>
        <v>0</v>
      </c>
      <c r="G7">
        <f t="shared" ref="G7" si="3">F7/$H$2</f>
        <v>0</v>
      </c>
      <c r="H7">
        <f t="shared" ref="H7" si="4">E7/C7</f>
        <v>0</v>
      </c>
      <c r="O7">
        <f>G7*0.8</f>
        <v>0</v>
      </c>
    </row>
    <row r="8" spans="1:15" x14ac:dyDescent="0.55000000000000004">
      <c r="A8" t="s">
        <v>1</v>
      </c>
      <c r="B8">
        <v>2.65</v>
      </c>
      <c r="C8">
        <v>258.16039999999998</v>
      </c>
      <c r="D8">
        <v>0.1</v>
      </c>
      <c r="E8">
        <f>$K$2*D8</f>
        <v>2110198.0321454303</v>
      </c>
      <c r="F8">
        <f>E8/B8</f>
        <v>796301.14420582284</v>
      </c>
      <c r="G8">
        <f>F8/$H$2</f>
        <v>0.1016584583401012</v>
      </c>
      <c r="H8">
        <f>E8/C8</f>
        <v>8173.9803321711252</v>
      </c>
      <c r="O8">
        <f>G8*0.8</f>
        <v>8.1326766672080969E-2</v>
      </c>
    </row>
    <row r="9" spans="1:15" x14ac:dyDescent="0.55000000000000004">
      <c r="A9" t="s">
        <v>75</v>
      </c>
      <c r="B9">
        <v>5.25</v>
      </c>
      <c r="C9">
        <v>159.69220000000001</v>
      </c>
      <c r="D9">
        <v>0</v>
      </c>
      <c r="E9">
        <f>$K$2*D9</f>
        <v>0</v>
      </c>
      <c r="F9">
        <f>E9/B9</f>
        <v>0</v>
      </c>
      <c r="G9">
        <f>F9/$H$2</f>
        <v>0</v>
      </c>
      <c r="H9">
        <f>E9/C9</f>
        <v>0</v>
      </c>
      <c r="O9">
        <f>G9*0.8</f>
        <v>0</v>
      </c>
    </row>
    <row r="10" spans="1:15" x14ac:dyDescent="0.55000000000000004">
      <c r="A10" t="s">
        <v>76</v>
      </c>
      <c r="B10">
        <v>2.95</v>
      </c>
      <c r="C10">
        <v>136.13999999999999</v>
      </c>
      <c r="D10">
        <v>0</v>
      </c>
      <c r="E10">
        <f>$K$2*D10</f>
        <v>0</v>
      </c>
      <c r="F10">
        <f>E10/B10</f>
        <v>0</v>
      </c>
      <c r="G10">
        <f>F10/$H$2</f>
        <v>0</v>
      </c>
      <c r="H10">
        <f>E10/C10</f>
        <v>0</v>
      </c>
      <c r="O10">
        <f>G10*0.8</f>
        <v>0</v>
      </c>
    </row>
    <row r="11" spans="1:15" x14ac:dyDescent="0.55000000000000004">
      <c r="A11" t="s">
        <v>77</v>
      </c>
      <c r="B11">
        <v>4.4800000000000004</v>
      </c>
      <c r="C11">
        <v>261.33690000000001</v>
      </c>
      <c r="D11">
        <v>0</v>
      </c>
      <c r="E11">
        <f>$K$2*D11</f>
        <v>0</v>
      </c>
      <c r="F11">
        <f>E11/B11</f>
        <v>0</v>
      </c>
      <c r="G11">
        <f>F11/$H$2</f>
        <v>0</v>
      </c>
      <c r="H11">
        <f>E11/C11</f>
        <v>0</v>
      </c>
      <c r="O11">
        <f>G11*0.8</f>
        <v>0</v>
      </c>
    </row>
    <row r="13" spans="1:15" x14ac:dyDescent="0.55000000000000004">
      <c r="D13">
        <f>SUM(D4:D11)</f>
        <v>1</v>
      </c>
      <c r="G13">
        <f>SUM(G4:G11)</f>
        <v>1</v>
      </c>
      <c r="J13" t="s">
        <v>35</v>
      </c>
    </row>
    <row r="14" spans="1:15" x14ac:dyDescent="0.55000000000000004">
      <c r="A14" t="s">
        <v>7</v>
      </c>
      <c r="B14" cm="1">
        <f t="array" ref="B14">1/SUM(D4:D11/B4:B11)</f>
        <v>2.6939491460126814</v>
      </c>
      <c r="C14" cm="1">
        <f t="array" ref="C14">SUM(C4:C11*D4:D11)</f>
        <v>85.689041000000003</v>
      </c>
      <c r="J14">
        <v>0.5</v>
      </c>
    </row>
    <row r="16" spans="1:15" x14ac:dyDescent="0.55000000000000004">
      <c r="G16">
        <f>0.8*100*G4</f>
        <v>62.621610337502332</v>
      </c>
    </row>
    <row r="17" spans="1:11" x14ac:dyDescent="0.55000000000000004">
      <c r="A17" s="1" t="s">
        <v>17</v>
      </c>
      <c r="G17">
        <f>0.8*100*G5</f>
        <v>7.9526174052034895</v>
      </c>
      <c r="H17" t="s">
        <v>34</v>
      </c>
    </row>
    <row r="18" spans="1:11" x14ac:dyDescent="0.55000000000000004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G18">
        <f>0.8*100*G6</f>
        <v>1.2930955900860868</v>
      </c>
      <c r="H18">
        <f>(H2/(1-M2))*M2</f>
        <v>1958275.6742724134</v>
      </c>
    </row>
    <row r="19" spans="1:11" x14ac:dyDescent="0.55000000000000004">
      <c r="A19" t="s">
        <v>28</v>
      </c>
      <c r="B19">
        <v>20.99</v>
      </c>
      <c r="C19">
        <v>13437</v>
      </c>
      <c r="D19">
        <f>C19*0.000998859</f>
        <v>13.421668383</v>
      </c>
      <c r="E19">
        <f t="shared" ref="E19:E20" si="5">D19/B19</f>
        <v>0.6394315570747976</v>
      </c>
      <c r="G19">
        <f t="shared" ref="G19" si="6">0.8*100*G8</f>
        <v>8.1326766672080968</v>
      </c>
    </row>
    <row r="20" spans="1:11" x14ac:dyDescent="0.55000000000000004">
      <c r="A20" t="s">
        <v>29</v>
      </c>
      <c r="B20">
        <v>35.450000000000003</v>
      </c>
      <c r="C20">
        <v>20718</v>
      </c>
      <c r="D20">
        <f t="shared" ref="D20" si="7">C20*0.000998859</f>
        <v>20.694360761999999</v>
      </c>
      <c r="E20">
        <f t="shared" si="5"/>
        <v>0.58376193968970369</v>
      </c>
      <c r="H20" t="s">
        <v>36</v>
      </c>
    </row>
    <row r="21" spans="1:11" x14ac:dyDescent="0.55000000000000004">
      <c r="H21">
        <f>H18*J14</f>
        <v>979137.83713620668</v>
      </c>
      <c r="I21" t="s">
        <v>38</v>
      </c>
      <c r="K21" t="s">
        <v>44</v>
      </c>
    </row>
    <row r="22" spans="1:11" x14ac:dyDescent="0.55000000000000004">
      <c r="I22">
        <v>0.98748999999999998</v>
      </c>
      <c r="K22">
        <f>H2+H21+B26</f>
        <v>9791378.3713620659</v>
      </c>
    </row>
    <row r="24" spans="1:11" x14ac:dyDescent="0.55000000000000004">
      <c r="A24" s="1" t="s">
        <v>37</v>
      </c>
      <c r="I24" t="s">
        <v>41</v>
      </c>
    </row>
    <row r="25" spans="1:11" x14ac:dyDescent="0.55000000000000004">
      <c r="A25" t="s">
        <v>38</v>
      </c>
      <c r="B25" t="s">
        <v>39</v>
      </c>
      <c r="C25" t="s">
        <v>40</v>
      </c>
      <c r="D25" t="s">
        <v>16</v>
      </c>
      <c r="E25" t="s">
        <v>43</v>
      </c>
      <c r="I25">
        <f>H21*I22</f>
        <v>966888.82279363275</v>
      </c>
    </row>
    <row r="26" spans="1:11" x14ac:dyDescent="0.55000000000000004">
      <c r="A26">
        <f>A29/1000</f>
        <v>1.5125999999999999E-2</v>
      </c>
      <c r="B26">
        <f>(1-J14)*(H2/(1-M2))*M2</f>
        <v>979137.83713620668</v>
      </c>
      <c r="C26">
        <f>B26*A26</f>
        <v>14810.438924522261</v>
      </c>
      <c r="D26">
        <f>C26/F31</f>
        <v>7346.6670196003852</v>
      </c>
      <c r="E26">
        <f>(B26/1000)/D26</f>
        <v>0.13327646870668516</v>
      </c>
    </row>
    <row r="28" spans="1:11" x14ac:dyDescent="0.55000000000000004">
      <c r="A28" t="s">
        <v>62</v>
      </c>
      <c r="B28" t="s">
        <v>63</v>
      </c>
      <c r="C28" t="s">
        <v>64</v>
      </c>
      <c r="D28" t="s">
        <v>66</v>
      </c>
      <c r="E28" t="s">
        <v>65</v>
      </c>
    </row>
    <row r="29" spans="1:11" x14ac:dyDescent="0.55000000000000004">
      <c r="A29">
        <v>15.125999999999999</v>
      </c>
      <c r="B29">
        <v>7503.2</v>
      </c>
      <c r="C29">
        <v>496.04654237736349</v>
      </c>
      <c r="D29">
        <v>10000000</v>
      </c>
      <c r="E29" s="4">
        <f>D29*C29</f>
        <v>4960465423.7736349</v>
      </c>
    </row>
    <row r="30" spans="1:11" x14ac:dyDescent="0.55000000000000004">
      <c r="F30" t="s">
        <v>19</v>
      </c>
    </row>
    <row r="31" spans="1:11" x14ac:dyDescent="0.55000000000000004">
      <c r="D31" t="s">
        <v>67</v>
      </c>
      <c r="F31">
        <f>1/(C29/1000)</f>
        <v>2.0159398656573195</v>
      </c>
    </row>
    <row r="32" spans="1:11" x14ac:dyDescent="0.55000000000000004">
      <c r="D32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A9FA-735E-4748-B8BD-E7DA6FA74961}">
  <dimension ref="A1:I5"/>
  <sheetViews>
    <sheetView workbookViewId="0">
      <selection activeCell="B10" sqref="B10"/>
    </sheetView>
  </sheetViews>
  <sheetFormatPr defaultRowHeight="14.4" x14ac:dyDescent="0.55000000000000004"/>
  <cols>
    <col min="1" max="1" width="21.3671875" bestFit="1" customWidth="1"/>
    <col min="2" max="2" width="10.47265625" bestFit="1" customWidth="1"/>
    <col min="3" max="3" width="13.3125" bestFit="1" customWidth="1"/>
    <col min="4" max="4" width="14.578125" bestFit="1" customWidth="1"/>
    <col min="5" max="5" width="10.05078125" bestFit="1" customWidth="1"/>
    <col min="6" max="6" width="10.734375" bestFit="1" customWidth="1"/>
    <col min="7" max="7" width="11.734375" bestFit="1" customWidth="1"/>
    <col min="9" max="9" width="10.05078125" bestFit="1" customWidth="1"/>
  </cols>
  <sheetData>
    <row r="1" spans="1:9" x14ac:dyDescent="0.55000000000000004">
      <c r="A1" s="1" t="s">
        <v>69</v>
      </c>
    </row>
    <row r="2" spans="1:9" x14ac:dyDescent="0.55000000000000004">
      <c r="A2" s="1"/>
    </row>
    <row r="3" spans="1:9" x14ac:dyDescent="0.55000000000000004">
      <c r="A3" s="1"/>
      <c r="B3" s="1" t="s">
        <v>70</v>
      </c>
      <c r="C3" s="1" t="s">
        <v>62</v>
      </c>
      <c r="D3" s="1" t="s">
        <v>71</v>
      </c>
      <c r="E3" s="1" t="s">
        <v>64</v>
      </c>
      <c r="F3" s="1" t="s">
        <v>73</v>
      </c>
      <c r="G3" s="1" t="s">
        <v>72</v>
      </c>
    </row>
    <row r="4" spans="1:9" x14ac:dyDescent="0.55000000000000004">
      <c r="A4" s="1" t="s">
        <v>68</v>
      </c>
      <c r="B4" s="5">
        <f>700000000/2</f>
        <v>350000000</v>
      </c>
      <c r="C4" s="5">
        <v>544.29</v>
      </c>
      <c r="D4" s="5">
        <v>31960</v>
      </c>
      <c r="E4" s="5">
        <f>D4/C4</f>
        <v>58.718697753036068</v>
      </c>
      <c r="F4" s="5">
        <f>E4*B4</f>
        <v>20551544213.562622</v>
      </c>
      <c r="G4" s="5">
        <f>F4*3</f>
        <v>61654632640.687866</v>
      </c>
      <c r="I4" s="5">
        <f>G4/G5</f>
        <v>8.2861354561879779</v>
      </c>
    </row>
    <row r="5" spans="1:9" x14ac:dyDescent="0.55000000000000004">
      <c r="A5" s="1" t="s">
        <v>37</v>
      </c>
      <c r="B5" s="5">
        <f>15000000/2</f>
        <v>7500000</v>
      </c>
      <c r="C5" s="5">
        <v>15.125999999999999</v>
      </c>
      <c r="D5" s="5">
        <v>7503.2</v>
      </c>
      <c r="E5" s="5">
        <f>D5/C5</f>
        <v>496.04654237736349</v>
      </c>
      <c r="F5" s="5">
        <f>E5*B5</f>
        <v>3720349067.8302264</v>
      </c>
      <c r="G5" s="5">
        <f>F5*2</f>
        <v>7440698135.6604528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D8F3-4CFC-438A-AF5F-6C9E523EB5C0}">
  <dimension ref="A1:L32"/>
  <sheetViews>
    <sheetView zoomScale="80" zoomScaleNormal="80" workbookViewId="0">
      <selection activeCell="I20" sqref="I20"/>
    </sheetView>
  </sheetViews>
  <sheetFormatPr defaultRowHeight="14.4" x14ac:dyDescent="0.55000000000000004"/>
  <cols>
    <col min="1" max="1" width="23.83984375" bestFit="1" customWidth="1"/>
  </cols>
  <sheetData>
    <row r="1" spans="1:12" x14ac:dyDescent="0.55000000000000004">
      <c r="A1" s="1" t="s">
        <v>47</v>
      </c>
      <c r="F1" t="s">
        <v>10</v>
      </c>
      <c r="H1" t="s">
        <v>11</v>
      </c>
      <c r="J1" t="s">
        <v>12</v>
      </c>
      <c r="L1" t="s">
        <v>24</v>
      </c>
    </row>
    <row r="2" spans="1:12" x14ac:dyDescent="0.55000000000000004">
      <c r="F2">
        <v>130300</v>
      </c>
      <c r="H2">
        <f>J2/B14</f>
        <v>7234933.6071732556</v>
      </c>
      <c r="J2">
        <f>F2*C14</f>
        <v>19712249.461569</v>
      </c>
      <c r="L2">
        <v>0.28000000000000003</v>
      </c>
    </row>
    <row r="3" spans="1:12" x14ac:dyDescent="0.55000000000000004">
      <c r="A3" t="s">
        <v>18</v>
      </c>
      <c r="B3" t="s">
        <v>0</v>
      </c>
      <c r="C3" t="s">
        <v>8</v>
      </c>
      <c r="D3" t="s">
        <v>9</v>
      </c>
      <c r="E3" t="s">
        <v>13</v>
      </c>
      <c r="F3" t="s">
        <v>14</v>
      </c>
      <c r="G3" t="s">
        <v>15</v>
      </c>
      <c r="H3" t="s">
        <v>16</v>
      </c>
    </row>
    <row r="4" spans="1:12" x14ac:dyDescent="0.55000000000000004">
      <c r="A4" t="s">
        <v>42</v>
      </c>
      <c r="B4">
        <v>2.65</v>
      </c>
      <c r="C4">
        <v>60.08</v>
      </c>
      <c r="D4">
        <v>0.64400000000000002</v>
      </c>
      <c r="E4">
        <f>$J$2*D4</f>
        <v>12694688.653250437</v>
      </c>
      <c r="F4">
        <f>E4/B4</f>
        <v>4790448.5483963918</v>
      </c>
      <c r="G4">
        <f>F4/$H$2</f>
        <v>0.66212750641509444</v>
      </c>
      <c r="H4">
        <f t="shared" ref="H4:H11" si="0">E4/C4</f>
        <v>211296.41566661847</v>
      </c>
      <c r="J4" t="s">
        <v>25</v>
      </c>
      <c r="L4" t="s">
        <v>26</v>
      </c>
    </row>
    <row r="5" spans="1:12" x14ac:dyDescent="0.55000000000000004">
      <c r="A5" t="s">
        <v>1</v>
      </c>
      <c r="B5">
        <v>2.65</v>
      </c>
      <c r="C5">
        <v>258.07299999999998</v>
      </c>
      <c r="D5">
        <v>4.1700000000000001E-2</v>
      </c>
      <c r="E5">
        <f t="shared" ref="E5:E10" si="1">$J$2*D5</f>
        <v>822000.80254742736</v>
      </c>
      <c r="F5">
        <f>E5/B5</f>
        <v>310188.98209336883</v>
      </c>
      <c r="G5">
        <f t="shared" ref="G5:G11" si="2">F5/$H$2</f>
        <v>4.2873784188679244E-2</v>
      </c>
      <c r="H5">
        <f t="shared" si="0"/>
        <v>3185.148398117693</v>
      </c>
      <c r="J5">
        <v>5.6</v>
      </c>
      <c r="L5">
        <v>56.2</v>
      </c>
    </row>
    <row r="6" spans="1:12" x14ac:dyDescent="0.55000000000000004">
      <c r="A6" t="s">
        <v>2</v>
      </c>
      <c r="B6">
        <v>2.5499999999999998</v>
      </c>
      <c r="C6">
        <v>278.33</v>
      </c>
      <c r="D6">
        <v>7.8700000000000006E-2</v>
      </c>
      <c r="E6">
        <f>$J$2*D6</f>
        <v>1551354.0326254803</v>
      </c>
      <c r="F6">
        <f t="shared" ref="F6:F11" si="3">E6/B6</f>
        <v>608374.13044136483</v>
      </c>
      <c r="G6">
        <f t="shared" si="2"/>
        <v>8.4088419254901958E-2</v>
      </c>
      <c r="H6">
        <f t="shared" si="0"/>
        <v>5573.7938153468203</v>
      </c>
      <c r="J6" t="s">
        <v>49</v>
      </c>
    </row>
    <row r="7" spans="1:12" x14ac:dyDescent="0.55000000000000004">
      <c r="A7" t="s">
        <v>3</v>
      </c>
      <c r="B7">
        <v>2.8</v>
      </c>
      <c r="C7">
        <v>360.31</v>
      </c>
      <c r="D7">
        <v>9.4E-2</v>
      </c>
      <c r="E7">
        <f t="shared" si="1"/>
        <v>1852951.4493874861</v>
      </c>
      <c r="F7">
        <f t="shared" si="3"/>
        <v>661768.37478124513</v>
      </c>
      <c r="G7">
        <f t="shared" si="2"/>
        <v>9.1468479285714291E-2</v>
      </c>
      <c r="H7">
        <f t="shared" si="0"/>
        <v>5142.658958639744</v>
      </c>
      <c r="J7">
        <f>J5*9.86923</f>
        <v>55.267688</v>
      </c>
    </row>
    <row r="8" spans="1:12" x14ac:dyDescent="0.55000000000000004">
      <c r="A8" t="s">
        <v>45</v>
      </c>
      <c r="B8">
        <v>4.84</v>
      </c>
      <c r="C8">
        <v>119.98</v>
      </c>
      <c r="D8">
        <v>2.92E-2</v>
      </c>
      <c r="E8">
        <f t="shared" si="1"/>
        <v>575597.68427781481</v>
      </c>
      <c r="F8">
        <f>E8/B8</f>
        <v>118925.14137971381</v>
      </c>
      <c r="G8">
        <f t="shared" si="2"/>
        <v>1.6437627190082644E-2</v>
      </c>
      <c r="H8">
        <f t="shared" si="0"/>
        <v>4797.4469434723687</v>
      </c>
    </row>
    <row r="9" spans="1:12" x14ac:dyDescent="0.55000000000000004">
      <c r="A9" t="s">
        <v>60</v>
      </c>
      <c r="B9">
        <v>3</v>
      </c>
      <c r="C9">
        <v>341.76</v>
      </c>
      <c r="D9">
        <v>1.9E-2</v>
      </c>
      <c r="E9">
        <f>$J$2*D9</f>
        <v>374532.73976981099</v>
      </c>
      <c r="F9">
        <f t="shared" si="3"/>
        <v>124844.246589937</v>
      </c>
      <c r="G9">
        <f t="shared" si="2"/>
        <v>1.7255755666666664E-2</v>
      </c>
      <c r="H9">
        <f t="shared" si="0"/>
        <v>1095.8940185212166</v>
      </c>
    </row>
    <row r="10" spans="1:12" x14ac:dyDescent="0.55000000000000004">
      <c r="A10" t="s">
        <v>6</v>
      </c>
      <c r="B10">
        <v>2.8</v>
      </c>
      <c r="C10">
        <v>398.30810000000002</v>
      </c>
      <c r="D10">
        <v>5.7299999999999997E-2</v>
      </c>
      <c r="E10">
        <f t="shared" si="1"/>
        <v>1129511.8941479037</v>
      </c>
      <c r="F10">
        <f t="shared" si="3"/>
        <v>403397.10505282274</v>
      </c>
      <c r="G10">
        <f t="shared" si="2"/>
        <v>5.5756849607142847E-2</v>
      </c>
      <c r="H10">
        <f t="shared" si="0"/>
        <v>2835.7743519348555</v>
      </c>
      <c r="J10" t="s">
        <v>35</v>
      </c>
    </row>
    <row r="11" spans="1:12" x14ac:dyDescent="0.55000000000000004">
      <c r="A11" t="s">
        <v>46</v>
      </c>
      <c r="B11">
        <v>2.35</v>
      </c>
      <c r="C11">
        <v>366.67</v>
      </c>
      <c r="D11">
        <v>3.61E-2</v>
      </c>
      <c r="E11">
        <f>$J$2*D11</f>
        <v>711612.20556264091</v>
      </c>
      <c r="F11">
        <f t="shared" si="3"/>
        <v>302813.70449474081</v>
      </c>
      <c r="G11">
        <f t="shared" si="2"/>
        <v>4.1854386085106381E-2</v>
      </c>
      <c r="H11">
        <f t="shared" si="0"/>
        <v>1940.7429175079524</v>
      </c>
      <c r="J11">
        <v>0.3</v>
      </c>
    </row>
    <row r="13" spans="1:12" x14ac:dyDescent="0.55000000000000004">
      <c r="D13">
        <f>SUM(D4:D11)</f>
        <v>1</v>
      </c>
    </row>
    <row r="14" spans="1:12" x14ac:dyDescent="0.55000000000000004">
      <c r="A14" t="s">
        <v>7</v>
      </c>
      <c r="B14" cm="1">
        <f t="array" ref="B14">SUM(B4:B11*D4:D11)</f>
        <v>2.7245929999999996</v>
      </c>
      <c r="C14" cm="1">
        <f t="array" ref="C14">SUM(C4:C11*D4:D11)</f>
        <v>151.28357223</v>
      </c>
    </row>
    <row r="18" spans="1:11" x14ac:dyDescent="0.55000000000000004">
      <c r="A18" t="s">
        <v>17</v>
      </c>
      <c r="H18" t="s">
        <v>34</v>
      </c>
    </row>
    <row r="19" spans="1:11" x14ac:dyDescent="0.55000000000000004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H19">
        <f>(H2/(1-L2))*L2</f>
        <v>2813585.2916784887</v>
      </c>
      <c r="I19" t="s">
        <v>38</v>
      </c>
      <c r="K19" t="s">
        <v>44</v>
      </c>
    </row>
    <row r="20" spans="1:11" x14ac:dyDescent="0.55000000000000004">
      <c r="A20" t="s">
        <v>28</v>
      </c>
      <c r="B20">
        <v>20.99</v>
      </c>
      <c r="C20">
        <v>47520</v>
      </c>
      <c r="D20">
        <f>C20*0.000998859</f>
        <v>47.465779679999997</v>
      </c>
      <c r="E20">
        <f t="shared" ref="E20:E26" si="4">D20/B20</f>
        <v>2.2613520571700811</v>
      </c>
      <c r="I20">
        <v>0.98748999999999998</v>
      </c>
      <c r="K20">
        <f>H2+H22+B32</f>
        <v>10048518.898851745</v>
      </c>
    </row>
    <row r="21" spans="1:11" x14ac:dyDescent="0.55000000000000004">
      <c r="A21" t="s">
        <v>29</v>
      </c>
      <c r="B21">
        <v>35.450000000000003</v>
      </c>
      <c r="C21">
        <v>86500</v>
      </c>
      <c r="D21">
        <f t="shared" ref="D21:D26" si="5">C21*0.000998859</f>
        <v>86.401303499999997</v>
      </c>
      <c r="E21">
        <f t="shared" si="4"/>
        <v>2.4372723131170662</v>
      </c>
      <c r="H21" t="s">
        <v>36</v>
      </c>
    </row>
    <row r="22" spans="1:11" x14ac:dyDescent="0.55000000000000004">
      <c r="A22" t="s">
        <v>30</v>
      </c>
      <c r="B22">
        <v>40.078000000000003</v>
      </c>
      <c r="C22">
        <v>5840</v>
      </c>
      <c r="D22">
        <f t="shared" si="5"/>
        <v>5.8333365599999993</v>
      </c>
      <c r="E22">
        <f t="shared" si="4"/>
        <v>0.14554959229502468</v>
      </c>
      <c r="H22">
        <f>H19*J11</f>
        <v>844075.58750354662</v>
      </c>
      <c r="I22" t="s">
        <v>41</v>
      </c>
    </row>
    <row r="23" spans="1:11" x14ac:dyDescent="0.55000000000000004">
      <c r="A23" t="s">
        <v>27</v>
      </c>
      <c r="B23">
        <v>39.098300000000002</v>
      </c>
      <c r="C23">
        <v>1152</v>
      </c>
      <c r="D23">
        <f t="shared" si="5"/>
        <v>1.1506855679999999</v>
      </c>
      <c r="E23">
        <f t="shared" si="4"/>
        <v>2.9430578004670277E-2</v>
      </c>
      <c r="I23">
        <f>H22*I20</f>
        <v>833516.2019038772</v>
      </c>
    </row>
    <row r="24" spans="1:11" x14ac:dyDescent="0.55000000000000004">
      <c r="A24" t="s">
        <v>31</v>
      </c>
      <c r="B24">
        <v>61.016800000000003</v>
      </c>
      <c r="C24">
        <v>596.70000000000005</v>
      </c>
      <c r="D24">
        <f t="shared" si="5"/>
        <v>0.59601916529999999</v>
      </c>
      <c r="E24">
        <f t="shared" si="4"/>
        <v>9.7681157533662851E-3</v>
      </c>
    </row>
    <row r="25" spans="1:11" x14ac:dyDescent="0.55000000000000004">
      <c r="A25" t="s">
        <v>32</v>
      </c>
      <c r="B25">
        <v>96.06</v>
      </c>
      <c r="C25">
        <v>61.5</v>
      </c>
      <c r="D25">
        <f t="shared" si="5"/>
        <v>6.1429828499999999E-2</v>
      </c>
      <c r="E25">
        <f t="shared" si="4"/>
        <v>6.394943628981886E-4</v>
      </c>
    </row>
    <row r="26" spans="1:11" x14ac:dyDescent="0.55000000000000004">
      <c r="A26" t="s">
        <v>33</v>
      </c>
      <c r="B26" s="2">
        <v>24.305</v>
      </c>
      <c r="C26">
        <v>771</v>
      </c>
      <c r="D26">
        <f t="shared" si="5"/>
        <v>0.77012028899999996</v>
      </c>
      <c r="E26">
        <f t="shared" si="4"/>
        <v>3.1685673277103477E-2</v>
      </c>
    </row>
    <row r="30" spans="1:11" x14ac:dyDescent="0.55000000000000004">
      <c r="A30" t="s">
        <v>37</v>
      </c>
    </row>
    <row r="31" spans="1:11" x14ac:dyDescent="0.55000000000000004">
      <c r="A31" t="s">
        <v>38</v>
      </c>
      <c r="B31" t="s">
        <v>39</v>
      </c>
      <c r="C31" t="s">
        <v>40</v>
      </c>
      <c r="D31" t="s">
        <v>16</v>
      </c>
      <c r="E31" t="s">
        <v>48</v>
      </c>
    </row>
    <row r="32" spans="1:11" x14ac:dyDescent="0.55000000000000004">
      <c r="A32">
        <f>0.0039982</f>
        <v>3.9982000000000004E-3</v>
      </c>
      <c r="B32">
        <f>(1-J11)*(H2/(1-L2))*L2</f>
        <v>1969509.7041749419</v>
      </c>
      <c r="C32">
        <f>B32*A32</f>
        <v>7874.4936992322537</v>
      </c>
      <c r="D32">
        <f>C32/2.016</f>
        <v>3905.9988587461576</v>
      </c>
      <c r="E32">
        <f>(B32/1000)/D32</f>
        <v>0.50422690210594756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BA88-2558-443E-B575-CDE6CD476052}">
  <dimension ref="A1:L33"/>
  <sheetViews>
    <sheetView zoomScale="90" zoomScaleNormal="90" workbookViewId="0">
      <selection activeCell="J7" sqref="J7"/>
    </sheetView>
  </sheetViews>
  <sheetFormatPr defaultRowHeight="14.4" x14ac:dyDescent="0.55000000000000004"/>
  <cols>
    <col min="5" max="5" width="11.68359375" bestFit="1" customWidth="1"/>
  </cols>
  <sheetData>
    <row r="1" spans="1:12" x14ac:dyDescent="0.55000000000000004">
      <c r="A1" s="1" t="s">
        <v>50</v>
      </c>
      <c r="F1" t="s">
        <v>10</v>
      </c>
      <c r="H1" t="s">
        <v>58</v>
      </c>
      <c r="J1" t="s">
        <v>12</v>
      </c>
      <c r="L1" t="s">
        <v>24</v>
      </c>
    </row>
    <row r="2" spans="1:12" x14ac:dyDescent="0.55000000000000004">
      <c r="F2">
        <v>103100</v>
      </c>
      <c r="H2">
        <f>10000000*(1-L2)</f>
        <v>8300000</v>
      </c>
      <c r="J2">
        <f>H2*B16</f>
        <v>23657739</v>
      </c>
      <c r="L2">
        <v>0.17</v>
      </c>
    </row>
    <row r="3" spans="1:12" x14ac:dyDescent="0.55000000000000004">
      <c r="A3" t="s">
        <v>18</v>
      </c>
      <c r="B3" t="s">
        <v>0</v>
      </c>
      <c r="C3" t="s">
        <v>8</v>
      </c>
      <c r="D3" t="s">
        <v>9</v>
      </c>
      <c r="E3" t="s">
        <v>13</v>
      </c>
      <c r="F3" t="s">
        <v>14</v>
      </c>
      <c r="G3" t="s">
        <v>15</v>
      </c>
      <c r="H3" t="s">
        <v>16</v>
      </c>
    </row>
    <row r="4" spans="1:12" x14ac:dyDescent="0.55000000000000004">
      <c r="A4" s="3" t="s">
        <v>42</v>
      </c>
      <c r="B4">
        <v>2.65</v>
      </c>
      <c r="C4">
        <v>60.08</v>
      </c>
      <c r="D4">
        <f>(($H$2*G4)*B4)/$J$2</f>
        <v>0.58386221946230787</v>
      </c>
      <c r="E4">
        <f>$J$2*D4</f>
        <v>13812860</v>
      </c>
      <c r="F4">
        <f>$H$2*G4</f>
        <v>5212400</v>
      </c>
      <c r="G4">
        <v>0.628</v>
      </c>
      <c r="H4">
        <f>E4/C4</f>
        <v>229907.7896138482</v>
      </c>
      <c r="J4" t="s">
        <v>25</v>
      </c>
      <c r="L4" t="s">
        <v>26</v>
      </c>
    </row>
    <row r="5" spans="1:12" x14ac:dyDescent="0.55000000000000004">
      <c r="A5" s="3" t="s">
        <v>52</v>
      </c>
      <c r="B5">
        <v>2.75</v>
      </c>
      <c r="C5">
        <v>389.34</v>
      </c>
      <c r="D5">
        <f t="shared" ref="D5:D14" si="0">(($H$2*G5)*B5)/$J$2</f>
        <v>6.6571239119680881E-2</v>
      </c>
      <c r="E5">
        <f t="shared" ref="E5:E10" si="1">$J$2*D5</f>
        <v>1574925</v>
      </c>
      <c r="F5">
        <f t="shared" ref="F5:F14" si="2">$H$2*G5</f>
        <v>572700</v>
      </c>
      <c r="G5">
        <v>6.9000000000000006E-2</v>
      </c>
      <c r="H5">
        <f t="shared" ref="H5:H14" si="3">E5/C5</f>
        <v>4045.1148096779166</v>
      </c>
      <c r="J5">
        <v>5</v>
      </c>
      <c r="L5">
        <v>46</v>
      </c>
    </row>
    <row r="6" spans="1:12" x14ac:dyDescent="0.55000000000000004">
      <c r="A6" s="3" t="s">
        <v>2</v>
      </c>
      <c r="B6">
        <v>2.5499999999999998</v>
      </c>
      <c r="C6">
        <v>278.33</v>
      </c>
      <c r="D6">
        <f t="shared" si="0"/>
        <v>5.1888728673522011E-2</v>
      </c>
      <c r="E6">
        <f>$J$2*D6</f>
        <v>1227570</v>
      </c>
      <c r="F6">
        <f t="shared" si="2"/>
        <v>481400</v>
      </c>
      <c r="G6">
        <v>5.8000000000000003E-2</v>
      </c>
      <c r="H6">
        <f t="shared" si="3"/>
        <v>4410.4839578917117</v>
      </c>
      <c r="J6" t="s">
        <v>49</v>
      </c>
    </row>
    <row r="7" spans="1:12" x14ac:dyDescent="0.55000000000000004">
      <c r="A7" s="3" t="s">
        <v>56</v>
      </c>
      <c r="B7">
        <v>3.8</v>
      </c>
      <c r="C7">
        <v>88.85</v>
      </c>
      <c r="D7">
        <f t="shared" si="0"/>
        <v>1.8664505513396695E-2</v>
      </c>
      <c r="E7">
        <f t="shared" si="1"/>
        <v>441560</v>
      </c>
      <c r="F7">
        <f t="shared" si="2"/>
        <v>116200</v>
      </c>
      <c r="G7">
        <v>1.4E-2</v>
      </c>
      <c r="H7">
        <f t="shared" si="3"/>
        <v>4969.7242543612838</v>
      </c>
      <c r="J7">
        <f>J5*9.86923</f>
        <v>49.346150000000002</v>
      </c>
    </row>
    <row r="8" spans="1:12" x14ac:dyDescent="0.55000000000000004">
      <c r="A8" s="3" t="s">
        <v>45</v>
      </c>
      <c r="B8">
        <v>4.84</v>
      </c>
      <c r="C8">
        <v>119.98</v>
      </c>
      <c r="D8">
        <f t="shared" si="0"/>
        <v>0.13584391982682706</v>
      </c>
      <c r="E8">
        <f t="shared" si="1"/>
        <v>3213759.9999999995</v>
      </c>
      <c r="F8">
        <f t="shared" si="2"/>
        <v>664000</v>
      </c>
      <c r="G8">
        <v>0.08</v>
      </c>
      <c r="H8">
        <f t="shared" si="3"/>
        <v>26785.797632938818</v>
      </c>
    </row>
    <row r="9" spans="1:12" x14ac:dyDescent="0.55000000000000004">
      <c r="A9" s="3" t="s">
        <v>54</v>
      </c>
      <c r="B9">
        <v>2.62</v>
      </c>
      <c r="C9">
        <v>263.02</v>
      </c>
      <c r="D9">
        <f t="shared" si="0"/>
        <v>2.6656562573456406E-2</v>
      </c>
      <c r="E9">
        <f>$J$2*D9</f>
        <v>630634</v>
      </c>
      <c r="F9">
        <f t="shared" si="2"/>
        <v>240700</v>
      </c>
      <c r="G9">
        <v>2.9000000000000001E-2</v>
      </c>
      <c r="H9">
        <f t="shared" si="3"/>
        <v>2397.6655767622237</v>
      </c>
    </row>
    <row r="10" spans="1:12" x14ac:dyDescent="0.55000000000000004">
      <c r="A10" s="3" t="s">
        <v>6</v>
      </c>
      <c r="B10">
        <v>2.7</v>
      </c>
      <c r="C10">
        <v>398.30810000000002</v>
      </c>
      <c r="D10">
        <f t="shared" si="0"/>
        <v>5.6835524307711736E-3</v>
      </c>
      <c r="E10">
        <f t="shared" si="1"/>
        <v>134460</v>
      </c>
      <c r="F10">
        <f t="shared" si="2"/>
        <v>49800</v>
      </c>
      <c r="G10">
        <v>6.0000000000000001E-3</v>
      </c>
      <c r="H10">
        <f t="shared" si="3"/>
        <v>337.57786999561392</v>
      </c>
      <c r="J10" t="s">
        <v>35</v>
      </c>
    </row>
    <row r="11" spans="1:12" x14ac:dyDescent="0.55000000000000004">
      <c r="A11" s="3" t="s">
        <v>55</v>
      </c>
      <c r="B11">
        <v>2.73</v>
      </c>
      <c r="C11">
        <v>278.20299999999997</v>
      </c>
      <c r="D11">
        <f t="shared" si="0"/>
        <v>2.7775731231120607E-2</v>
      </c>
      <c r="E11">
        <f>$J$2*D11</f>
        <v>657111</v>
      </c>
      <c r="F11">
        <f t="shared" si="2"/>
        <v>240700</v>
      </c>
      <c r="G11">
        <v>2.9000000000000001E-2</v>
      </c>
      <c r="H11">
        <f t="shared" si="3"/>
        <v>2361.9838750840217</v>
      </c>
      <c r="J11">
        <v>0.3</v>
      </c>
    </row>
    <row r="12" spans="1:12" x14ac:dyDescent="0.55000000000000004">
      <c r="A12" s="3" t="s">
        <v>53</v>
      </c>
      <c r="B12">
        <v>3.3</v>
      </c>
      <c r="C12">
        <v>512.88</v>
      </c>
      <c r="D12">
        <f t="shared" si="0"/>
        <v>4.6310427213691044E-3</v>
      </c>
      <c r="E12">
        <f>$J$2*D12</f>
        <v>109560</v>
      </c>
      <c r="F12">
        <f t="shared" si="2"/>
        <v>33200</v>
      </c>
      <c r="G12">
        <v>4.0000000000000001E-3</v>
      </c>
      <c r="H12">
        <f t="shared" si="3"/>
        <v>213.61722040243333</v>
      </c>
    </row>
    <row r="13" spans="1:12" x14ac:dyDescent="0.55000000000000004">
      <c r="A13" s="3" t="s">
        <v>51</v>
      </c>
      <c r="B13">
        <v>2.61</v>
      </c>
      <c r="C13">
        <v>60</v>
      </c>
      <c r="D13">
        <f t="shared" si="0"/>
        <v>1.2819568260517203E-2</v>
      </c>
      <c r="E13">
        <f>$J$2*D13</f>
        <v>303282</v>
      </c>
      <c r="F13">
        <f t="shared" si="2"/>
        <v>116200</v>
      </c>
      <c r="G13">
        <v>1.4E-2</v>
      </c>
      <c r="H13">
        <f t="shared" si="3"/>
        <v>5054.7</v>
      </c>
    </row>
    <row r="14" spans="1:12" x14ac:dyDescent="0.55000000000000004">
      <c r="A14" s="3" t="s">
        <v>4</v>
      </c>
      <c r="B14">
        <v>2.71</v>
      </c>
      <c r="C14">
        <v>100.09</v>
      </c>
      <c r="D14">
        <f t="shared" si="0"/>
        <v>6.5602930187030978E-2</v>
      </c>
      <c r="E14">
        <f>$J$2*D14</f>
        <v>1552017</v>
      </c>
      <c r="F14">
        <f t="shared" si="2"/>
        <v>572700</v>
      </c>
      <c r="G14">
        <v>6.9000000000000006E-2</v>
      </c>
      <c r="H14">
        <f t="shared" si="3"/>
        <v>15506.214407033669</v>
      </c>
    </row>
    <row r="16" spans="1:12" x14ac:dyDescent="0.55000000000000004">
      <c r="A16" t="s">
        <v>57</v>
      </c>
      <c r="B16" cm="1">
        <f t="array" ref="B16">SUM(B4:B14*G4:G14)</f>
        <v>2.85033</v>
      </c>
      <c r="D16">
        <f>SUM(D4:D14)</f>
        <v>1</v>
      </c>
      <c r="G16">
        <f>SUM(G4:G14)</f>
        <v>1.0000000000000002</v>
      </c>
    </row>
    <row r="19" spans="1:11" x14ac:dyDescent="0.55000000000000004">
      <c r="A19" t="s">
        <v>17</v>
      </c>
      <c r="H19" t="s">
        <v>34</v>
      </c>
      <c r="I19" t="s">
        <v>38</v>
      </c>
      <c r="K19" t="s">
        <v>44</v>
      </c>
    </row>
    <row r="20" spans="1:11" x14ac:dyDescent="0.55000000000000004">
      <c r="A20" t="s">
        <v>18</v>
      </c>
      <c r="B20" t="s">
        <v>19</v>
      </c>
      <c r="C20" t="s">
        <v>20</v>
      </c>
      <c r="D20" t="s">
        <v>21</v>
      </c>
      <c r="E20" t="s">
        <v>59</v>
      </c>
      <c r="F20" t="s">
        <v>22</v>
      </c>
      <c r="H20">
        <f>(H2/(1-L2))*L2</f>
        <v>1700000.0000000002</v>
      </c>
      <c r="I20">
        <v>0.99192000000000002</v>
      </c>
      <c r="K20">
        <f>H2+H23+B33</f>
        <v>10000000</v>
      </c>
    </row>
    <row r="21" spans="1:11" x14ac:dyDescent="0.55000000000000004">
      <c r="A21" t="s">
        <v>28</v>
      </c>
      <c r="B21">
        <v>20.99</v>
      </c>
      <c r="C21">
        <f>D21*1001.142303</f>
        <v>29533.697938499998</v>
      </c>
      <c r="D21">
        <f>E21/1000</f>
        <v>29.5</v>
      </c>
      <c r="E21">
        <f>29500</f>
        <v>29500</v>
      </c>
      <c r="F21">
        <f t="shared" ref="F21:F27" si="4">D21/B21</f>
        <v>1.4054311576941401</v>
      </c>
    </row>
    <row r="22" spans="1:11" x14ac:dyDescent="0.55000000000000004">
      <c r="A22" t="s">
        <v>29</v>
      </c>
      <c r="B22">
        <v>35.450000000000003</v>
      </c>
      <c r="C22">
        <f t="shared" ref="C22:C27" si="5">D22*1001.142303</f>
        <v>50757.914762100001</v>
      </c>
      <c r="D22">
        <f t="shared" ref="D22:D27" si="6">E22/1000</f>
        <v>50.7</v>
      </c>
      <c r="E22">
        <v>50700</v>
      </c>
      <c r="F22">
        <f t="shared" si="4"/>
        <v>1.4301833568406206</v>
      </c>
      <c r="H22" t="s">
        <v>36</v>
      </c>
      <c r="I22" t="s">
        <v>41</v>
      </c>
    </row>
    <row r="23" spans="1:11" x14ac:dyDescent="0.55000000000000004">
      <c r="A23" t="s">
        <v>30</v>
      </c>
      <c r="B23">
        <v>40.078000000000003</v>
      </c>
      <c r="C23">
        <f t="shared" si="5"/>
        <v>1179.3456329339999</v>
      </c>
      <c r="D23">
        <f t="shared" si="6"/>
        <v>1.1779999999999999</v>
      </c>
      <c r="E23">
        <v>1178</v>
      </c>
      <c r="F23">
        <f t="shared" si="4"/>
        <v>2.9392684265681916E-2</v>
      </c>
      <c r="H23">
        <f>H20*J11</f>
        <v>510000.00000000006</v>
      </c>
      <c r="I23">
        <f>H23*I20</f>
        <v>505879.20000000007</v>
      </c>
    </row>
    <row r="24" spans="1:11" x14ac:dyDescent="0.55000000000000004">
      <c r="A24" t="s">
        <v>27</v>
      </c>
      <c r="B24">
        <v>39.098300000000002</v>
      </c>
      <c r="C24">
        <f t="shared" si="5"/>
        <v>211.24102593299997</v>
      </c>
      <c r="D24">
        <f t="shared" si="6"/>
        <v>0.21099999999999999</v>
      </c>
      <c r="E24">
        <v>211</v>
      </c>
      <c r="F24">
        <f t="shared" si="4"/>
        <v>5.3966540744738254E-3</v>
      </c>
      <c r="H24">
        <f>H23/(1000)</f>
        <v>510.00000000000006</v>
      </c>
    </row>
    <row r="25" spans="1:11" x14ac:dyDescent="0.55000000000000004">
      <c r="A25" t="s">
        <v>31</v>
      </c>
      <c r="B25">
        <v>61.016800000000003</v>
      </c>
      <c r="C25">
        <f t="shared" si="5"/>
        <v>110.12565332999999</v>
      </c>
      <c r="D25">
        <f t="shared" si="6"/>
        <v>0.11</v>
      </c>
      <c r="E25">
        <v>110</v>
      </c>
      <c r="F25">
        <f t="shared" si="4"/>
        <v>1.8027821845786733E-3</v>
      </c>
    </row>
    <row r="26" spans="1:11" x14ac:dyDescent="0.55000000000000004">
      <c r="A26" t="s">
        <v>32</v>
      </c>
      <c r="B26">
        <v>96.06</v>
      </c>
      <c r="C26">
        <f t="shared" si="5"/>
        <v>728.83159658399995</v>
      </c>
      <c r="D26">
        <f t="shared" si="6"/>
        <v>0.72799999999999998</v>
      </c>
      <c r="E26">
        <v>728</v>
      </c>
      <c r="F26">
        <f t="shared" si="4"/>
        <v>7.5785967103893393E-3</v>
      </c>
    </row>
    <row r="27" spans="1:11" x14ac:dyDescent="0.55000000000000004">
      <c r="A27" t="s">
        <v>33</v>
      </c>
      <c r="B27" s="2">
        <v>24.305</v>
      </c>
      <c r="C27">
        <f t="shared" si="5"/>
        <v>164.187337692</v>
      </c>
      <c r="D27">
        <f t="shared" si="6"/>
        <v>0.16400000000000001</v>
      </c>
      <c r="E27">
        <v>164</v>
      </c>
      <c r="F27">
        <f t="shared" si="4"/>
        <v>6.747582801892615E-3</v>
      </c>
    </row>
    <row r="31" spans="1:11" x14ac:dyDescent="0.55000000000000004">
      <c r="A31" t="s">
        <v>37</v>
      </c>
    </row>
    <row r="32" spans="1:11" x14ac:dyDescent="0.55000000000000004">
      <c r="A32" t="s">
        <v>38</v>
      </c>
      <c r="B32" t="s">
        <v>39</v>
      </c>
      <c r="C32" t="s">
        <v>40</v>
      </c>
      <c r="D32" t="s">
        <v>16</v>
      </c>
      <c r="E32" t="s">
        <v>43</v>
      </c>
    </row>
    <row r="33" spans="1:5" x14ac:dyDescent="0.55000000000000004">
      <c r="A33">
        <f>0.0036937</f>
        <v>3.6936999999999998E-3</v>
      </c>
      <c r="B33">
        <f>(1-J11)*(H2/(1-L2))*L2</f>
        <v>1190000</v>
      </c>
      <c r="C33">
        <f>B33*A33</f>
        <v>4395.5029999999997</v>
      </c>
      <c r="D33">
        <f>C33/2.016</f>
        <v>2180.3090277777778</v>
      </c>
      <c r="E33">
        <f>(B33/1000)/D33</f>
        <v>0.54579419010748031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Mondarra</vt:lpstr>
      <vt:lpstr>PFLOTRAN_EX1</vt:lpstr>
      <vt:lpstr>H_Amount_Calc</vt:lpstr>
      <vt:lpstr>Tubridgi</vt:lpstr>
      <vt:lpstr>Chabowo3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16088</dc:creator>
  <cp:lastModifiedBy>Zitong Huang</cp:lastModifiedBy>
  <dcterms:created xsi:type="dcterms:W3CDTF">2023-02-16T22:55:48Z</dcterms:created>
  <dcterms:modified xsi:type="dcterms:W3CDTF">2024-03-03T00:25:40Z</dcterms:modified>
</cp:coreProperties>
</file>