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PHREEQC_Cases\"/>
    </mc:Choice>
  </mc:AlternateContent>
  <xr:revisionPtr revIDLastSave="0" documentId="13_ncr:1_{A86EA8FE-235A-4EBC-9F6D-096C5178C0B6}" xr6:coauthVersionLast="47" xr6:coauthVersionMax="47" xr10:uidLastSave="{00000000-0000-0000-0000-000000000000}"/>
  <bookViews>
    <workbookView xWindow="15" yWindow="0" windowWidth="24135" windowHeight="15135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4" l="1"/>
  <c r="D26" i="4"/>
  <c r="D29" i="4"/>
  <c r="E29" i="4"/>
  <c r="E26" i="4"/>
  <c r="A26" i="4"/>
  <c r="B26" i="4"/>
  <c r="H18" i="4"/>
  <c r="Q5" i="4"/>
  <c r="Q2" i="4"/>
  <c r="D13" i="4"/>
  <c r="C14" i="4" a="1"/>
  <c r="C14" i="4" s="1"/>
  <c r="K2" i="4" s="1"/>
  <c r="E10" i="4" s="1"/>
  <c r="B14" i="4" a="1"/>
  <c r="B14" i="4" s="1"/>
  <c r="B5" i="5"/>
  <c r="B4" i="5"/>
  <c r="F4" i="5"/>
  <c r="E4" i="5"/>
  <c r="F5" i="5"/>
  <c r="G5" i="5" s="1"/>
  <c r="E5" i="5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E11" i="4" l="1"/>
  <c r="F10" i="4"/>
  <c r="H10" i="4"/>
  <c r="E7" i="4"/>
  <c r="H7" i="4" s="1"/>
  <c r="E4" i="4"/>
  <c r="E9" i="4"/>
  <c r="H9" i="4" s="1"/>
  <c r="H2" i="4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F11" i="4" l="1"/>
  <c r="G11" i="4" s="1"/>
  <c r="O11" i="4" s="1"/>
  <c r="H11" i="4"/>
  <c r="G10" i="4"/>
  <c r="O10" i="4" s="1"/>
  <c r="F7" i="4"/>
  <c r="G7" i="4" s="1"/>
  <c r="O7" i="4" s="1"/>
  <c r="F9" i="4"/>
  <c r="G9" i="4" s="1"/>
  <c r="H21" i="4"/>
  <c r="F31" i="4"/>
  <c r="E8" i="4"/>
  <c r="E6" i="4"/>
  <c r="H4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6" i="4" l="1"/>
  <c r="G6" i="4" s="1"/>
  <c r="O9" i="4"/>
  <c r="K22" i="4"/>
  <c r="I25" i="4"/>
  <c r="H8" i="4"/>
  <c r="F8" i="4"/>
  <c r="G8" i="4" s="1"/>
  <c r="O8" i="4" s="1"/>
  <c r="H6" i="4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O6" i="4" l="1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<sst xmlns="http://schemas.openxmlformats.org/spreadsheetml/2006/main" count="214" uniqueCount="79">
  <si>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</si>
  <si>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</si>
  <si>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</si>
  <si>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</si>
  <si>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</si>
  <si>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</si>
  <si>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</si>
  <si>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</si>
  <si>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</si>
  <si>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</si>
  <si>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</si>
  <si>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</si>
  <si>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</si>
  <si>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</si>
  <si>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</si>
  <si>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</si>
  <si>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</si>
  <si>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</si>
  <si>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</si>
  <si>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</si>
  <si>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</si>
  <si>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</si>
  <si>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</si>
  <si>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</si>
  <si>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</si>
  <si>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</si>
  <si>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</si>
  <si>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</si>
  <si>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</si>
  <si>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</si>
  <si>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</si>
  <si>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</si>
  <si>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</si>
  <si>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</si>
  <si>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</si>
  <si>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</si>
  <si>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</si>
  <si>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</si>
  <si>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</si>
  <si>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</si>
  <si>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</si>
  <si>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</si>
  <si>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</si>
  <si>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</si>
  <si>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</si>
  <si>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</si>
  <si>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</si>
  <si>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</si>
  <si>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</si>
  <si>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</si>
  <si>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</si>
  <si>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</si>
  <si>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</si>
  <si>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</si>
  <si>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</si>
  <si>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</si>
  <si>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</si>
  <si>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</si>
  <si>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</si>
  <si>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</si>
  <si>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</si>
  <si>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</si>
  <si>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</si>
  <si>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</si>
  <si>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</si>
  <si>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</si>
  <si>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</si>
  <si>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</si>
  <si>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</si>
  <si>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</si>
  <si>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</si>
  <si>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</si>
  <si>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</si>
  <si>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</si>
  <si>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</si>
  <si>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</si>
  <si>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</si>
  <si>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</si>
  <si>
    <t>Plume Volume 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</si>
</sst>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  <font>
      <sz val="13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6.28515625" bestFit="1" customWidth="1"/>
    <col min="6" max="6" width="16.5703125" bestFit="1" customWidth="1"/>
    <col min="8" max="8" width="14.5703125" bestFit="1" customWidth="1"/>
    <col min="9" max="9" width="11.42578125" bestFit="1" customWidth="1"/>
    <col min="10" max="10" width="13.28515625" bestFit="1" customWidth="1"/>
  </cols>
  <sheetData>
    <row r="1" spans="1:12" x14ac:dyDescent="0.25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25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25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25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25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25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25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25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25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25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25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25">
      <c r="A16" t="s">
        <v>17</v>
      </c>
      <c r="H16" t="s">
        <v>34</v>
      </c>
      <c r="I16" t="s">
        <v>38</v>
      </c>
      <c r="K16" t="s">
        <v>44</v>
      </c>
    </row>
    <row r="17" spans="1:11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25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25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25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25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25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25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25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25">
      <c r="A28" t="s">
        <v>37</v>
      </c>
    </row>
    <row r="29" spans="1:11" x14ac:dyDescent="0.25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25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Q32"/>
  <sheetViews>
    <sheetView tabSelected="1" zoomScale="80" workbookViewId="0">
      <selection activeCell="B35" sqref="B35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3" bestFit="1" customWidth="1"/>
    <col min="4" max="4" width="10.85546875" bestFit="1" customWidth="1"/>
    <col min="5" max="5" width="11.7109375" bestFit="1" customWidth="1"/>
    <col min="6" max="6" width="13" bestFit="1" customWidth="1"/>
    <col min="8" max="8" width="26.7109375" customWidth="1"/>
    <col min="17" max="17" width="21" bestFit="1" customWidth="1"/>
  </cols>
  <sheetData>
    <row r="1" spans="1:17" x14ac:dyDescent="0.25">
      <c r="A1" s="1" t="s">
        <v>74</v>
      </c>
      <c r="F1" t="s">
        <v>10</v>
      </c>
      <c r="H1" t="s">
        <v>61</v>
      </c>
      <c r="K1" t="s">
        <v>12</v>
      </c>
      <c r="M1" t="s">
        <v>24</v>
      </c>
      <c r="Q1" t="s">
        <v>78</v>
      </c>
    </row>
    <row r="2" spans="1:17" x14ac:dyDescent="0.25">
      <c r="F2">
        <v>4893370000000</v>
      </c>
      <c r="H2">
        <f>K2/B14</f>
        <v>155648143239373.59</v>
      </c>
      <c r="K2">
        <f>F2*C14</f>
        <v>419308182558170</v>
      </c>
      <c r="M2">
        <v>0.2</v>
      </c>
      <c r="Q2">
        <f>38000*16*16*20*1000000</f>
        <v>194560000000000</v>
      </c>
    </row>
    <row r="3" spans="1:17" x14ac:dyDescent="0.25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7" x14ac:dyDescent="0.25">
      <c r="A4" t="s">
        <v>42</v>
      </c>
      <c r="B4">
        <v>2.65</v>
      </c>
      <c r="C4">
        <v>60.084299999999999</v>
      </c>
      <c r="D4">
        <v>0.77</v>
      </c>
      <c r="E4">
        <f>$K$2*D4</f>
        <v>322867300569790.94</v>
      </c>
      <c r="F4">
        <f>E4/B4</f>
        <v>121836717196147.53</v>
      </c>
      <c r="G4">
        <f>F4/$H$2</f>
        <v>0.78277012921877931</v>
      </c>
      <c r="H4">
        <f>E4/C4</f>
        <v>5373571807773.2607</v>
      </c>
      <c r="J4" t="s">
        <v>25</v>
      </c>
      <c r="L4" t="s">
        <v>26</v>
      </c>
      <c r="O4">
        <f>G4*0.8</f>
        <v>0.62621610337502354</v>
      </c>
      <c r="Q4" t="s">
        <v>58</v>
      </c>
    </row>
    <row r="5" spans="1:17" x14ac:dyDescent="0.25">
      <c r="A5" t="s">
        <v>4</v>
      </c>
      <c r="B5">
        <v>2.71</v>
      </c>
      <c r="C5">
        <v>100.0872</v>
      </c>
      <c r="D5">
        <v>0.1</v>
      </c>
      <c r="E5">
        <f>$K$2*D5</f>
        <v>41930818255817</v>
      </c>
      <c r="F5">
        <f>E5/B5</f>
        <v>15472626662663.1</v>
      </c>
      <c r="G5">
        <f>F5/$H$2</f>
        <v>9.9407717565043588E-2</v>
      </c>
      <c r="H5">
        <f>E5/C5</f>
        <v>418942864380.4303</v>
      </c>
      <c r="J5">
        <v>13</v>
      </c>
      <c r="L5">
        <v>50</v>
      </c>
      <c r="O5">
        <f t="shared" ref="O5:O6" si="0">G5*0.8</f>
        <v>7.9526174052034881E-2</v>
      </c>
      <c r="Q5">
        <f>Q2*0.8</f>
        <v>155648000000000</v>
      </c>
    </row>
    <row r="6" spans="1:17" x14ac:dyDescent="0.25">
      <c r="A6" t="s">
        <v>45</v>
      </c>
      <c r="B6">
        <v>5</v>
      </c>
      <c r="C6">
        <v>119.979</v>
      </c>
      <c r="D6">
        <v>0.03</v>
      </c>
      <c r="E6">
        <f>$K$2*D6</f>
        <v>12579245476745.1</v>
      </c>
      <c r="F6">
        <f>E6/B6</f>
        <v>2515849095349.02</v>
      </c>
      <c r="G6">
        <f>F6/$H$2</f>
        <v>1.6163694876076089E-2</v>
      </c>
      <c r="H6">
        <f>E6/C6</f>
        <v>104845393583.4196</v>
      </c>
      <c r="O6">
        <f t="shared" si="0"/>
        <v>1.2930955900860873E-2</v>
      </c>
    </row>
    <row r="7" spans="1:17" x14ac:dyDescent="0.25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>
        <f t="shared" ref="H7" si="4">E7/C7</f>
        <v>0</v>
      </c>
      <c r="O7">
        <f>G7*0.8</f>
        <v>0</v>
      </c>
    </row>
    <row r="8" spans="1:17" x14ac:dyDescent="0.25">
      <c r="A8" t="s">
        <v>1</v>
      </c>
      <c r="B8">
        <v>2.65</v>
      </c>
      <c r="C8">
        <v>258.16039999999998</v>
      </c>
      <c r="D8">
        <v>0.1</v>
      </c>
      <c r="E8">
        <f>$K$2*D8</f>
        <v>41930818255817</v>
      </c>
      <c r="F8">
        <f>E8/B8</f>
        <v>15822950285213.963</v>
      </c>
      <c r="G8">
        <f>F8/$H$2</f>
        <v>0.10165845834010119</v>
      </c>
      <c r="H8">
        <f>E8/C8</f>
        <v>162421573005.84058</v>
      </c>
      <c r="O8">
        <f>G8*0.8</f>
        <v>8.1326766672080955E-2</v>
      </c>
    </row>
    <row r="9" spans="1:17" x14ac:dyDescent="0.25">
      <c r="A9" t="s">
        <v>75</v>
      </c>
      <c r="B9">
        <v>5.25</v>
      </c>
      <c r="C9">
        <v>159.69220000000001</v>
      </c>
      <c r="D9">
        <v>0</v>
      </c>
      <c r="E9">
        <f>$K$2*D9</f>
        <v>0</v>
      </c>
      <c r="F9">
        <f>E9/B9</f>
        <v>0</v>
      </c>
      <c r="G9">
        <f>F9/$H$2</f>
        <v>0</v>
      </c>
      <c r="H9">
        <f>E9/C9</f>
        <v>0</v>
      </c>
      <c r="O9">
        <f>G9*0.8</f>
        <v>0</v>
      </c>
    </row>
    <row r="10" spans="1:17" x14ac:dyDescent="0.25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1" spans="1:17" x14ac:dyDescent="0.25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>
        <f>E11/C11</f>
        <v>0</v>
      </c>
      <c r="O11">
        <f>G11*0.8</f>
        <v>0</v>
      </c>
    </row>
    <row r="13" spans="1:17" x14ac:dyDescent="0.25">
      <c r="D13">
        <f>SUM(D4:D11)</f>
        <v>1</v>
      </c>
      <c r="G13">
        <f>SUM(G4:G11)</f>
        <v>1.0000000000000002</v>
      </c>
      <c r="J13" t="s">
        <v>35</v>
      </c>
    </row>
    <row r="14" spans="1:17" x14ac:dyDescent="0.25">
      <c r="A14" t="s">
        <v>7</v>
      </c>
      <c r="B14" cm="1">
        <f t="array" ref="B14">1/SUM(D4:D11/B4:B11)</f>
        <v>2.6939491460126814</v>
      </c>
      <c r="C14" cm="1">
        <f t="array" ref="C14">SUM(C4:C11*D4:D11)</f>
        <v>85.689041000000003</v>
      </c>
      <c r="J14">
        <v>0.3</v>
      </c>
    </row>
    <row r="16" spans="1:17" x14ac:dyDescent="0.25">
      <c r="G16">
        <f>0.8*100*G4</f>
        <v>62.621610337502347</v>
      </c>
    </row>
    <row r="17" spans="1:11" x14ac:dyDescent="0.25">
      <c r="A17" s="1" t="s">
        <v>17</v>
      </c>
      <c r="G17">
        <f>0.8*100*G5</f>
        <v>7.9526174052034868</v>
      </c>
      <c r="H17" t="s">
        <v>34</v>
      </c>
    </row>
    <row r="18" spans="1:11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1.2930955900860872</v>
      </c>
      <c r="H18">
        <f>(H2/(1-M2))*M2</f>
        <v>38912035809843.398</v>
      </c>
    </row>
    <row r="19" spans="1:11" x14ac:dyDescent="0.25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8.132676667208095</v>
      </c>
    </row>
    <row r="20" spans="1:11" x14ac:dyDescent="0.25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25">
      <c r="H21">
        <f>H18*J14</f>
        <v>11673610742953.02</v>
      </c>
      <c r="I21" t="s">
        <v>38</v>
      </c>
      <c r="K21" t="s">
        <v>44</v>
      </c>
    </row>
    <row r="22" spans="1:11" x14ac:dyDescent="0.25">
      <c r="I22">
        <v>0.98748999999999998</v>
      </c>
      <c r="K22">
        <f>H2+H21+B26</f>
        <v>194560179049217</v>
      </c>
    </row>
    <row r="24" spans="1:11" x14ac:dyDescent="0.25">
      <c r="A24" s="1" t="s">
        <v>37</v>
      </c>
      <c r="I24" t="s">
        <v>41</v>
      </c>
    </row>
    <row r="25" spans="1:11" x14ac:dyDescent="0.25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11527573872558.678</v>
      </c>
    </row>
    <row r="26" spans="1:11" x14ac:dyDescent="0.25">
      <c r="A26">
        <f>A29/1000</f>
        <v>9.0803999999999989E-3</v>
      </c>
      <c r="B26">
        <f>(1-J14)*(H2/(1-M2))*M2</f>
        <v>27238425066890.375</v>
      </c>
      <c r="C26">
        <f>B26*A26</f>
        <v>247335794977.39133</v>
      </c>
      <c r="D26">
        <f>C26/F31</f>
        <v>122690065904.69144</v>
      </c>
      <c r="E26">
        <f>(B26/1000)/D26</f>
        <v>0.22201002881561602</v>
      </c>
    </row>
    <row r="28" spans="1:11" x14ac:dyDescent="0.25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ht="17.25" x14ac:dyDescent="0.25">
      <c r="A29" s="6">
        <v>9.0803999999999991</v>
      </c>
      <c r="B29" s="6">
        <v>4504.3999999999996</v>
      </c>
      <c r="C29">
        <v>496.04654237736349</v>
      </c>
      <c r="D29">
        <f>185000000</f>
        <v>185000000</v>
      </c>
      <c r="E29" s="4">
        <f>D29*C29</f>
        <v>91768610339.812241</v>
      </c>
    </row>
    <row r="30" spans="1:11" x14ac:dyDescent="0.25">
      <c r="F30" t="s">
        <v>19</v>
      </c>
    </row>
    <row r="31" spans="1:11" x14ac:dyDescent="0.25">
      <c r="D31" t="s">
        <v>67</v>
      </c>
      <c r="F31">
        <f>1/(C29/1000)</f>
        <v>2.0159398656573195</v>
      </c>
    </row>
    <row r="32" spans="1:11" x14ac:dyDescent="0.25">
      <c r="D3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10.42578125" bestFit="1" customWidth="1"/>
    <col min="3" max="3" width="13.28515625" bestFit="1" customWidth="1"/>
    <col min="4" max="4" width="14.5703125" bestFit="1" customWidth="1"/>
    <col min="5" max="5" width="10" bestFit="1" customWidth="1"/>
    <col min="6" max="6" width="10.7109375" bestFit="1" customWidth="1"/>
    <col min="7" max="7" width="11.7109375" bestFit="1" customWidth="1"/>
    <col min="9" max="9" width="10" bestFit="1" customWidth="1"/>
  </cols>
  <sheetData>
    <row r="1" spans="1:9" x14ac:dyDescent="0.25">
      <c r="A1" s="1" t="s">
        <v>69</v>
      </c>
    </row>
    <row r="2" spans="1:9" x14ac:dyDescent="0.25">
      <c r="A2" s="1"/>
    </row>
    <row r="3" spans="1:9" x14ac:dyDescent="0.25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25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25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5" x14ac:dyDescent="0.25"/>
  <cols>
    <col min="1" max="1" width="23.85546875" bestFit="1" customWidth="1"/>
  </cols>
  <sheetData>
    <row r="1" spans="1:12" x14ac:dyDescent="0.25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25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25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25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25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25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25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25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25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25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25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25">
      <c r="D13">
        <f>SUM(D4:D11)</f>
        <v>1</v>
      </c>
    </row>
    <row r="14" spans="1:12" x14ac:dyDescent="0.25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25">
      <c r="A18" t="s">
        <v>17</v>
      </c>
      <c r="H18" t="s">
        <v>34</v>
      </c>
    </row>
    <row r="19" spans="1:11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25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25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25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25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25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25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25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25">
      <c r="A30" t="s">
        <v>37</v>
      </c>
    </row>
    <row r="31" spans="1:11" x14ac:dyDescent="0.25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25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5" x14ac:dyDescent="0.25"/>
  <cols>
    <col min="5" max="5" width="11.7109375" bestFit="1" customWidth="1"/>
  </cols>
  <sheetData>
    <row r="1" spans="1:12" x14ac:dyDescent="0.25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25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25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25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25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25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25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25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25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25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25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25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25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25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25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25">
      <c r="A19" t="s">
        <v>17</v>
      </c>
      <c r="H19" t="s">
        <v>34</v>
      </c>
      <c r="I19" t="s">
        <v>38</v>
      </c>
      <c r="K19" t="s">
        <v>44</v>
      </c>
    </row>
    <row r="20" spans="1:11" x14ac:dyDescent="0.25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25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25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25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25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25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25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25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25">
      <c r="A31" t="s">
        <v>37</v>
      </c>
    </row>
    <row r="32" spans="1:11" x14ac:dyDescent="0.25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25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2024-10-27T00:01:37Z</dcterms:modified>
</cp:coreProperties>
</file>