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16088\Desktop\PFLOTRAN_H2_Data\"/>
    </mc:Choice>
  </mc:AlternateContent>
  <xr:revisionPtr revIDLastSave="0" documentId="13_ncr:1_{F6906D34-8D1F-4ED6-8C72-84DDA3F8165E}" xr6:coauthVersionLast="47" xr6:coauthVersionMax="47" xr10:uidLastSave="{00000000-0000-0000-0000-000000000000}"/>
  <bookViews>
    <workbookView xWindow="0" yWindow="120" windowWidth="27105" windowHeight="15315" xr2:uid="{BA57C090-4683-44C4-8CDA-6A694B8F0881}"/>
  </bookViews>
  <sheets>
    <sheet name="Iron" sheetId="1" r:id="rId1"/>
    <sheet name="H2S" sheetId="3" r:id="rId2"/>
    <sheet name="H2_Loss_Calc" sheetId="4" r:id="rId3"/>
    <sheet name="Re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1" l="1"/>
  <c r="E104" i="1"/>
  <c r="R27" i="1"/>
  <c r="R46" i="1"/>
  <c r="Q46" i="1"/>
  <c r="Q44" i="1"/>
  <c r="Q42" i="1"/>
  <c r="F21" i="1"/>
  <c r="R15" i="1"/>
  <c r="M7" i="1"/>
  <c r="M9" i="1"/>
  <c r="N7" i="1"/>
  <c r="E21" i="1"/>
  <c r="Q15" i="1"/>
  <c r="D15" i="1"/>
  <c r="I25" i="1"/>
  <c r="D27" i="1"/>
  <c r="D23" i="1"/>
  <c r="D21" i="1"/>
  <c r="E115" i="1"/>
  <c r="F115" i="1"/>
  <c r="G115" i="1"/>
  <c r="H115" i="1"/>
  <c r="I115" i="1"/>
  <c r="J115" i="1"/>
  <c r="K115" i="1"/>
  <c r="D115" i="1"/>
  <c r="D35" i="1"/>
  <c r="E114" i="1"/>
  <c r="F114" i="1"/>
  <c r="G114" i="1"/>
  <c r="H114" i="1"/>
  <c r="I114" i="1"/>
  <c r="J114" i="1"/>
  <c r="K114" i="1"/>
  <c r="D114" i="1"/>
  <c r="M36" i="1"/>
  <c r="M35" i="1"/>
  <c r="M37" i="1"/>
  <c r="M38" i="1"/>
  <c r="M39" i="1"/>
  <c r="M34" i="1"/>
  <c r="I32" i="4"/>
  <c r="I26" i="4"/>
  <c r="E33" i="4"/>
  <c r="D33" i="4"/>
  <c r="E26" i="4"/>
  <c r="F26" i="4"/>
  <c r="G26" i="4"/>
  <c r="H26" i="4"/>
  <c r="D26" i="4"/>
  <c r="E12" i="4"/>
  <c r="U48" i="1"/>
  <c r="R48" i="1"/>
  <c r="S48" i="1"/>
  <c r="T48" i="1"/>
  <c r="R47" i="1"/>
  <c r="S47" i="1"/>
  <c r="T47" i="1"/>
  <c r="U47" i="1"/>
  <c r="S46" i="1"/>
  <c r="T46" i="1"/>
  <c r="U46" i="1"/>
  <c r="U43" i="1"/>
  <c r="R43" i="1"/>
  <c r="S43" i="1"/>
  <c r="T43" i="1"/>
  <c r="R44" i="1"/>
  <c r="S44" i="1"/>
  <c r="T44" i="1"/>
  <c r="U44" i="1"/>
  <c r="Q43" i="1"/>
  <c r="Q47" i="1" s="1"/>
  <c r="Q48" i="1"/>
  <c r="R42" i="1"/>
  <c r="S42" i="1"/>
  <c r="T42" i="1"/>
  <c r="U42" i="1"/>
  <c r="Q38" i="1"/>
  <c r="Q34" i="1"/>
  <c r="R38" i="1"/>
  <c r="S38" i="1"/>
  <c r="T38" i="1"/>
  <c r="U38" i="1"/>
  <c r="V38" i="1"/>
  <c r="R36" i="1"/>
  <c r="S36" i="1"/>
  <c r="T36" i="1"/>
  <c r="U36" i="1"/>
  <c r="V36" i="1"/>
  <c r="Q36" i="1"/>
  <c r="D32" i="4"/>
  <c r="D29" i="4"/>
  <c r="U34" i="1"/>
  <c r="V34" i="1"/>
  <c r="U30" i="1"/>
  <c r="V30" i="1"/>
  <c r="U27" i="1"/>
  <c r="V27" i="1"/>
  <c r="U24" i="1"/>
  <c r="V24" i="1"/>
  <c r="U21" i="1"/>
  <c r="V21" i="1"/>
  <c r="U18" i="1"/>
  <c r="V18" i="1"/>
  <c r="V15" i="1"/>
  <c r="U15" i="1"/>
  <c r="R34" i="1"/>
  <c r="S34" i="1"/>
  <c r="T34" i="1"/>
  <c r="T30" i="1"/>
  <c r="T27" i="1"/>
  <c r="Q27" i="1"/>
  <c r="R30" i="1"/>
  <c r="S30" i="1"/>
  <c r="Q30" i="1"/>
  <c r="S27" i="1"/>
  <c r="S15" i="1"/>
  <c r="T15" i="1"/>
  <c r="Q24" i="1"/>
  <c r="R24" i="1"/>
  <c r="S24" i="1"/>
  <c r="T24" i="1"/>
  <c r="E110" i="1"/>
  <c r="Q21" i="1"/>
  <c r="R21" i="1"/>
  <c r="S21" i="1"/>
  <c r="T21" i="1"/>
  <c r="R18" i="1"/>
  <c r="T18" i="1"/>
  <c r="S18" i="1"/>
  <c r="Q18" i="1"/>
  <c r="I33" i="4"/>
  <c r="D49" i="1"/>
  <c r="F29" i="4"/>
  <c r="G29" i="4"/>
  <c r="E35" i="4" l="1"/>
  <c r="F35" i="4"/>
  <c r="G35" i="4"/>
  <c r="H35" i="4"/>
  <c r="I35" i="4"/>
  <c r="D35" i="4"/>
  <c r="E34" i="4"/>
  <c r="F34" i="4"/>
  <c r="G34" i="4"/>
  <c r="H34" i="4"/>
  <c r="I34" i="4"/>
  <c r="D34" i="4"/>
  <c r="E32" i="4"/>
  <c r="F32" i="4"/>
  <c r="G32" i="4"/>
  <c r="H32" i="4"/>
  <c r="F33" i="4"/>
  <c r="G33" i="4"/>
  <c r="H33" i="4"/>
  <c r="I12" i="4"/>
  <c r="E29" i="4"/>
  <c r="D18" i="1" l="1"/>
  <c r="E14" i="4"/>
  <c r="F14" i="4"/>
  <c r="G14" i="4"/>
  <c r="H14" i="4"/>
  <c r="I14" i="4"/>
  <c r="D14" i="4"/>
  <c r="E13" i="4"/>
  <c r="F13" i="4"/>
  <c r="G13" i="4"/>
  <c r="H13" i="4"/>
  <c r="I13" i="4"/>
  <c r="J13" i="4"/>
  <c r="K13" i="4"/>
  <c r="D13" i="4"/>
  <c r="H29" i="4"/>
  <c r="I29" i="4"/>
  <c r="I10" i="4"/>
  <c r="H10" i="4"/>
  <c r="G10" i="4"/>
  <c r="D10" i="4"/>
  <c r="E10" i="4"/>
  <c r="F10" i="4"/>
  <c r="F12" i="4" l="1"/>
  <c r="G12" i="4"/>
  <c r="H12" i="4"/>
  <c r="J12" i="4"/>
  <c r="K12" i="4"/>
  <c r="D12" i="4"/>
  <c r="J20" i="3"/>
  <c r="J43" i="2"/>
  <c r="J41" i="2"/>
  <c r="D27" i="2" l="1"/>
  <c r="E27" i="2"/>
  <c r="F27" i="2"/>
  <c r="G27" i="2"/>
  <c r="H27" i="2"/>
  <c r="I27" i="2"/>
  <c r="J27" i="2"/>
  <c r="K27" i="2"/>
  <c r="E21" i="2"/>
  <c r="F21" i="2"/>
  <c r="G21" i="2"/>
  <c r="H21" i="2"/>
  <c r="I21" i="2"/>
  <c r="J21" i="2"/>
  <c r="K21" i="2"/>
  <c r="D21" i="2"/>
  <c r="D18" i="2"/>
  <c r="E14" i="2"/>
  <c r="F14" i="2"/>
  <c r="G14" i="2"/>
  <c r="H14" i="2"/>
  <c r="I14" i="2"/>
  <c r="J14" i="2"/>
  <c r="K14" i="2"/>
  <c r="D14" i="2"/>
  <c r="J22" i="3"/>
  <c r="E8" i="3"/>
  <c r="F8" i="3"/>
  <c r="G8" i="3"/>
  <c r="H8" i="3"/>
  <c r="I8" i="3"/>
  <c r="J8" i="3"/>
  <c r="K8" i="3"/>
  <c r="D8" i="3"/>
  <c r="E6" i="3"/>
  <c r="F6" i="3"/>
  <c r="G6" i="3"/>
  <c r="H6" i="3"/>
  <c r="I6" i="3"/>
  <c r="J6" i="3"/>
  <c r="K6" i="3"/>
  <c r="D6" i="3"/>
  <c r="D4" i="3"/>
  <c r="D3" i="3"/>
  <c r="E15" i="1"/>
  <c r="F15" i="1"/>
  <c r="G15" i="1"/>
  <c r="H15" i="1"/>
  <c r="I15" i="1"/>
  <c r="J15" i="1"/>
  <c r="K15" i="1"/>
  <c r="I62" i="1"/>
  <c r="E49" i="1"/>
  <c r="F49" i="1"/>
  <c r="G49" i="1"/>
  <c r="H49" i="1"/>
  <c r="I49" i="1"/>
  <c r="J49" i="1"/>
  <c r="K49" i="1"/>
  <c r="E25" i="1"/>
  <c r="E62" i="1" s="1"/>
  <c r="K18" i="2"/>
  <c r="E18" i="2"/>
  <c r="F18" i="2"/>
  <c r="G18" i="2"/>
  <c r="H18" i="2"/>
  <c r="I18" i="2"/>
  <c r="J18" i="2"/>
  <c r="D25" i="1"/>
  <c r="D62" i="1" s="1"/>
  <c r="F25" i="1"/>
  <c r="F62" i="1" s="1"/>
  <c r="G25" i="1"/>
  <c r="G62" i="1" s="1"/>
  <c r="H25" i="1"/>
  <c r="H62" i="1" s="1"/>
  <c r="E45" i="1"/>
  <c r="F45" i="1"/>
  <c r="G45" i="1"/>
  <c r="H45" i="1"/>
  <c r="I45" i="1"/>
  <c r="J45" i="1"/>
  <c r="K45" i="1"/>
  <c r="K35" i="1"/>
  <c r="K72" i="1" s="1"/>
  <c r="K93" i="1" s="1"/>
  <c r="E35" i="1"/>
  <c r="E72" i="1" s="1"/>
  <c r="E93" i="1" s="1"/>
  <c r="F35" i="1"/>
  <c r="F72" i="1" s="1"/>
  <c r="F93" i="1" s="1"/>
  <c r="G35" i="1"/>
  <c r="G72" i="1" s="1"/>
  <c r="G93" i="1" s="1"/>
  <c r="I35" i="1"/>
  <c r="I72" i="1" s="1"/>
  <c r="I93" i="1" s="1"/>
  <c r="D72" i="1"/>
  <c r="D93" i="1" s="1"/>
  <c r="D39" i="1" l="1"/>
  <c r="D76" i="1" s="1"/>
  <c r="I39" i="1"/>
  <c r="I76" i="1" s="1"/>
  <c r="E39" i="1"/>
  <c r="E76" i="1" s="1"/>
  <c r="F39" i="1"/>
  <c r="F76" i="1" s="1"/>
  <c r="G39" i="1"/>
  <c r="G76" i="1" s="1"/>
  <c r="H39" i="1"/>
  <c r="H76" i="1" s="1"/>
  <c r="E37" i="1"/>
  <c r="E74" i="1" s="1"/>
  <c r="F37" i="1"/>
  <c r="F74" i="1" s="1"/>
  <c r="G37" i="1"/>
  <c r="G74" i="1" s="1"/>
  <c r="I37" i="1"/>
  <c r="I74" i="1" s="1"/>
  <c r="D37" i="1"/>
  <c r="D74" i="1" s="1"/>
  <c r="E29" i="1"/>
  <c r="E66" i="1" s="1"/>
  <c r="F29" i="1"/>
  <c r="F66" i="1" s="1"/>
  <c r="G29" i="1"/>
  <c r="G66" i="1" s="1"/>
  <c r="H29" i="1"/>
  <c r="H66" i="1" s="1"/>
  <c r="I29" i="1"/>
  <c r="I66" i="1" s="1"/>
  <c r="E27" i="1"/>
  <c r="F27" i="1"/>
  <c r="G27" i="1"/>
  <c r="I27" i="1"/>
  <c r="K27" i="1"/>
  <c r="E33" i="1"/>
  <c r="F33" i="1"/>
  <c r="G33" i="1"/>
  <c r="I33" i="1"/>
  <c r="K33" i="1"/>
  <c r="E23" i="1"/>
  <c r="F23" i="1"/>
  <c r="G23" i="1"/>
  <c r="I23" i="1"/>
  <c r="K23" i="1"/>
  <c r="D13" i="1" l="1"/>
  <c r="E18" i="1"/>
  <c r="E41" i="1" s="1"/>
  <c r="E78" i="1" s="1"/>
  <c r="E99" i="1" s="1"/>
  <c r="F18" i="1"/>
  <c r="F41" i="1" s="1"/>
  <c r="F78" i="1" s="1"/>
  <c r="F99" i="1" s="1"/>
  <c r="F104" i="1" s="1"/>
  <c r="F110" i="1" s="1"/>
  <c r="G18" i="1"/>
  <c r="G21" i="1" s="1"/>
  <c r="G41" i="1" s="1"/>
  <c r="G78" i="1" s="1"/>
  <c r="G99" i="1" s="1"/>
  <c r="G104" i="1" s="1"/>
  <c r="G110" i="1" s="1"/>
  <c r="H18" i="1"/>
  <c r="H21" i="1" s="1"/>
  <c r="H41" i="1" s="1"/>
  <c r="H78" i="1" s="1"/>
  <c r="I18" i="1"/>
  <c r="I21" i="1" s="1"/>
  <c r="I41" i="1" s="1"/>
  <c r="I78" i="1" s="1"/>
  <c r="I99" i="1" s="1"/>
  <c r="I104" i="1" s="1"/>
  <c r="I110" i="1" s="1"/>
  <c r="J18" i="1"/>
  <c r="J21" i="1" s="1"/>
  <c r="J41" i="1" s="1"/>
  <c r="J78" i="1" s="1"/>
  <c r="K18" i="1"/>
  <c r="K21" i="1" s="1"/>
  <c r="K41" i="1" s="1"/>
  <c r="K78" i="1" s="1"/>
  <c r="K99" i="1" s="1"/>
  <c r="K104" i="1" s="1"/>
  <c r="K110" i="1" s="1"/>
  <c r="J3" i="1"/>
  <c r="H3" i="1"/>
  <c r="D41" i="1" l="1"/>
  <c r="D78" i="1" s="1"/>
  <c r="D99" i="1" s="1"/>
  <c r="D104" i="1" s="1"/>
  <c r="D45" i="1"/>
  <c r="J27" i="1"/>
  <c r="J35" i="1"/>
  <c r="J72" i="1" s="1"/>
  <c r="J93" i="1" s="1"/>
  <c r="J99" i="1" s="1"/>
  <c r="J104" i="1" s="1"/>
  <c r="J110" i="1" s="1"/>
  <c r="H27" i="1"/>
  <c r="H35" i="1"/>
  <c r="H72" i="1" s="1"/>
  <c r="H93" i="1" s="1"/>
  <c r="H99" i="1" s="1"/>
  <c r="H104" i="1" s="1"/>
  <c r="H37" i="1"/>
  <c r="H74" i="1" s="1"/>
  <c r="H110" i="1" s="1"/>
  <c r="D29" i="1"/>
  <c r="D66" i="1" s="1"/>
  <c r="J23" i="1"/>
  <c r="J33" i="1"/>
  <c r="H23" i="1"/>
  <c r="H33" i="1"/>
  <c r="D33" i="1"/>
</calcChain>
</file>

<file path=xl/sharedStrings.xml><?xml version="1.0" encoding="utf-8"?>
<sst xmlns="http://schemas.openxmlformats.org/spreadsheetml/2006/main" count="278" uniqueCount="173">
  <si>
    <t>(1)</t>
  </si>
  <si>
    <t>Fe2O3 + 6 H+ --&gt; 2 Fe+++ + 3H2O</t>
  </si>
  <si>
    <t>(2)</t>
  </si>
  <si>
    <t>Fe3O4 + 8 H+ ---&gt; 2 Fe+++ + 1 Fe++ + 4H2O</t>
  </si>
  <si>
    <t>(3)</t>
  </si>
  <si>
    <t>Fe+++ + 0.5 H2O ---&gt; 0.25 O2(g) + 1 Fe++ + 1 H+</t>
  </si>
  <si>
    <t>(4)</t>
  </si>
  <si>
    <t>O2(g) --&gt; O2(aq)</t>
  </si>
  <si>
    <t>(5)</t>
  </si>
  <si>
    <t>H2(aq) + 0.5O2(g) --&gt; H2O</t>
  </si>
  <si>
    <t xml:space="preserve">(6) </t>
  </si>
  <si>
    <t xml:space="preserve">FeOOH   + 3 H+  --&gt;  1 Fe+++   + 2 H2O </t>
  </si>
  <si>
    <t>Pyrite</t>
  </si>
  <si>
    <t>Log K (0)</t>
  </si>
  <si>
    <t>Log K (25)</t>
  </si>
  <si>
    <t>log K (60)</t>
  </si>
  <si>
    <t>Log K (100)</t>
  </si>
  <si>
    <t>Log K (150)</t>
  </si>
  <si>
    <t>Log K (200)</t>
  </si>
  <si>
    <t>Log K (250)</t>
  </si>
  <si>
    <t>Log K (300)</t>
  </si>
  <si>
    <t>(7)</t>
  </si>
  <si>
    <t>(8)</t>
  </si>
  <si>
    <t>(9)</t>
  </si>
  <si>
    <t>(10)</t>
  </si>
  <si>
    <t>FeS + 1 H+ --&gt; 1 Fe++ + 1HS-</t>
  </si>
  <si>
    <t>FeS2 + 1H2O --&gt; 0.25H+ + 0.25SO4-- + 1 Fe++ + 1.75 HS-</t>
  </si>
  <si>
    <t>HS- + 2O2(g) --&gt; 1H+ + 1 SO4--</t>
  </si>
  <si>
    <t>H2(g) + 0.5O2(g) --&gt; H2O</t>
  </si>
  <si>
    <t>Reaction</t>
  </si>
  <si>
    <t>Reaction Stoichimetry</t>
  </si>
  <si>
    <t>Magnetite</t>
  </si>
  <si>
    <t>Pyrrhotite</t>
  </si>
  <si>
    <t>FeS2 + H2(aq) --&gt; 1 Fe++ + 2 HS-</t>
  </si>
  <si>
    <t>(11)</t>
  </si>
  <si>
    <t>H2S(aq) --&gt; H+ + HS-</t>
  </si>
  <si>
    <t>FeS2 + H2(aq) --&gt; FeS + H2S(aq)</t>
  </si>
  <si>
    <t>(12)=(8)-0.25(9)+(5)</t>
  </si>
  <si>
    <t>(13)=(12)-(11)-(7)</t>
  </si>
  <si>
    <t>(14)=(1)-4(7)+2((8)-0.25(9))+2(3)+3(5)</t>
  </si>
  <si>
    <t>Fe2O3 + FeS2 + H2O + H2(aq) --&gt; Fe3O4 + 2H2S(aq)</t>
  </si>
  <si>
    <t>Fe2O3 + 2FeS2 + 3H2(aq) --&gt; 4FeS + 3H2O</t>
  </si>
  <si>
    <t>(16)=(1)-2(7)+2(3)+2(11)+(5)</t>
  </si>
  <si>
    <t>Fe2O3 + 2H2S(aq) + H2(aq) --&gt; 2FeS + 3H2O</t>
  </si>
  <si>
    <t>(17)=2(6)-2(7)+2(3)+2(11)+(5)</t>
  </si>
  <si>
    <t>2FeOOH + 2H2S(aq) + H2(aq) --&gt; 2FeS + 4H2O</t>
  </si>
  <si>
    <t>(18)=(1)+(8)-0.25(9)-(2)+(5)-2(11)</t>
  </si>
  <si>
    <t>(20)=2(6)-2(2)+2(3)+2(1)+(5)</t>
  </si>
  <si>
    <t>2FeOOH + 2Fe2O3 + H2(aq) --&gt; 2Fe3O4 + 2H2O</t>
  </si>
  <si>
    <t>(21)=6(6)-2(2)+2(3)+(5)</t>
  </si>
  <si>
    <t>6FeOOH + H2(aq) --&gt; 2Fe3O4 + 4H2O</t>
  </si>
  <si>
    <t>Magnetite to Pyrrhotite</t>
  </si>
  <si>
    <t>(19)=-2(2)+3(1)+2(3)+(5)</t>
  </si>
  <si>
    <t>3Fe2O3 + H2(aq) --&gt; 2Fe3O4 + H2O</t>
  </si>
  <si>
    <t>(23)=(2)-3(7)+3(11)+2(3)+(5)</t>
  </si>
  <si>
    <t>Fe3O4 + 3H2S(aq) + H2(aq) --&gt; 3FeS + 4H2O</t>
  </si>
  <si>
    <t>(8)-0.25(9)</t>
  </si>
  <si>
    <t>FeS2 + 1H2O --&gt; 0.5O2(g) + 1 Fe++ + 2 HS-</t>
  </si>
  <si>
    <t>2FeOOH + 2FeS2 + 3H2(aq) --&gt; 4FeS + 4H2O</t>
  </si>
  <si>
    <t>(15)=2(6)-4*(7)+2((8)-0.25(9))+2(3)+3(5)</t>
  </si>
  <si>
    <t>(22)=4((8)-0.25(9))-(2)-7(11)+3(5)-2(3)-(7)-(13)</t>
  </si>
  <si>
    <t>3FeS2 + 2H2(aq) + 4H2O --&gt; Fe3O4  + 6H2S(aq)</t>
  </si>
  <si>
    <t>CO2(aq) + H2O ---&gt;H+ + HCO3-</t>
  </si>
  <si>
    <t>CaHCO3+ --&gt; Ca++ + HCO3-</t>
  </si>
  <si>
    <t>CaCO3 + H+ --&gt; Ca++ + HCO3-</t>
  </si>
  <si>
    <t>CaCO3(aq) + H+ --&gt; Ca++ + HCO3-</t>
  </si>
  <si>
    <t>CO3--  +  H+  --&gt;  HCO3-</t>
  </si>
  <si>
    <t>Calcite</t>
  </si>
  <si>
    <t>CaCO3 --&gt; Ca++ + CO3--</t>
  </si>
  <si>
    <t>Kaolinite</t>
  </si>
  <si>
    <t>Al2Si2O5(OH)4 + 6H+ --&gt; 2 Al+++ + 2SiO2(aq) + 5H2O</t>
  </si>
  <si>
    <t>Quartz</t>
  </si>
  <si>
    <t>AlO2- + 4H+ --&gt; Al+++ + 2H2O</t>
  </si>
  <si>
    <t>SiO2 --&gt; SiO2(aq)</t>
  </si>
  <si>
    <t>H2</t>
  </si>
  <si>
    <t>(24)=(5)-(10)</t>
  </si>
  <si>
    <t>H2(aq) --&gt; H2(g)</t>
  </si>
  <si>
    <t>(15)=(2(6)-4*(7)+2((8)-0.25(9))+2(3)+3(5))/2</t>
  </si>
  <si>
    <t>FeOOH + FeS2 + 3/2H2(aq) --&gt; 2FeS + 2H2O</t>
  </si>
  <si>
    <t>FeOOH + H2S(aq) + 1/2H2(aq) --&gt; FeS + 2H2O</t>
  </si>
  <si>
    <t>(17)=(2(6)-2(7)+2(3)+2(11)+(5))/2</t>
  </si>
  <si>
    <t>(20)=(2(6)-2(2)+2(3)+2(1)+(5))/2</t>
  </si>
  <si>
    <t>FeOOH + Fe2O3 + 1/2H2(aq) --&gt; Fe3O4 + H2O</t>
  </si>
  <si>
    <t>FeOOH + 1/6H2(aq) --&gt; 1/3Fe3O4 + 2/3H2O</t>
  </si>
  <si>
    <t>(21)=(6(6)-2(2)+2(3)+(5))/6</t>
  </si>
  <si>
    <t>(19)=(-2(2)+3(1)+2(3)+(5))/3</t>
  </si>
  <si>
    <t>Fe2O3 + 1/3H2(aq) --&gt; 2/3Fe3O4 + 1/3H2O</t>
  </si>
  <si>
    <t xml:space="preserve">Fe3O4  + 6H2S(aq) --&gt; 3FeS2 + 2H2(aq) + 4H2O </t>
  </si>
  <si>
    <t>(22)=-(4((8)-0.25(9))-(2)-7(11)+3(5)-2(3)-(7)-(13))</t>
  </si>
  <si>
    <t>(12)</t>
  </si>
  <si>
    <t>(13)</t>
  </si>
  <si>
    <t>(3)+0.5(5)</t>
  </si>
  <si>
    <t>Fe+++ + 0.5 H2(aq) ---&gt; 1 Fe++ + 1 H+</t>
  </si>
  <si>
    <t>Hematite Tot</t>
  </si>
  <si>
    <t>(24)=(14)+(16)+(18)+(19)</t>
  </si>
  <si>
    <t>4Fe2O3+3FeS2+16/3H2(aq)--&gt;6FeS+5/3Fe3O4+16/3H2O</t>
  </si>
  <si>
    <t>(25)=(24)+5/6((22)+(23))</t>
  </si>
  <si>
    <t>5/6((22)+(23))</t>
  </si>
  <si>
    <t>5/3Fe3O4+15/2H2S(aq)--&gt;5/2FeS+5/2FeS2+5/6H2(aq)+20/3H2O</t>
  </si>
  <si>
    <t>4Fe2O3+1/2FeS2+27/6H2(aq)+15/2H2S(aq)--&gt;17/2FeS+12H2O</t>
  </si>
  <si>
    <t>Goethite Tot</t>
  </si>
  <si>
    <t>(26)=((25)+15/2(13))/4</t>
  </si>
  <si>
    <t>Fe2O3+2FeS2+3H2(aq)--&gt;4FeS+3H2O</t>
  </si>
  <si>
    <t>FeOOH+FeS2+3/2H2(aq)--&gt;2FeS+2H2O</t>
  </si>
  <si>
    <t>(27)=((15)+(17)+(20)+(21)+5(13))/4+1/3(23)-1/4(26)</t>
  </si>
  <si>
    <t>One Mineral Mole</t>
  </si>
  <si>
    <t>H2S(g) --&gt; H+ + HS-</t>
  </si>
  <si>
    <t>H2S(g) --&gt; H2S(aq)</t>
  </si>
  <si>
    <t>CO2(g) + H2O --&gt; H+ + HCO3-</t>
  </si>
  <si>
    <t>CO2(aq) + H2O --&gt; H+ + HCO3-</t>
  </si>
  <si>
    <t>CO2(g) --&gt; CO2(aq)</t>
  </si>
  <si>
    <t>CaCO3 + 2H+ --&gt; Ca++ + CO2(aq) + H2O</t>
  </si>
  <si>
    <t>HSiO3- + H+ --&gt; H2O + SiO2(aq)</t>
  </si>
  <si>
    <t>(14)</t>
  </si>
  <si>
    <t>(15)=(1)-(6)</t>
  </si>
  <si>
    <t>(16)=(1)-(13)</t>
  </si>
  <si>
    <t>(17)=(7)</t>
  </si>
  <si>
    <t>(18)=(10)-(12)</t>
  </si>
  <si>
    <t>SiO2 + H2O --&gt; HSiO3- + H+</t>
  </si>
  <si>
    <t>Hematite</t>
  </si>
  <si>
    <t>Goethite</t>
  </si>
  <si>
    <t>Assumptions</t>
  </si>
  <si>
    <t>H2(g)</t>
  </si>
  <si>
    <t>H2 (aq)</t>
  </si>
  <si>
    <t>moles</t>
  </si>
  <si>
    <t>H2S</t>
  </si>
  <si>
    <t>Case 1</t>
  </si>
  <si>
    <t>Mole Pyr</t>
  </si>
  <si>
    <t>Mole Hem</t>
  </si>
  <si>
    <t>Mole Goe</t>
  </si>
  <si>
    <t>Case 2</t>
  </si>
  <si>
    <t>Case 3</t>
  </si>
  <si>
    <t>At equilibrium, H2 loss is not a strong function of temperature and associated Keq.</t>
  </si>
  <si>
    <t>Fig</t>
  </si>
  <si>
    <t>wt %</t>
  </si>
  <si>
    <t>Temp</t>
  </si>
  <si>
    <t>Sw</t>
  </si>
  <si>
    <t>(assumes case 1)</t>
  </si>
  <si>
    <t>H2 Molality</t>
  </si>
  <si>
    <t>Water L</t>
  </si>
  <si>
    <t>H2S(aq)</t>
  </si>
  <si>
    <t>PH2</t>
  </si>
  <si>
    <t>log(H2 molal) vs Temp</t>
  </si>
  <si>
    <t>Iron(III) is the limiting factor.</t>
  </si>
  <si>
    <t>log(H2 molal) vs Fe Ratio</t>
  </si>
  <si>
    <t>PPM</t>
  </si>
  <si>
    <t>(2)+0.25(9)-(8)+(7)+2(3)</t>
  </si>
  <si>
    <t>PPMH</t>
  </si>
  <si>
    <t>(18)-(5)-2(3)+2(11)</t>
  </si>
  <si>
    <t>Fe2O3+FeS2+H2O+2Fe2+ --&gt; Fe3O4+2HS-+2Fe3+</t>
  </si>
  <si>
    <t>Fe3O4+FeS+7H++HS- --&gt; FeS2+4H2O+3Fe2+</t>
  </si>
  <si>
    <t>PPMG</t>
  </si>
  <si>
    <t>2(27)-3(5)-6(3)-3(2)</t>
  </si>
  <si>
    <t>2FeOOH+2FeS2+9Fe2++8H2O --&gt; 4FeS+3Fe3O4+18H+</t>
  </si>
  <si>
    <t>FeS2+4/3H2+1/3Fe3O4 --&gt; 2FeS + 4/3H2O</t>
  </si>
  <si>
    <t>(13)+1/3(23)</t>
  </si>
  <si>
    <t>(26)+(13)+1/3(23)</t>
  </si>
  <si>
    <t>(27)+(13)+1/3(23)</t>
  </si>
  <si>
    <t>Fe2O3+3FeS2+13/3H2(aq)+1/3Fe3O4 --&gt; 6FeS+13/3H2O</t>
  </si>
  <si>
    <t>FeOOH+2FeS2+17/6H2(aq)+1/3Fe3O4 --&gt; 4FeS+10/3H2O</t>
  </si>
  <si>
    <t>PPM aH2</t>
  </si>
  <si>
    <t>PP aH2</t>
  </si>
  <si>
    <t>PPMH aH2</t>
  </si>
  <si>
    <t>PPH aH2</t>
  </si>
  <si>
    <t>PPMG aH2</t>
  </si>
  <si>
    <t>PPG aH2</t>
  </si>
  <si>
    <t>aH2</t>
  </si>
  <si>
    <t>aH2 Dissolved</t>
  </si>
  <si>
    <t>PP aH2 c1</t>
  </si>
  <si>
    <t>PPH aH2 c2</t>
  </si>
  <si>
    <t>PPG aH2 c3</t>
  </si>
  <si>
    <t>Fe2O3+3H2S--&gt;FeS+FeS2+3H2O</t>
  </si>
  <si>
    <t>25 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</si>
</sst>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49" fontId="1" fillId="0" borderId="0" xfId="0" applyNumberFormat="1" applyFont="1" applyAlignment="1">
      <alignment horizontal="left"/>
    </xf>
    <xf numFmtId="0" fontId="1" fillId="0" borderId="0" xfId="0" applyFont="1"/>
    <xf numFmtId="49" fontId="0" fillId="3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4" borderId="0" xfId="0" applyFont="1" applyFill="1"/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1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H2S LogK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9075214936909804"/>
                  <c:y val="-4.062919625966823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H2S!$D$11:$K$11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60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H2S!$D$6:$K$6</c:f>
              <c:numCache>
                <c:formatCode>General</c:formatCode>
                <c:ptCount val="8"/>
                <c:pt idx="0">
                  <c:v>-0.66219999999999946</c:v>
                </c:pt>
                <c:pt idx="1">
                  <c:v>-0.98819999999999997</c:v>
                </c:pt>
                <c:pt idx="2">
                  <c:v>-1.2827999999999999</c:v>
                </c:pt>
                <c:pt idx="3">
                  <c:v>-1.4744999999999999</c:v>
                </c:pt>
                <c:pt idx="4">
                  <c:v>-1.5799000000000003</c:v>
                </c:pt>
                <c:pt idx="5">
                  <c:v>-1.5919000000000008</c:v>
                </c:pt>
                <c:pt idx="6">
                  <c:v>-1.5446</c:v>
                </c:pt>
                <c:pt idx="7">
                  <c:v>-1.4538000000000002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F-4EC2-B0D9-093D401D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2495"/>
        <c:axId val="32745679"/>
      </c:scatterChart>
      <c:valAx>
        <c:axId val="204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[C]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5679"/>
        <c:crosses val="autoZero"/>
        <c:crossBetween val="midCat"/>
      </c:valAx>
      <c:valAx>
        <c:axId val="327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Log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4.2940726159230121E-2"/>
                  <c:y val="-8.87503645377661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Rest!$D$29:$K$29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60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Rest!$D$14:$K$14</c:f>
              <c:numCache>
                <c:formatCode>General</c:formatCode>
                <c:ptCount val="8"/>
                <c:pt idx="0">
                  <c:v>-1.0960999999999999</c:v>
                </c:pt>
                <c:pt idx="1">
                  <c:v>-1.4689000000000005</c:v>
                </c:pt>
                <c:pt idx="2">
                  <c:v>-1.7843</c:v>
                </c:pt>
                <c:pt idx="3">
                  <c:v>-1.9691999999999998</c:v>
                </c:pt>
                <c:pt idx="4">
                  <c:v>-2.0457000000000001</c:v>
                </c:pt>
                <c:pt idx="5">
                  <c:v>-2.0195999999999996</c:v>
                </c:pt>
                <c:pt idx="6">
                  <c:v>-1.9333999999999998</c:v>
                </c:pt>
                <c:pt idx="7">
                  <c:v>-1.8112999999999992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81B-B4B8-2D0F36C0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66831"/>
        <c:axId val="775567839"/>
      </c:scatterChart>
      <c:valAx>
        <c:axId val="98946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67839"/>
        <c:crosses val="autoZero"/>
        <c:crossBetween val="midCat"/>
      </c:valAx>
      <c:valAx>
        <c:axId val="7755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12</xdr:row>
      <xdr:rowOff>100965</xdr:rowOff>
    </xdr:from>
    <xdr:to>
      <xdr:col>8</xdr:col>
      <xdr:colOff>393915</xdr:colOff>
      <xdr:row>34</xdr:row>
      <xdr:rowOff>58118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2DB93-8F9A-3469-2814-AC1087308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513961</xdr:colOff>
      <xdr:row>42</xdr:row>
      <xdr:rowOff>66869</xdr:rowOff>
    </xdr:from>
    <xdr:to>
      <xdr:col>14</xdr:col>
      <xdr:colOff>593272</xdr:colOff>
      <xdr:row>57</xdr:row>
      <xdr:rowOff>69201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A8E0B-D3AA-4210-B430-89C70B146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A92F-F8AA-40F6-A77B-39AA65FADA9B}">
  <dimension ref="A1:V118"/>
  <sheetViews>
    <sheetView tabSelected="1" zoomScale="80" zoomScaleNormal="80" workbookViewId="0">
      <selection activeCell="E112" sqref="E112"/>
    </sheetView>
  </sheetViews>
  <sheetFormatPr defaultRowHeight="15" x14ac:dyDescent="0.25"/>
  <cols>
    <col min="1" max="1" width="14.42578125" customWidth="1"/>
    <col min="2" max="2" width="61.140625" customWidth="1"/>
    <col min="4" max="4" width="13" bestFit="1" customWidth="1"/>
    <col min="5" max="5" width="12" bestFit="1" customWidth="1"/>
    <col min="6" max="6" width="13" bestFit="1" customWidth="1"/>
    <col min="7" max="7" width="11.7109375" bestFit="1" customWidth="1"/>
    <col min="8" max="9" width="13" bestFit="1" customWidth="1"/>
    <col min="10" max="11" width="11.7109375" bestFit="1" customWidth="1"/>
    <col min="13" max="13" width="13" bestFit="1" customWidth="1"/>
    <col min="16" max="16" width="52.85546875" bestFit="1" customWidth="1"/>
    <col min="17" max="17" width="11.85546875" bestFit="1" customWidth="1"/>
  </cols>
  <sheetData>
    <row r="1" spans="1:22" ht="15.75" x14ac:dyDescent="0.25">
      <c r="A1" s="1" t="s">
        <v>30</v>
      </c>
      <c r="B1" s="2"/>
    </row>
    <row r="2" spans="1:22" ht="15.75" x14ac:dyDescent="0.25">
      <c r="A2" s="3"/>
      <c r="B2" s="8" t="s">
        <v>29</v>
      </c>
      <c r="C2" s="9"/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</row>
    <row r="3" spans="1:22" x14ac:dyDescent="0.25">
      <c r="A3" s="13" t="s">
        <v>0</v>
      </c>
      <c r="B3" s="4" t="s">
        <v>1</v>
      </c>
      <c r="D3">
        <v>2.141</v>
      </c>
      <c r="E3">
        <v>0.1086</v>
      </c>
      <c r="F3">
        <v>-2.3178000000000001</v>
      </c>
      <c r="G3">
        <v>-4.6071999999999997</v>
      </c>
      <c r="H3">
        <f>-6.9784</f>
        <v>-6.9783999999999997</v>
      </c>
      <c r="I3">
        <v>-9.0206999999999997</v>
      </c>
      <c r="J3">
        <f>-10.9039</f>
        <v>-10.9039</v>
      </c>
      <c r="K3">
        <v>-12.751099999999999</v>
      </c>
    </row>
    <row r="4" spans="1:22" x14ac:dyDescent="0.25">
      <c r="A4" s="13" t="s">
        <v>2</v>
      </c>
      <c r="B4" s="4" t="s">
        <v>3</v>
      </c>
      <c r="D4">
        <v>13.898899999999999</v>
      </c>
      <c r="E4">
        <v>10.4724</v>
      </c>
      <c r="F4">
        <v>6.4420000000000002</v>
      </c>
      <c r="G4">
        <v>2.6911999999999998</v>
      </c>
      <c r="H4">
        <v>-1.1245000000000001</v>
      </c>
      <c r="I4">
        <v>-4.3319000000000001</v>
      </c>
      <c r="J4">
        <v>-7.2073999999999998</v>
      </c>
      <c r="K4">
        <v>-9.9522999999999993</v>
      </c>
    </row>
    <row r="5" spans="1:22" x14ac:dyDescent="0.25">
      <c r="A5" s="13" t="s">
        <v>4</v>
      </c>
      <c r="B5" s="4" t="s">
        <v>5</v>
      </c>
      <c r="D5">
        <v>-9.3541000000000007</v>
      </c>
      <c r="E5">
        <v>-7.7653999999999996</v>
      </c>
      <c r="F5">
        <v>-5.8970000000000002</v>
      </c>
      <c r="G5">
        <v>-4.1506999999999996</v>
      </c>
      <c r="H5">
        <v>-2.3795000000000002</v>
      </c>
      <c r="I5">
        <v>-0.92230000000000001</v>
      </c>
      <c r="J5">
        <v>0.32329999999999998</v>
      </c>
      <c r="K5">
        <v>1.4215</v>
      </c>
    </row>
    <row r="6" spans="1:22" x14ac:dyDescent="0.25">
      <c r="A6" s="13" t="s">
        <v>6</v>
      </c>
      <c r="B6" s="4" t="s">
        <v>7</v>
      </c>
      <c r="D6">
        <v>-2.6566999999999998</v>
      </c>
      <c r="E6">
        <v>-2.8982999999999999</v>
      </c>
      <c r="F6">
        <v>-3.0632999999999999</v>
      </c>
      <c r="G6">
        <v>-3.1076000000000001</v>
      </c>
      <c r="H6">
        <v>-3.0354000000000001</v>
      </c>
      <c r="I6">
        <v>-2.8742000000000001</v>
      </c>
      <c r="J6">
        <v>-2.6488</v>
      </c>
      <c r="K6">
        <v>-2.3536999999999999</v>
      </c>
    </row>
    <row r="7" spans="1:22" x14ac:dyDescent="0.25">
      <c r="A7" s="14" t="s">
        <v>8</v>
      </c>
      <c r="B7" s="6" t="s">
        <v>9</v>
      </c>
      <c r="D7">
        <v>49.15</v>
      </c>
      <c r="E7">
        <v>44.657499999999999</v>
      </c>
      <c r="F7">
        <v>39.44</v>
      </c>
      <c r="G7">
        <v>34.622</v>
      </c>
      <c r="H7">
        <v>29.824200000000001</v>
      </c>
      <c r="I7">
        <v>25.9892</v>
      </c>
      <c r="J7">
        <v>22.840900000000001</v>
      </c>
      <c r="K7">
        <v>20.188099999999999</v>
      </c>
      <c r="M7">
        <f>F7-F6</f>
        <v>42.503299999999996</v>
      </c>
      <c r="N7">
        <f>G7-G6</f>
        <v>37.729599999999998</v>
      </c>
    </row>
    <row r="8" spans="1:22" x14ac:dyDescent="0.25">
      <c r="A8" s="14" t="s">
        <v>10</v>
      </c>
      <c r="B8" s="7" t="s">
        <v>11</v>
      </c>
      <c r="D8">
        <v>1.5251999999999999</v>
      </c>
      <c r="E8">
        <v>0.53449999999999998</v>
      </c>
      <c r="F8">
        <v>-0.6</v>
      </c>
      <c r="G8">
        <v>-1.6142000000000001</v>
      </c>
      <c r="H8">
        <v>-2.6004</v>
      </c>
      <c r="I8">
        <v>-3.399</v>
      </c>
    </row>
    <row r="9" spans="1:22" x14ac:dyDescent="0.25">
      <c r="A9" s="14" t="s">
        <v>21</v>
      </c>
      <c r="B9" s="7" t="s">
        <v>25</v>
      </c>
      <c r="D9">
        <v>-3.6351</v>
      </c>
      <c r="E9">
        <v>-3.7193000000000001</v>
      </c>
      <c r="F9">
        <v>-3.9171</v>
      </c>
      <c r="G9">
        <v>-4.1963999999999997</v>
      </c>
      <c r="H9">
        <v>-4.6158000000000001</v>
      </c>
      <c r="I9">
        <v>-5.1380999999999997</v>
      </c>
      <c r="J9">
        <v>-5.7680999999999996</v>
      </c>
      <c r="K9">
        <v>-6.5848000000000004</v>
      </c>
      <c r="M9">
        <f>(25*(M7-N7)/(-40)+M7)*2</f>
        <v>79.039474999999996</v>
      </c>
    </row>
    <row r="10" spans="1:22" x14ac:dyDescent="0.25">
      <c r="A10" s="14" t="s">
        <v>22</v>
      </c>
      <c r="B10" s="7" t="s">
        <v>26</v>
      </c>
      <c r="D10">
        <v>-26.503</v>
      </c>
      <c r="E10">
        <v>-24.653400000000001</v>
      </c>
      <c r="F10">
        <v>-22.751899999999999</v>
      </c>
      <c r="G10">
        <v>-21.234300000000001</v>
      </c>
      <c r="H10">
        <v>-20.024799999999999</v>
      </c>
      <c r="I10">
        <v>-19.395900000000001</v>
      </c>
      <c r="J10">
        <v>-19.278400000000001</v>
      </c>
      <c r="K10">
        <v>-19.7437</v>
      </c>
    </row>
    <row r="11" spans="1:22" x14ac:dyDescent="0.25">
      <c r="A11" s="14" t="s">
        <v>23</v>
      </c>
      <c r="B11" s="4" t="s">
        <v>27</v>
      </c>
      <c r="D11">
        <v>146.7859</v>
      </c>
      <c r="E11">
        <v>132.52029999999999</v>
      </c>
      <c r="F11">
        <v>116.01049999999999</v>
      </c>
      <c r="G11">
        <v>100.81440000000001</v>
      </c>
      <c r="H11">
        <v>85.714699999999993</v>
      </c>
      <c r="I11">
        <v>73.653999999999996</v>
      </c>
      <c r="J11">
        <v>63.728000000000002</v>
      </c>
      <c r="K11">
        <v>55.2988</v>
      </c>
    </row>
    <row r="12" spans="1:22" x14ac:dyDescent="0.25">
      <c r="A12" s="14" t="s">
        <v>24</v>
      </c>
      <c r="B12" t="s">
        <v>28</v>
      </c>
      <c r="D12">
        <v>46.140999999999998</v>
      </c>
      <c r="E12">
        <v>41.552500000000002</v>
      </c>
      <c r="F12">
        <v>36.300600000000003</v>
      </c>
      <c r="G12">
        <v>31.524799999999999</v>
      </c>
      <c r="H12">
        <v>26.8476</v>
      </c>
      <c r="I12">
        <v>23.178999999999998</v>
      </c>
      <c r="J12">
        <v>20.227599999999999</v>
      </c>
      <c r="K12">
        <v>17.803999999999998</v>
      </c>
    </row>
    <row r="13" spans="1:22" x14ac:dyDescent="0.25">
      <c r="A13" s="14" t="s">
        <v>34</v>
      </c>
      <c r="B13" s="7" t="s">
        <v>35</v>
      </c>
      <c r="D13">
        <f>-7.4159</f>
        <v>-7.4158999999999997</v>
      </c>
      <c r="E13">
        <v>-6.9877000000000002</v>
      </c>
      <c r="F13">
        <v>-6.6467000000000001</v>
      </c>
      <c r="G13">
        <v>-6.4827000000000004</v>
      </c>
      <c r="H13">
        <v>-6.4960000000000004</v>
      </c>
      <c r="I13">
        <v>-6.6830999999999996</v>
      </c>
      <c r="J13">
        <v>-7.0225</v>
      </c>
      <c r="K13">
        <v>-7.5536000000000003</v>
      </c>
    </row>
    <row r="14" spans="1:22" x14ac:dyDescent="0.25">
      <c r="A14" s="5" t="s">
        <v>56</v>
      </c>
      <c r="B14" s="7" t="s">
        <v>57</v>
      </c>
      <c r="O14" s="12" t="s">
        <v>145</v>
      </c>
      <c r="P14" s="27" t="s">
        <v>155</v>
      </c>
    </row>
    <row r="15" spans="1:22" x14ac:dyDescent="0.25">
      <c r="A15" s="5" t="s">
        <v>91</v>
      </c>
      <c r="B15" s="7" t="s">
        <v>92</v>
      </c>
      <c r="D15">
        <f>D5+0.5*D7</f>
        <v>15.220899999999999</v>
      </c>
      <c r="E15">
        <f t="shared" ref="E15:K15" si="0">E5+0.5*E7</f>
        <v>14.56335</v>
      </c>
      <c r="F15">
        <f t="shared" si="0"/>
        <v>13.822999999999999</v>
      </c>
      <c r="G15">
        <f t="shared" si="0"/>
        <v>13.160299999999999</v>
      </c>
      <c r="H15">
        <f t="shared" si="0"/>
        <v>12.5326</v>
      </c>
      <c r="I15">
        <f t="shared" si="0"/>
        <v>12.0723</v>
      </c>
      <c r="J15">
        <f t="shared" si="0"/>
        <v>11.74375</v>
      </c>
      <c r="K15">
        <f t="shared" si="0"/>
        <v>11.515549999999999</v>
      </c>
      <c r="P15" t="s">
        <v>154</v>
      </c>
      <c r="Q15">
        <f>D21+1/3*D82</f>
        <v>8.0009583333333296</v>
      </c>
      <c r="R15">
        <f>E21+1/3*E82</f>
        <v>7.5123250000000024</v>
      </c>
      <c r="S15">
        <f t="shared" ref="R15:T15" si="1">F21+1/3*F82</f>
        <v>6.8823416666666608</v>
      </c>
      <c r="T15">
        <f t="shared" si="1"/>
        <v>6.2475000000000005</v>
      </c>
      <c r="U15">
        <f t="shared" ref="U15" si="2">H21+1/3*H82</f>
        <v>5.5825583333333375</v>
      </c>
      <c r="V15">
        <f>I21+1/3*I82</f>
        <v>5.0602333333333362</v>
      </c>
    </row>
    <row r="16" spans="1:22" x14ac:dyDescent="0.25">
      <c r="A16" s="5"/>
    </row>
    <row r="17" spans="1:22" x14ac:dyDescent="0.25">
      <c r="A17" s="11" t="s">
        <v>12</v>
      </c>
      <c r="B17" s="15" t="s">
        <v>37</v>
      </c>
      <c r="O17" s="12" t="s">
        <v>145</v>
      </c>
      <c r="P17" s="27" t="s">
        <v>146</v>
      </c>
    </row>
    <row r="18" spans="1:22" x14ac:dyDescent="0.25">
      <c r="A18" s="5"/>
      <c r="B18" s="7" t="s">
        <v>33</v>
      </c>
      <c r="D18">
        <f>D10-0.25*D11+D7</f>
        <v>-14.049475000000001</v>
      </c>
      <c r="E18">
        <f t="shared" ref="E18:K18" si="3">E10-0.25*E11+E7</f>
        <v>-13.125974999999997</v>
      </c>
      <c r="F18">
        <f t="shared" si="3"/>
        <v>-12.314525000000003</v>
      </c>
      <c r="G18">
        <f t="shared" si="3"/>
        <v>-11.815899999999999</v>
      </c>
      <c r="H18">
        <f t="shared" si="3"/>
        <v>-11.629274999999996</v>
      </c>
      <c r="I18">
        <f t="shared" si="3"/>
        <v>-11.820199999999996</v>
      </c>
      <c r="J18">
        <f t="shared" si="3"/>
        <v>-12.369499999999999</v>
      </c>
      <c r="K18">
        <f t="shared" si="3"/>
        <v>-13.380299999999998</v>
      </c>
      <c r="P18" t="s">
        <v>150</v>
      </c>
      <c r="Q18">
        <f>D4-D10+0.25*D11+D9+2*D5</f>
        <v>54.755075000000005</v>
      </c>
      <c r="R18">
        <f>E4-E10+0.25*E11+E9+2*E5</f>
        <v>49.005775</v>
      </c>
      <c r="S18">
        <f t="shared" ref="S18" si="4">F4-F10+0.25*F11+F9+2*F5</f>
        <v>42.485424999999992</v>
      </c>
      <c r="T18">
        <f>G4-G10+0.25*G11+G9+2*G5</f>
        <v>36.631300000000003</v>
      </c>
      <c r="U18">
        <f t="shared" ref="U18:V18" si="5">H4-H10+0.25*H11+H9+2*H5</f>
        <v>30.954174999999999</v>
      </c>
      <c r="V18">
        <f t="shared" si="5"/>
        <v>26.494799999999998</v>
      </c>
    </row>
    <row r="19" spans="1:22" x14ac:dyDescent="0.25">
      <c r="A19" s="5"/>
    </row>
    <row r="20" spans="1:22" x14ac:dyDescent="0.25">
      <c r="A20" s="11" t="s">
        <v>32</v>
      </c>
      <c r="B20" s="15" t="s">
        <v>38</v>
      </c>
      <c r="O20" s="12" t="s">
        <v>147</v>
      </c>
      <c r="P20" s="27" t="s">
        <v>148</v>
      </c>
    </row>
    <row r="21" spans="1:22" x14ac:dyDescent="0.25">
      <c r="A21" s="5"/>
      <c r="B21" s="7" t="s">
        <v>36</v>
      </c>
      <c r="D21">
        <f>D18-D9-D13</f>
        <v>-2.9984750000000018</v>
      </c>
      <c r="E21">
        <f>E18-E9-E13</f>
        <v>-2.4189749999999961</v>
      </c>
      <c r="F21">
        <f>F18-F9-F13</f>
        <v>-1.7507250000000036</v>
      </c>
      <c r="G21">
        <f t="shared" ref="F21:K21" si="6">G18-G9-G13</f>
        <v>-1.1367999999999991</v>
      </c>
      <c r="H21">
        <f t="shared" si="6"/>
        <v>-0.51747499999999569</v>
      </c>
      <c r="I21">
        <f>I18-I9-I13</f>
        <v>1.0000000000029985E-3</v>
      </c>
      <c r="J21">
        <f t="shared" si="6"/>
        <v>0.42110000000000092</v>
      </c>
      <c r="K21">
        <f t="shared" si="6"/>
        <v>0.75810000000000244</v>
      </c>
      <c r="P21" t="s">
        <v>149</v>
      </c>
      <c r="Q21">
        <f>D33-D7-2*D5+2*D13</f>
        <v>-56.249174999999994</v>
      </c>
      <c r="R21">
        <f>E33-E7-2*E5+2*E13</f>
        <v>-52.616475000000008</v>
      </c>
      <c r="S21">
        <f t="shared" ref="S21:T21" si="7">F33-F7-2*F5+2*F13</f>
        <v>-48.720324999999995</v>
      </c>
      <c r="T21">
        <f t="shared" si="7"/>
        <v>-45.434900000000006</v>
      </c>
      <c r="U21">
        <f t="shared" ref="U21" si="8">H33-H7-2*H5+2*H13</f>
        <v>-42.548375000000007</v>
      </c>
      <c r="V21">
        <f t="shared" ref="V21" si="9">I33-I7-2*I5+2*I13</f>
        <v>-40.653600000000004</v>
      </c>
    </row>
    <row r="22" spans="1:22" x14ac:dyDescent="0.25">
      <c r="A22" s="5"/>
      <c r="B22" s="16" t="s">
        <v>39</v>
      </c>
    </row>
    <row r="23" spans="1:22" x14ac:dyDescent="0.25">
      <c r="A23" s="5"/>
      <c r="B23" s="7" t="s">
        <v>41</v>
      </c>
      <c r="D23">
        <f>D3-4*D9+2*(D10-0.25*D11)+2*D5+3*D7</f>
        <v>19.024249999999995</v>
      </c>
      <c r="E23">
        <f t="shared" ref="E23:K23" si="10">E3-4*E9+2*(E10-0.25*E11)+2*E5+3*E7</f>
        <v>17.860550000000003</v>
      </c>
      <c r="F23">
        <f t="shared" si="10"/>
        <v>16.367549999999994</v>
      </c>
      <c r="G23">
        <f t="shared" si="10"/>
        <v>14.867199999999997</v>
      </c>
      <c r="H23">
        <f t="shared" si="10"/>
        <v>13.291450000000012</v>
      </c>
      <c r="I23">
        <f t="shared" si="10"/>
        <v>12.035900000000012</v>
      </c>
      <c r="J23">
        <f>J3-4*J9+2*(J10-0.25*J11)+2*J5+3*J7</f>
        <v>10.916999999999994</v>
      </c>
      <c r="K23">
        <f t="shared" si="10"/>
        <v>9.8586000000000027</v>
      </c>
      <c r="O23" s="12" t="s">
        <v>151</v>
      </c>
      <c r="P23" s="27" t="s">
        <v>152</v>
      </c>
    </row>
    <row r="24" spans="1:22" x14ac:dyDescent="0.25">
      <c r="A24" s="5"/>
      <c r="B24" s="16" t="s">
        <v>59</v>
      </c>
      <c r="P24" t="s">
        <v>153</v>
      </c>
      <c r="Q24">
        <f>2*D110-3*D7-6*D5-3*D4</f>
        <v>-113.08844999999999</v>
      </c>
      <c r="R24">
        <f t="shared" ref="R24:T24" si="11">2*E110-3*E7-6*E5-3*E4</f>
        <v>-99.976349999999996</v>
      </c>
      <c r="S24">
        <f t="shared" si="11"/>
        <v>-84.778649999999999</v>
      </c>
      <c r="T24">
        <f t="shared" si="11"/>
        <v>-70.789400000000001</v>
      </c>
      <c r="U24">
        <f t="shared" ref="U24" si="12">2*H110-3*H7-6*H5-3*H4</f>
        <v>-56.753049999999995</v>
      </c>
      <c r="V24">
        <f t="shared" ref="V24" si="13">2*I110-3*I7-6*I5-3*I4</f>
        <v>-45.179499999999997</v>
      </c>
    </row>
    <row r="25" spans="1:22" x14ac:dyDescent="0.25">
      <c r="A25" s="5"/>
      <c r="B25" s="7" t="s">
        <v>58</v>
      </c>
      <c r="D25">
        <f>2*D8-4*D9+2*(D10-0.25*D11)+2*D5+3*D7</f>
        <v>19.933649999999986</v>
      </c>
      <c r="E25">
        <f>2*E8-4*E9+2*(E10-0.25*E11)+2*E5+3*E7</f>
        <v>18.820950000000011</v>
      </c>
      <c r="F25">
        <f t="shared" ref="F25:I25" si="14">2*F8-4*F9+2*(F10-0.25*F11)+2*F5+3*F7</f>
        <v>17.485349999999997</v>
      </c>
      <c r="G25">
        <f t="shared" si="14"/>
        <v>16.245999999999995</v>
      </c>
      <c r="H25">
        <f t="shared" si="14"/>
        <v>15.069050000000004</v>
      </c>
      <c r="I25">
        <f>2*I8-4*I9+2*(I10-0.25*I11)+2*I5+3*I7</f>
        <v>14.258600000000008</v>
      </c>
    </row>
    <row r="26" spans="1:22" x14ac:dyDescent="0.25">
      <c r="A26" s="5"/>
      <c r="B26" s="16" t="s">
        <v>42</v>
      </c>
      <c r="O26" s="12" t="s">
        <v>147</v>
      </c>
      <c r="P26" s="27" t="s">
        <v>156</v>
      </c>
    </row>
    <row r="27" spans="1:22" x14ac:dyDescent="0.25">
      <c r="A27" s="5"/>
      <c r="B27" s="7" t="s">
        <v>43</v>
      </c>
      <c r="D27">
        <f>D3-2*D9+2*D5+2*D13+D7</f>
        <v>25.0212</v>
      </c>
      <c r="E27">
        <f t="shared" ref="E27:K27" si="15">E3-2*E9+2*E5+2*E13+E7</f>
        <v>22.698499999999999</v>
      </c>
      <c r="F27">
        <f t="shared" si="15"/>
        <v>19.868999999999996</v>
      </c>
      <c r="G27">
        <f t="shared" si="15"/>
        <v>17.140799999999999</v>
      </c>
      <c r="H27">
        <f t="shared" si="15"/>
        <v>14.3264</v>
      </c>
      <c r="I27">
        <f t="shared" si="15"/>
        <v>12.033900000000001</v>
      </c>
      <c r="J27">
        <f t="shared" si="15"/>
        <v>10.0748</v>
      </c>
      <c r="K27">
        <f t="shared" si="15"/>
        <v>8.3423999999999996</v>
      </c>
      <c r="P27" t="s">
        <v>158</v>
      </c>
      <c r="Q27">
        <f>D104+Q15</f>
        <v>27.025208333333328</v>
      </c>
      <c r="R27">
        <f>E104+R15</f>
        <v>25.372875000000001</v>
      </c>
      <c r="S27">
        <f t="shared" ref="R27:S27" si="16">F104+S15</f>
        <v>23.249891666666656</v>
      </c>
      <c r="T27">
        <f>G104+T15</f>
        <v>21.114699999999999</v>
      </c>
      <c r="U27">
        <f t="shared" ref="U27:V27" si="17">H104+U15</f>
        <v>18.874008333333343</v>
      </c>
      <c r="V27">
        <f t="shared" si="17"/>
        <v>17.096133333333341</v>
      </c>
    </row>
    <row r="28" spans="1:22" x14ac:dyDescent="0.25">
      <c r="A28" s="5"/>
      <c r="B28" s="16" t="s">
        <v>44</v>
      </c>
    </row>
    <row r="29" spans="1:22" x14ac:dyDescent="0.25">
      <c r="A29" s="5"/>
      <c r="B29" s="7" t="s">
        <v>45</v>
      </c>
      <c r="D29">
        <f>2*D8-2*D9+2*D5+2*D13+D7</f>
        <v>25.930599999999998</v>
      </c>
      <c r="E29">
        <f t="shared" ref="E29:I29" si="18">2*E8-2*E9+2*E5+2*E13+E7</f>
        <v>23.658899999999999</v>
      </c>
      <c r="F29">
        <f t="shared" si="18"/>
        <v>20.986799999999995</v>
      </c>
      <c r="G29">
        <f t="shared" si="18"/>
        <v>18.519599999999997</v>
      </c>
      <c r="H29">
        <f t="shared" si="18"/>
        <v>16.103999999999999</v>
      </c>
      <c r="I29">
        <f t="shared" si="18"/>
        <v>14.256600000000001</v>
      </c>
      <c r="O29" s="12" t="s">
        <v>151</v>
      </c>
      <c r="P29" s="27" t="s">
        <v>157</v>
      </c>
    </row>
    <row r="30" spans="1:22" x14ac:dyDescent="0.25">
      <c r="A30" s="5"/>
      <c r="B30" s="7"/>
      <c r="P30" t="s">
        <v>159</v>
      </c>
      <c r="Q30">
        <f>D110+Q15</f>
        <v>17.967783333333323</v>
      </c>
      <c r="R30">
        <f t="shared" ref="R30:S30" si="19">E110+R15</f>
        <v>16.922800000000009</v>
      </c>
      <c r="S30">
        <f t="shared" si="19"/>
        <v>15.625016666666653</v>
      </c>
      <c r="T30">
        <f>G110+T15</f>
        <v>14.370500000000002</v>
      </c>
      <c r="U30">
        <f t="shared" ref="U30:V30" si="20">H110+U15</f>
        <v>13.117083333333341</v>
      </c>
      <c r="V30">
        <f t="shared" si="20"/>
        <v>12.18953333333334</v>
      </c>
    </row>
    <row r="31" spans="1:22" x14ac:dyDescent="0.25">
      <c r="A31" s="5"/>
      <c r="B31" s="7"/>
    </row>
    <row r="32" spans="1:22" x14ac:dyDescent="0.25">
      <c r="A32" s="12" t="s">
        <v>31</v>
      </c>
      <c r="B32" s="16" t="s">
        <v>46</v>
      </c>
    </row>
    <row r="33" spans="1:22" x14ac:dyDescent="0.25">
      <c r="B33" s="7" t="s">
        <v>40</v>
      </c>
      <c r="D33">
        <f>D3+D10-0.25*D11-D4+D7-2*D13</f>
        <v>-10.975575000000001</v>
      </c>
      <c r="E33">
        <f t="shared" ref="E33:K33" si="21">E3+E10-0.25*E11-E4+E7-2*E13</f>
        <v>-9.5143750000000082</v>
      </c>
      <c r="F33">
        <f t="shared" si="21"/>
        <v>-7.7809249999999945</v>
      </c>
      <c r="G33">
        <f t="shared" si="21"/>
        <v>-6.1489000000000065</v>
      </c>
      <c r="H33">
        <f t="shared" si="21"/>
        <v>-4.4911749999999984</v>
      </c>
      <c r="I33">
        <f t="shared" si="21"/>
        <v>-3.1428000000000047</v>
      </c>
      <c r="J33">
        <f t="shared" si="21"/>
        <v>-2.020999999999999</v>
      </c>
      <c r="K33">
        <f t="shared" si="21"/>
        <v>-1.0718999999999976</v>
      </c>
      <c r="O33" s="12" t="s">
        <v>166</v>
      </c>
      <c r="P33" s="12"/>
    </row>
    <row r="34" spans="1:22" x14ac:dyDescent="0.25">
      <c r="B34" s="16" t="s">
        <v>52</v>
      </c>
      <c r="M34">
        <f>10^R34</f>
        <v>2.3214335142171417E-6</v>
      </c>
      <c r="O34" s="12"/>
      <c r="P34" s="12" t="s">
        <v>160</v>
      </c>
      <c r="Q34">
        <f>LOG10((1/(10^Q15))^(3/4))</f>
        <v>-6.0007187499999981</v>
      </c>
      <c r="R34">
        <f t="shared" ref="R34:V34" si="22">LOG10((1/(10^R15))^(3/4))</f>
        <v>-5.6342437500000022</v>
      </c>
      <c r="S34">
        <f t="shared" si="22"/>
        <v>-5.1617562499999963</v>
      </c>
      <c r="T34">
        <f t="shared" si="22"/>
        <v>-4.6856250000000008</v>
      </c>
      <c r="U34">
        <f t="shared" si="22"/>
        <v>-4.1869187500000029</v>
      </c>
      <c r="V34">
        <f t="shared" si="22"/>
        <v>-3.7951750000000031</v>
      </c>
    </row>
    <row r="35" spans="1:22" x14ac:dyDescent="0.25">
      <c r="A35" s="12"/>
      <c r="B35" s="7" t="s">
        <v>53</v>
      </c>
      <c r="D35">
        <f>-2*D4+3*D3+2*D5+D7</f>
        <v>9.0670000000000002</v>
      </c>
      <c r="E35">
        <f t="shared" ref="E35:J35" si="23">-2*E4+3*E3+2*E5+E7</f>
        <v>8.5076999999999998</v>
      </c>
      <c r="F35">
        <f t="shared" si="23"/>
        <v>7.8085999999999949</v>
      </c>
      <c r="G35">
        <f t="shared" si="23"/>
        <v>7.1165999999999983</v>
      </c>
      <c r="H35">
        <f t="shared" si="23"/>
        <v>6.3790000000000013</v>
      </c>
      <c r="I35">
        <f t="shared" si="23"/>
        <v>5.7463000000000015</v>
      </c>
      <c r="J35">
        <f t="shared" si="23"/>
        <v>5.1905999999999999</v>
      </c>
      <c r="K35">
        <f>-2*K4+3*K3+2*K5+K7</f>
        <v>4.6824000000000012</v>
      </c>
      <c r="M35">
        <f t="shared" ref="M35:M39" si="24">10^R35</f>
        <v>0.1003632598218179</v>
      </c>
      <c r="O35" s="12"/>
      <c r="P35" s="12" t="s">
        <v>161</v>
      </c>
      <c r="Q35">
        <v>-0.90120894725616596</v>
      </c>
      <c r="R35">
        <v>-0.99842524114343989</v>
      </c>
      <c r="S35">
        <v>-1.038815791472633</v>
      </c>
      <c r="T35">
        <v>-1.0195647080825601</v>
      </c>
      <c r="U35">
        <v>-0.98356969513726866</v>
      </c>
      <c r="V35">
        <v>-1.0035036271121291</v>
      </c>
    </row>
    <row r="36" spans="1:22" x14ac:dyDescent="0.25">
      <c r="B36" s="16" t="s">
        <v>47</v>
      </c>
      <c r="M36">
        <f>10^R36</f>
        <v>1.3954720867803841E-6</v>
      </c>
      <c r="O36" s="12"/>
      <c r="P36" s="12" t="s">
        <v>162</v>
      </c>
      <c r="Q36">
        <f>LOG10((1/(10^Q27))^(3/13))</f>
        <v>-6.2365865384615375</v>
      </c>
      <c r="R36">
        <f t="shared" ref="R36:V36" si="25">LOG10((1/(10^R27))^(3/13))</f>
        <v>-5.8552788461538468</v>
      </c>
      <c r="S36">
        <f t="shared" si="25"/>
        <v>-5.3653596153846133</v>
      </c>
      <c r="T36">
        <f t="shared" si="25"/>
        <v>-4.8726230769230776</v>
      </c>
      <c r="U36">
        <f t="shared" si="25"/>
        <v>-4.3555403846153879</v>
      </c>
      <c r="V36">
        <f t="shared" si="25"/>
        <v>-3.945261538461541</v>
      </c>
    </row>
    <row r="37" spans="1:22" x14ac:dyDescent="0.25">
      <c r="B37" s="7" t="s">
        <v>48</v>
      </c>
      <c r="D37">
        <f>2*D8-2*D4+2*D5+2*D3+D7</f>
        <v>9.9763999999999911</v>
      </c>
      <c r="E37">
        <f t="shared" ref="E37:I37" si="26">2*E8-2*E4+2*E5+2*E3+E7</f>
        <v>9.4680999999999997</v>
      </c>
      <c r="F37">
        <f t="shared" si="26"/>
        <v>8.9263999999999974</v>
      </c>
      <c r="G37">
        <f t="shared" si="26"/>
        <v>8.4954000000000036</v>
      </c>
      <c r="H37">
        <f t="shared" si="26"/>
        <v>8.156600000000001</v>
      </c>
      <c r="I37">
        <f t="shared" si="26"/>
        <v>7.9690000000000012</v>
      </c>
      <c r="M37">
        <f t="shared" si="24"/>
        <v>1.1129696801923011E-6</v>
      </c>
      <c r="O37" s="12"/>
      <c r="P37" s="12" t="s">
        <v>163</v>
      </c>
      <c r="Q37">
        <v>-6.3414166666666647</v>
      </c>
      <c r="R37">
        <v>-5.953516666666669</v>
      </c>
      <c r="S37">
        <v>-5.4558499999999981</v>
      </c>
      <c r="T37">
        <v>-4.9557333333333329</v>
      </c>
      <c r="U37">
        <v>-4.4304833333333375</v>
      </c>
      <c r="V37">
        <v>-4.0119666666666705</v>
      </c>
    </row>
    <row r="38" spans="1:22" x14ac:dyDescent="0.25">
      <c r="A38" s="12"/>
      <c r="B38" s="15" t="s">
        <v>49</v>
      </c>
      <c r="M38">
        <f t="shared" si="24"/>
        <v>1.0647485537018583E-6</v>
      </c>
      <c r="O38" s="12"/>
      <c r="P38" s="12" t="s">
        <v>164</v>
      </c>
      <c r="Q38">
        <f>LOG10((1/(10^Q30))^(6/17))</f>
        <v>-6.3415705882352906</v>
      </c>
      <c r="R38">
        <f t="shared" ref="R38:V38" si="27">LOG10((1/(10^R30))^(6/17))</f>
        <v>-5.9727529411764753</v>
      </c>
      <c r="S38">
        <f t="shared" si="27"/>
        <v>-5.5147117647058783</v>
      </c>
      <c r="T38">
        <f t="shared" si="27"/>
        <v>-5.0719411764705891</v>
      </c>
      <c r="U38">
        <f t="shared" si="27"/>
        <v>-4.6295588235294147</v>
      </c>
      <c r="V38">
        <f t="shared" si="27"/>
        <v>-4.3021882352941203</v>
      </c>
    </row>
    <row r="39" spans="1:22" x14ac:dyDescent="0.25">
      <c r="B39" t="s">
        <v>50</v>
      </c>
      <c r="D39">
        <f>6*D8-2*D4+2*D5+D7</f>
        <v>11.795200000000001</v>
      </c>
      <c r="E39">
        <f t="shared" ref="E39:H39" si="28">6*E8-2*E4+2*E5+E7</f>
        <v>11.3889</v>
      </c>
      <c r="F39">
        <f t="shared" si="28"/>
        <v>11.161999999999995</v>
      </c>
      <c r="G39">
        <f t="shared" si="28"/>
        <v>11.253</v>
      </c>
      <c r="H39">
        <f t="shared" si="28"/>
        <v>11.7118</v>
      </c>
      <c r="I39">
        <f>6*I8-2*I4+2*I5+I7</f>
        <v>12.414400000000002</v>
      </c>
      <c r="M39">
        <f t="shared" si="24"/>
        <v>5.3253726070169971E-7</v>
      </c>
      <c r="O39" s="12"/>
      <c r="P39" s="12" t="s">
        <v>165</v>
      </c>
      <c r="Q39">
        <v>-6.6445499999999962</v>
      </c>
      <c r="R39">
        <v>-6.2736500000000044</v>
      </c>
      <c r="S39">
        <v>-5.8284499999999992</v>
      </c>
      <c r="T39">
        <v>-5.415333333333332</v>
      </c>
      <c r="U39">
        <v>-5.0230166666666678</v>
      </c>
      <c r="V39">
        <v>-4.7528666666666695</v>
      </c>
    </row>
    <row r="40" spans="1:22" x14ac:dyDescent="0.25">
      <c r="B40" s="15" t="s">
        <v>60</v>
      </c>
      <c r="P40" s="12" t="s">
        <v>167</v>
      </c>
      <c r="Q40">
        <v>-0.90077334362507211</v>
      </c>
      <c r="R40">
        <v>-0.99677334362506864</v>
      </c>
      <c r="S40">
        <v>-1.0311733436250667</v>
      </c>
      <c r="T40">
        <v>-0.98897334362507239</v>
      </c>
      <c r="U40">
        <v>-0.86837334362507312</v>
      </c>
      <c r="V40">
        <v>-0.70197334362507335</v>
      </c>
    </row>
    <row r="41" spans="1:22" x14ac:dyDescent="0.25">
      <c r="B41" t="s">
        <v>61</v>
      </c>
      <c r="D41">
        <f>(4*(D10-0.25*D11)-D4-7*D13+3*D7-2*D5-D9)-1*D21</f>
        <v>-41.993725000000019</v>
      </c>
      <c r="E41">
        <f>(4*(E10-0.25*E11)-E4-7*E13+3*E7-2*E5-E9)-1*E21</f>
        <v>-37.050824999999975</v>
      </c>
      <c r="F41">
        <f t="shared" ref="F41:K41" si="29">(4*(F10-0.25*F11)-F4-7*F13+3*F7-2*F5-F9)-1*F21</f>
        <v>-31.151375000000009</v>
      </c>
      <c r="G41">
        <f t="shared" si="29"/>
        <v>-25.563299999999991</v>
      </c>
      <c r="H41">
        <f t="shared" si="29"/>
        <v>-19.852524999999972</v>
      </c>
      <c r="I41">
        <f t="shared" si="29"/>
        <v>-15.174699999999994</v>
      </c>
      <c r="J41">
        <f t="shared" si="29"/>
        <v>-11.253599999999993</v>
      </c>
      <c r="K41">
        <f t="shared" si="29"/>
        <v>-7.8981000000000074</v>
      </c>
      <c r="Q41" s="12">
        <v>25</v>
      </c>
      <c r="R41" s="12">
        <v>37.5</v>
      </c>
      <c r="S41" s="12">
        <v>50</v>
      </c>
      <c r="T41" s="12">
        <v>62.5</v>
      </c>
      <c r="U41" s="12">
        <v>75</v>
      </c>
    </row>
    <row r="42" spans="1:22" x14ac:dyDescent="0.25">
      <c r="P42" s="12" t="s">
        <v>168</v>
      </c>
      <c r="Q42">
        <f>Q50-0.004</f>
        <v>8.539999999999999E-2</v>
      </c>
      <c r="R42">
        <f t="shared" ref="R42:U42" si="30">R50-0.004</f>
        <v>8.1900000000000001E-2</v>
      </c>
      <c r="S42">
        <f t="shared" si="30"/>
        <v>8.0500000000000002E-2</v>
      </c>
      <c r="T42">
        <f t="shared" si="30"/>
        <v>8.1000000000000003E-2</v>
      </c>
      <c r="U42">
        <f t="shared" si="30"/>
        <v>8.299999999999999E-2</v>
      </c>
    </row>
    <row r="43" spans="1:22" x14ac:dyDescent="0.25">
      <c r="A43" s="12" t="s">
        <v>51</v>
      </c>
      <c r="P43" s="12" t="s">
        <v>169</v>
      </c>
      <c r="Q43">
        <f t="shared" ref="Q43:T43" si="31">Q51-0.004</f>
        <v>8.5099999999999995E-2</v>
      </c>
      <c r="R43">
        <f t="shared" si="31"/>
        <v>8.1199999999999994E-2</v>
      </c>
      <c r="S43">
        <f t="shared" si="31"/>
        <v>7.9199999999999993E-2</v>
      </c>
      <c r="T43">
        <f t="shared" si="31"/>
        <v>7.8699999999999992E-2</v>
      </c>
      <c r="U43">
        <f>U51-0.004</f>
        <v>7.85E-2</v>
      </c>
    </row>
    <row r="44" spans="1:22" x14ac:dyDescent="0.25">
      <c r="B44" s="15" t="s">
        <v>54</v>
      </c>
      <c r="P44" s="12" t="s">
        <v>170</v>
      </c>
      <c r="Q44">
        <f>Q52-0.004</f>
        <v>8.4499999999999992E-2</v>
      </c>
      <c r="R44">
        <f t="shared" ref="R44:U44" si="32">R52-0.004</f>
        <v>8.0199999999999994E-2</v>
      </c>
      <c r="S44">
        <f t="shared" si="32"/>
        <v>7.7600000000000002E-2</v>
      </c>
      <c r="T44">
        <f t="shared" si="32"/>
        <v>7.6499999999999999E-2</v>
      </c>
      <c r="U44">
        <f t="shared" si="32"/>
        <v>7.569999999999999E-2</v>
      </c>
    </row>
    <row r="45" spans="1:22" x14ac:dyDescent="0.25">
      <c r="B45" t="s">
        <v>55</v>
      </c>
      <c r="D45">
        <f>D4-3*D9+3*D13+2*D5+D7</f>
        <v>32.9983</v>
      </c>
      <c r="E45">
        <f t="shared" ref="E45:K45" si="33">E4-3*E9+3*E13+2*E5+E7</f>
        <v>29.793899999999997</v>
      </c>
      <c r="F45">
        <f t="shared" si="33"/>
        <v>25.899199999999997</v>
      </c>
      <c r="G45">
        <f t="shared" si="33"/>
        <v>22.152899999999999</v>
      </c>
      <c r="H45">
        <f t="shared" si="33"/>
        <v>18.3001</v>
      </c>
      <c r="I45">
        <f t="shared" si="33"/>
        <v>15.177700000000002</v>
      </c>
      <c r="J45">
        <f t="shared" si="33"/>
        <v>12.5169</v>
      </c>
      <c r="K45">
        <f t="shared" si="33"/>
        <v>10.172399999999998</v>
      </c>
    </row>
    <row r="46" spans="1:22" x14ac:dyDescent="0.25">
      <c r="Q46">
        <f>LOG10(Q42)</f>
        <v>-1.0685421293109949</v>
      </c>
      <c r="R46">
        <f>LOG10(R42)</f>
        <v>-1.0867160982395816</v>
      </c>
      <c r="S46">
        <f t="shared" ref="R46:U46" si="34">LOG10(S42)</f>
        <v>-1.0942041196321315</v>
      </c>
      <c r="T46">
        <f t="shared" si="34"/>
        <v>-1.0915149811213503</v>
      </c>
      <c r="U46">
        <f t="shared" si="34"/>
        <v>-1.080921907623926</v>
      </c>
    </row>
    <row r="47" spans="1:22" x14ac:dyDescent="0.25">
      <c r="Q47">
        <f>LOG10(Q43)</f>
        <v>-1.0700704399154122</v>
      </c>
      <c r="R47">
        <f t="shared" ref="R47:U47" si="35">LOG10(R43)</f>
        <v>-1.0904439707588247</v>
      </c>
      <c r="S47">
        <f t="shared" si="35"/>
        <v>-1.1012748184105066</v>
      </c>
      <c r="T47">
        <f t="shared" si="35"/>
        <v>-1.1040252676409354</v>
      </c>
      <c r="U47">
        <f t="shared" si="35"/>
        <v>-1.1051303432547475</v>
      </c>
    </row>
    <row r="48" spans="1:22" x14ac:dyDescent="0.25">
      <c r="A48" s="12" t="s">
        <v>74</v>
      </c>
      <c r="B48" s="15" t="s">
        <v>75</v>
      </c>
      <c r="Q48">
        <f>LOG10(Q44)</f>
        <v>-1.0731432910503076</v>
      </c>
      <c r="R48">
        <f t="shared" ref="R48:T48" si="36">LOG10(R44)</f>
        <v>-1.0958256317158366</v>
      </c>
      <c r="S48">
        <f t="shared" si="36"/>
        <v>-1.1101382787418115</v>
      </c>
      <c r="T48">
        <f t="shared" si="36"/>
        <v>-1.1163385648463824</v>
      </c>
      <c r="U48">
        <f>LOG10(U44)</f>
        <v>-1.1209041204999273</v>
      </c>
    </row>
    <row r="49" spans="1:21" x14ac:dyDescent="0.25">
      <c r="B49" t="s">
        <v>76</v>
      </c>
      <c r="D49">
        <f>D7-D12</f>
        <v>3.0090000000000003</v>
      </c>
      <c r="E49">
        <f t="shared" ref="E49:K49" si="37">E7-E12</f>
        <v>3.1049999999999969</v>
      </c>
      <c r="F49">
        <f t="shared" si="37"/>
        <v>3.1393999999999949</v>
      </c>
      <c r="G49">
        <f t="shared" si="37"/>
        <v>3.0972000000000008</v>
      </c>
      <c r="H49">
        <f t="shared" si="37"/>
        <v>2.9766000000000012</v>
      </c>
      <c r="I49">
        <f t="shared" si="37"/>
        <v>2.8102000000000018</v>
      </c>
      <c r="J49">
        <f t="shared" si="37"/>
        <v>2.6133000000000024</v>
      </c>
      <c r="K49">
        <f t="shared" si="37"/>
        <v>2.3841000000000001</v>
      </c>
    </row>
    <row r="50" spans="1:21" x14ac:dyDescent="0.25">
      <c r="Q50">
        <v>8.9399999999999993E-2</v>
      </c>
      <c r="R50">
        <v>8.5900000000000004E-2</v>
      </c>
      <c r="S50">
        <v>8.4500000000000006E-2</v>
      </c>
      <c r="T50">
        <v>8.5000000000000006E-2</v>
      </c>
      <c r="U50">
        <v>8.6999999999999994E-2</v>
      </c>
    </row>
    <row r="51" spans="1:21" x14ac:dyDescent="0.25">
      <c r="Q51">
        <v>8.9099999999999999E-2</v>
      </c>
      <c r="R51">
        <v>8.5199999999999998E-2</v>
      </c>
      <c r="S51">
        <v>8.3199999999999996E-2</v>
      </c>
      <c r="T51">
        <v>8.2699999999999996E-2</v>
      </c>
      <c r="U51">
        <v>8.2500000000000004E-2</v>
      </c>
    </row>
    <row r="52" spans="1:21" x14ac:dyDescent="0.25">
      <c r="A52" s="17" t="s">
        <v>105</v>
      </c>
      <c r="Q52">
        <v>8.8499999999999995E-2</v>
      </c>
      <c r="R52">
        <v>8.4199999999999997E-2</v>
      </c>
      <c r="S52">
        <v>8.1600000000000006E-2</v>
      </c>
      <c r="T52">
        <v>8.0500000000000002E-2</v>
      </c>
      <c r="U52">
        <v>7.9699999999999993E-2</v>
      </c>
    </row>
    <row r="54" spans="1:21" x14ac:dyDescent="0.25">
      <c r="A54" s="11" t="s">
        <v>12</v>
      </c>
      <c r="B54" s="15" t="s">
        <v>37</v>
      </c>
    </row>
    <row r="55" spans="1:21" x14ac:dyDescent="0.25">
      <c r="A55" s="5"/>
      <c r="B55" s="7" t="s">
        <v>33</v>
      </c>
      <c r="D55">
        <v>-14.049475000000001</v>
      </c>
      <c r="E55">
        <v>-13.125974999999997</v>
      </c>
      <c r="F55">
        <v>-12.314525000000003</v>
      </c>
      <c r="G55">
        <v>-11.815899999999999</v>
      </c>
      <c r="H55">
        <v>-11.629274999999996</v>
      </c>
      <c r="I55">
        <v>-11.820199999999996</v>
      </c>
      <c r="J55">
        <v>-12.369499999999999</v>
      </c>
      <c r="K55">
        <v>-13.380299999999998</v>
      </c>
    </row>
    <row r="56" spans="1:21" x14ac:dyDescent="0.25">
      <c r="A56" s="5"/>
    </row>
    <row r="57" spans="1:21" x14ac:dyDescent="0.25">
      <c r="A57" s="11" t="s">
        <v>32</v>
      </c>
      <c r="B57" s="15" t="s">
        <v>38</v>
      </c>
    </row>
    <row r="58" spans="1:21" x14ac:dyDescent="0.25">
      <c r="A58" s="5"/>
      <c r="B58" s="7" t="s">
        <v>36</v>
      </c>
      <c r="D58">
        <v>-2.9984750000000018</v>
      </c>
      <c r="E58">
        <v>-2.4189749999999961</v>
      </c>
      <c r="F58">
        <v>-1.7507250000000036</v>
      </c>
      <c r="G58">
        <v>-1.1367999999999991</v>
      </c>
      <c r="H58">
        <v>-0.51747499999999569</v>
      </c>
      <c r="I58">
        <v>1.0000000000029985E-3</v>
      </c>
      <c r="J58">
        <v>0.42110000000000092</v>
      </c>
      <c r="K58">
        <v>0.75810000000000244</v>
      </c>
    </row>
    <row r="59" spans="1:21" x14ac:dyDescent="0.25">
      <c r="A59" s="5"/>
      <c r="B59" s="16" t="s">
        <v>39</v>
      </c>
    </row>
    <row r="60" spans="1:21" x14ac:dyDescent="0.25">
      <c r="A60" s="5"/>
      <c r="B60" s="7" t="s">
        <v>41</v>
      </c>
      <c r="D60">
        <v>19.024249999999995</v>
      </c>
      <c r="E60">
        <v>17.860550000000003</v>
      </c>
      <c r="F60">
        <v>16.367549999999994</v>
      </c>
      <c r="G60">
        <v>14.867199999999997</v>
      </c>
      <c r="H60">
        <v>13.291450000000012</v>
      </c>
      <c r="I60">
        <v>12.035900000000012</v>
      </c>
      <c r="J60">
        <v>10.916999999999994</v>
      </c>
      <c r="K60">
        <v>9.8586000000000027</v>
      </c>
    </row>
    <row r="61" spans="1:21" x14ac:dyDescent="0.25">
      <c r="A61" s="5"/>
      <c r="B61" s="16" t="s">
        <v>77</v>
      </c>
    </row>
    <row r="62" spans="1:21" x14ac:dyDescent="0.25">
      <c r="A62" s="5"/>
      <c r="B62" s="7" t="s">
        <v>78</v>
      </c>
      <c r="D62">
        <f>D25/2</f>
        <v>9.9668249999999929</v>
      </c>
      <c r="E62">
        <f t="shared" ref="E62:I62" si="38">E25/2</f>
        <v>9.4104750000000053</v>
      </c>
      <c r="F62">
        <f t="shared" si="38"/>
        <v>8.7426749999999984</v>
      </c>
      <c r="G62">
        <f t="shared" si="38"/>
        <v>8.1229999999999976</v>
      </c>
      <c r="H62">
        <f t="shared" si="38"/>
        <v>7.5345250000000021</v>
      </c>
      <c r="I62">
        <f t="shared" si="38"/>
        <v>7.1293000000000042</v>
      </c>
    </row>
    <row r="63" spans="1:21" x14ac:dyDescent="0.25">
      <c r="A63" s="5"/>
      <c r="B63" s="16" t="s">
        <v>42</v>
      </c>
    </row>
    <row r="64" spans="1:21" x14ac:dyDescent="0.25">
      <c r="A64" s="5"/>
      <c r="B64" s="7" t="s">
        <v>43</v>
      </c>
      <c r="D64">
        <v>25.0212</v>
      </c>
      <c r="E64">
        <v>22.698499999999999</v>
      </c>
      <c r="F64">
        <v>19.868999999999996</v>
      </c>
      <c r="G64">
        <v>17.140799999999999</v>
      </c>
      <c r="H64">
        <v>14.3264</v>
      </c>
      <c r="I64">
        <v>12.033900000000001</v>
      </c>
      <c r="J64">
        <v>10.0748</v>
      </c>
      <c r="K64">
        <v>8.3423999999999996</v>
      </c>
    </row>
    <row r="65" spans="1:11" x14ac:dyDescent="0.25">
      <c r="A65" s="5"/>
      <c r="B65" s="16" t="s">
        <v>80</v>
      </c>
    </row>
    <row r="66" spans="1:11" x14ac:dyDescent="0.25">
      <c r="A66" s="5"/>
      <c r="B66" s="7" t="s">
        <v>79</v>
      </c>
      <c r="D66">
        <f>D29/2</f>
        <v>12.965299999999999</v>
      </c>
      <c r="E66">
        <f t="shared" ref="E66:I66" si="39">E29/2</f>
        <v>11.82945</v>
      </c>
      <c r="F66">
        <f t="shared" si="39"/>
        <v>10.493399999999998</v>
      </c>
      <c r="G66">
        <f t="shared" si="39"/>
        <v>9.2597999999999985</v>
      </c>
      <c r="H66">
        <f t="shared" si="39"/>
        <v>8.0519999999999996</v>
      </c>
      <c r="I66">
        <f t="shared" si="39"/>
        <v>7.1283000000000003</v>
      </c>
    </row>
    <row r="67" spans="1:11" x14ac:dyDescent="0.25">
      <c r="A67" s="5"/>
      <c r="B67" s="7"/>
    </row>
    <row r="68" spans="1:11" x14ac:dyDescent="0.25">
      <c r="A68" s="5"/>
      <c r="B68" s="7"/>
    </row>
    <row r="69" spans="1:11" x14ac:dyDescent="0.25">
      <c r="A69" s="12" t="s">
        <v>31</v>
      </c>
      <c r="B69" s="16" t="s">
        <v>46</v>
      </c>
    </row>
    <row r="70" spans="1:11" x14ac:dyDescent="0.25">
      <c r="B70" s="7" t="s">
        <v>40</v>
      </c>
      <c r="D70">
        <v>-10.975575000000001</v>
      </c>
      <c r="E70">
        <v>-9.5143750000000082</v>
      </c>
      <c r="F70">
        <v>-7.7809249999999945</v>
      </c>
      <c r="G70">
        <v>-6.1489000000000065</v>
      </c>
      <c r="H70">
        <v>-4.4911749999999984</v>
      </c>
      <c r="I70">
        <v>-3.1428000000000047</v>
      </c>
      <c r="J70">
        <v>-2.020999999999999</v>
      </c>
      <c r="K70">
        <v>-1.0718999999999976</v>
      </c>
    </row>
    <row r="71" spans="1:11" x14ac:dyDescent="0.25">
      <c r="B71" s="16" t="s">
        <v>85</v>
      </c>
    </row>
    <row r="72" spans="1:11" x14ac:dyDescent="0.25">
      <c r="A72" s="12"/>
      <c r="B72" s="7" t="s">
        <v>86</v>
      </c>
      <c r="D72">
        <f>D35/3</f>
        <v>3.0223333333333335</v>
      </c>
      <c r="E72">
        <f t="shared" ref="E72:K72" si="40">E35/3</f>
        <v>2.8359000000000001</v>
      </c>
      <c r="F72">
        <f t="shared" si="40"/>
        <v>2.6028666666666651</v>
      </c>
      <c r="G72">
        <f t="shared" si="40"/>
        <v>2.3721999999999994</v>
      </c>
      <c r="H72">
        <f t="shared" si="40"/>
        <v>2.1263333333333336</v>
      </c>
      <c r="I72">
        <f t="shared" si="40"/>
        <v>1.9154333333333338</v>
      </c>
      <c r="J72">
        <f t="shared" si="40"/>
        <v>1.7302</v>
      </c>
      <c r="K72">
        <f t="shared" si="40"/>
        <v>1.5608000000000004</v>
      </c>
    </row>
    <row r="73" spans="1:11" x14ac:dyDescent="0.25">
      <c r="B73" s="16" t="s">
        <v>81</v>
      </c>
    </row>
    <row r="74" spans="1:11" x14ac:dyDescent="0.25">
      <c r="B74" s="7" t="s">
        <v>82</v>
      </c>
      <c r="D74">
        <f>D37/2</f>
        <v>4.9881999999999955</v>
      </c>
      <c r="E74">
        <f t="shared" ref="E74:I74" si="41">E37/2</f>
        <v>4.7340499999999999</v>
      </c>
      <c r="F74">
        <f t="shared" si="41"/>
        <v>4.4631999999999987</v>
      </c>
      <c r="G74">
        <f t="shared" si="41"/>
        <v>4.2477000000000018</v>
      </c>
      <c r="H74">
        <f t="shared" si="41"/>
        <v>4.0783000000000005</v>
      </c>
      <c r="I74">
        <f t="shared" si="41"/>
        <v>3.9845000000000006</v>
      </c>
    </row>
    <row r="75" spans="1:11" x14ac:dyDescent="0.25">
      <c r="A75" s="12"/>
      <c r="B75" s="15" t="s">
        <v>84</v>
      </c>
    </row>
    <row r="76" spans="1:11" x14ac:dyDescent="0.25">
      <c r="B76" t="s">
        <v>83</v>
      </c>
      <c r="D76">
        <f>D39/6</f>
        <v>1.9658666666666669</v>
      </c>
      <c r="E76">
        <f t="shared" ref="E76:I76" si="42">E39/6</f>
        <v>1.89815</v>
      </c>
      <c r="F76">
        <f t="shared" si="42"/>
        <v>1.8603333333333325</v>
      </c>
      <c r="G76">
        <f t="shared" si="42"/>
        <v>1.8754999999999999</v>
      </c>
      <c r="H76">
        <f t="shared" si="42"/>
        <v>1.9519666666666666</v>
      </c>
      <c r="I76">
        <f t="shared" si="42"/>
        <v>2.0690666666666671</v>
      </c>
    </row>
    <row r="77" spans="1:11" x14ac:dyDescent="0.25">
      <c r="B77" s="15" t="s">
        <v>88</v>
      </c>
    </row>
    <row r="78" spans="1:11" x14ac:dyDescent="0.25">
      <c r="B78" t="s">
        <v>87</v>
      </c>
      <c r="D78">
        <f>-D41</f>
        <v>41.993725000000019</v>
      </c>
      <c r="E78">
        <f t="shared" ref="E78:K78" si="43">-E41</f>
        <v>37.050824999999975</v>
      </c>
      <c r="F78">
        <f t="shared" si="43"/>
        <v>31.151375000000009</v>
      </c>
      <c r="G78">
        <f t="shared" si="43"/>
        <v>25.563299999999991</v>
      </c>
      <c r="H78">
        <f t="shared" si="43"/>
        <v>19.852524999999972</v>
      </c>
      <c r="I78">
        <f t="shared" si="43"/>
        <v>15.174699999999994</v>
      </c>
      <c r="J78">
        <f t="shared" si="43"/>
        <v>11.253599999999993</v>
      </c>
      <c r="K78">
        <f t="shared" si="43"/>
        <v>7.8981000000000074</v>
      </c>
    </row>
    <row r="80" spans="1:11" x14ac:dyDescent="0.25">
      <c r="A80" s="12" t="s">
        <v>51</v>
      </c>
    </row>
    <row r="81" spans="1:11" x14ac:dyDescent="0.25">
      <c r="B81" s="15" t="s">
        <v>54</v>
      </c>
    </row>
    <row r="82" spans="1:11" x14ac:dyDescent="0.25">
      <c r="B82" t="s">
        <v>55</v>
      </c>
      <c r="D82">
        <v>32.9983</v>
      </c>
      <c r="E82">
        <v>29.793899999999997</v>
      </c>
      <c r="F82">
        <v>25.899199999999997</v>
      </c>
      <c r="G82">
        <v>22.152899999999999</v>
      </c>
      <c r="H82">
        <v>18.3001</v>
      </c>
      <c r="I82">
        <v>15.177700000000002</v>
      </c>
      <c r="J82">
        <v>12.5169</v>
      </c>
      <c r="K82">
        <v>10.172399999999998</v>
      </c>
    </row>
    <row r="91" spans="1:11" x14ac:dyDescent="0.25">
      <c r="A91" s="12" t="s">
        <v>93</v>
      </c>
    </row>
    <row r="92" spans="1:11" x14ac:dyDescent="0.25">
      <c r="B92" s="15" t="s">
        <v>94</v>
      </c>
    </row>
    <row r="93" spans="1:11" x14ac:dyDescent="0.25">
      <c r="B93" s="7" t="s">
        <v>95</v>
      </c>
      <c r="D93">
        <f>D60+D64+D70+D72</f>
        <v>36.092208333333332</v>
      </c>
      <c r="E93">
        <f t="shared" ref="E93:K93" si="44">E60+E64+E70+E72</f>
        <v>33.880574999999993</v>
      </c>
      <c r="F93">
        <f t="shared" si="44"/>
        <v>31.058491666666662</v>
      </c>
      <c r="G93">
        <f t="shared" si="44"/>
        <v>28.23129999999999</v>
      </c>
      <c r="H93">
        <f t="shared" si="44"/>
        <v>25.253008333333348</v>
      </c>
      <c r="I93">
        <f t="shared" si="44"/>
        <v>22.842433333333343</v>
      </c>
      <c r="J93">
        <f t="shared" si="44"/>
        <v>20.700999999999997</v>
      </c>
      <c r="K93">
        <f t="shared" si="44"/>
        <v>18.689900000000002</v>
      </c>
    </row>
    <row r="95" spans="1:11" x14ac:dyDescent="0.25">
      <c r="B95" t="s">
        <v>97</v>
      </c>
    </row>
    <row r="96" spans="1:11" x14ac:dyDescent="0.25">
      <c r="B96" t="s">
        <v>98</v>
      </c>
    </row>
    <row r="98" spans="1:11" x14ac:dyDescent="0.25">
      <c r="B98" s="15" t="s">
        <v>96</v>
      </c>
    </row>
    <row r="99" spans="1:11" x14ac:dyDescent="0.25">
      <c r="B99" t="s">
        <v>99</v>
      </c>
      <c r="D99">
        <f>D93+(5/6)*(D78+D82)</f>
        <v>98.585562500000009</v>
      </c>
      <c r="E99">
        <f t="shared" ref="E99:K99" si="45">E93+(5/6)*(E78+E82)</f>
        <v>89.58451249999996</v>
      </c>
      <c r="F99">
        <f t="shared" si="45"/>
        <v>78.600637500000005</v>
      </c>
      <c r="G99">
        <f t="shared" si="45"/>
        <v>67.994799999999984</v>
      </c>
      <c r="H99">
        <f t="shared" si="45"/>
        <v>57.046862499999989</v>
      </c>
      <c r="I99">
        <f t="shared" si="45"/>
        <v>48.136100000000006</v>
      </c>
      <c r="J99">
        <f t="shared" si="45"/>
        <v>40.50974999999999</v>
      </c>
      <c r="K99">
        <f t="shared" si="45"/>
        <v>33.748650000000005</v>
      </c>
    </row>
    <row r="101" spans="1:11" x14ac:dyDescent="0.25">
      <c r="B101" s="7" t="s">
        <v>36</v>
      </c>
    </row>
    <row r="103" spans="1:11" x14ac:dyDescent="0.25">
      <c r="B103" s="15" t="s">
        <v>101</v>
      </c>
    </row>
    <row r="104" spans="1:11" x14ac:dyDescent="0.25">
      <c r="B104" t="s">
        <v>102</v>
      </c>
      <c r="D104">
        <f>(D99+(15/2)*D21)/4</f>
        <v>19.024249999999999</v>
      </c>
      <c r="E104">
        <f>(E99+(15/2)*E21)/4</f>
        <v>17.860549999999996</v>
      </c>
      <c r="F104">
        <f t="shared" ref="E104:K104" si="46">(F99+(15/2)*F21)/4</f>
        <v>16.367549999999994</v>
      </c>
      <c r="G104">
        <f t="shared" si="46"/>
        <v>14.867199999999997</v>
      </c>
      <c r="H104">
        <f t="shared" si="46"/>
        <v>13.291450000000005</v>
      </c>
      <c r="I104">
        <f t="shared" si="46"/>
        <v>12.035900000000007</v>
      </c>
      <c r="J104">
        <f t="shared" si="46"/>
        <v>10.917</v>
      </c>
      <c r="K104">
        <f t="shared" si="46"/>
        <v>9.8586000000000062</v>
      </c>
    </row>
    <row r="108" spans="1:11" x14ac:dyDescent="0.25">
      <c r="A108" s="12" t="s">
        <v>100</v>
      </c>
    </row>
    <row r="109" spans="1:11" x14ac:dyDescent="0.25">
      <c r="B109" s="15" t="s">
        <v>104</v>
      </c>
    </row>
    <row r="110" spans="1:11" x14ac:dyDescent="0.25">
      <c r="B110" t="s">
        <v>103</v>
      </c>
      <c r="D110">
        <f>(D62+D66+D74+D76+5*D58)/4+(1/3)*D82-(1/4)*D104</f>
        <v>9.9668249999999929</v>
      </c>
      <c r="E110">
        <f>(E62+E66+E74+E76+5*E58)/4+(1/3)*E82-(1/4)*E104</f>
        <v>9.410475000000007</v>
      </c>
      <c r="F110">
        <f t="shared" ref="F110:K110" si="47">(F62+F66+F74+F76+5*F58)/4+(1/3)*F82-(1/4)*F104</f>
        <v>8.7426749999999931</v>
      </c>
      <c r="G110">
        <f t="shared" si="47"/>
        <v>8.1230000000000011</v>
      </c>
      <c r="H110">
        <f t="shared" si="47"/>
        <v>7.5345250000000039</v>
      </c>
      <c r="I110">
        <f t="shared" si="47"/>
        <v>7.1293000000000042</v>
      </c>
      <c r="J110">
        <f t="shared" si="47"/>
        <v>1.9694250000000015</v>
      </c>
      <c r="K110">
        <f t="shared" si="47"/>
        <v>1.8737750000000011</v>
      </c>
    </row>
    <row r="113" spans="2:11" x14ac:dyDescent="0.25">
      <c r="B113" s="9" t="s">
        <v>172</v>
      </c>
    </row>
    <row r="114" spans="2:11" x14ac:dyDescent="0.25">
      <c r="B114" t="s">
        <v>171</v>
      </c>
      <c r="D114">
        <f>D104-3*D58</f>
        <v>28.019675000000003</v>
      </c>
      <c r="E114">
        <f t="shared" ref="E114:K114" si="48">E104-3*E58</f>
        <v>25.117474999999985</v>
      </c>
      <c r="F114">
        <f t="shared" si="48"/>
        <v>21.619725000000006</v>
      </c>
      <c r="G114">
        <f t="shared" si="48"/>
        <v>18.277599999999993</v>
      </c>
      <c r="H114">
        <f t="shared" si="48"/>
        <v>14.843874999999992</v>
      </c>
      <c r="I114">
        <f t="shared" si="48"/>
        <v>12.032899999999998</v>
      </c>
      <c r="J114">
        <f t="shared" si="48"/>
        <v>9.6536999999999971</v>
      </c>
      <c r="K114">
        <f t="shared" si="48"/>
        <v>7.5842999999999989</v>
      </c>
    </row>
    <row r="115" spans="2:11" x14ac:dyDescent="0.25">
      <c r="B115" s="7" t="s">
        <v>86</v>
      </c>
      <c r="D115">
        <f>D72</f>
        <v>3.0223333333333335</v>
      </c>
      <c r="E115">
        <f t="shared" ref="E115:K115" si="49">E72</f>
        <v>2.8359000000000001</v>
      </c>
      <c r="F115">
        <f t="shared" si="49"/>
        <v>2.6028666666666651</v>
      </c>
      <c r="G115">
        <f t="shared" si="49"/>
        <v>2.3721999999999994</v>
      </c>
      <c r="H115">
        <f t="shared" si="49"/>
        <v>2.1263333333333336</v>
      </c>
      <c r="I115">
        <f t="shared" si="49"/>
        <v>1.9154333333333338</v>
      </c>
      <c r="J115">
        <f t="shared" si="49"/>
        <v>1.7302</v>
      </c>
      <c r="K115">
        <f t="shared" si="49"/>
        <v>1.5608000000000004</v>
      </c>
    </row>
    <row r="117" spans="2:11" x14ac:dyDescent="0.25">
      <c r="B117" t="s">
        <v>87</v>
      </c>
      <c r="D117">
        <v>41.993725000000019</v>
      </c>
      <c r="E117">
        <v>37.050824999999975</v>
      </c>
      <c r="F117">
        <v>31.151375000000009</v>
      </c>
      <c r="G117">
        <v>25.563299999999991</v>
      </c>
      <c r="H117">
        <v>19.852524999999972</v>
      </c>
      <c r="I117">
        <v>15.174699999999994</v>
      </c>
      <c r="J117">
        <v>11.253599999999993</v>
      </c>
      <c r="K117">
        <v>7.8981000000000074</v>
      </c>
    </row>
    <row r="118" spans="2:11" x14ac:dyDescent="0.25">
      <c r="B118" t="s">
        <v>55</v>
      </c>
      <c r="D118">
        <v>32.9983</v>
      </c>
      <c r="E118">
        <v>29.793899999999997</v>
      </c>
      <c r="F118">
        <v>25.899199999999997</v>
      </c>
      <c r="G118">
        <v>22.152899999999999</v>
      </c>
      <c r="H118">
        <v>18.3001</v>
      </c>
      <c r="I118">
        <v>15.177700000000002</v>
      </c>
      <c r="J118">
        <v>12.5169</v>
      </c>
      <c r="K118">
        <v>10.172399999999998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C3D0-ACF7-46F7-9E17-BD323062657D}">
  <dimension ref="A1:K22"/>
  <sheetViews>
    <sheetView zoomScale="60" workbookViewId="0">
      <selection activeCell="J22" sqref="J22"/>
    </sheetView>
  </sheetViews>
  <sheetFormatPr defaultRowHeight="15" x14ac:dyDescent="0.25"/>
  <cols>
    <col min="2" max="2" width="34.5703125" bestFit="1" customWidth="1"/>
    <col min="10" max="10" width="9.7109375" bestFit="1" customWidth="1"/>
  </cols>
  <sheetData>
    <row r="1" spans="1:11" ht="15.75" x14ac:dyDescent="0.25">
      <c r="A1" s="1" t="s">
        <v>30</v>
      </c>
      <c r="B1" s="2"/>
    </row>
    <row r="2" spans="1:11" ht="15.75" x14ac:dyDescent="0.25">
      <c r="A2" s="3"/>
      <c r="B2" s="8" t="s">
        <v>29</v>
      </c>
      <c r="C2" s="9"/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</row>
    <row r="3" spans="1:11" x14ac:dyDescent="0.25">
      <c r="A3" s="13" t="s">
        <v>0</v>
      </c>
      <c r="B3" s="4" t="s">
        <v>106</v>
      </c>
      <c r="D3">
        <f>-8.0781</f>
        <v>-8.0780999999999992</v>
      </c>
      <c r="E3">
        <v>-7.9759000000000002</v>
      </c>
      <c r="F3">
        <v>-7.9295</v>
      </c>
      <c r="G3">
        <v>-7.9572000000000003</v>
      </c>
      <c r="H3">
        <v>-8.0759000000000007</v>
      </c>
      <c r="I3">
        <v>-8.2750000000000004</v>
      </c>
      <c r="J3">
        <v>-8.5670999999999999</v>
      </c>
      <c r="K3">
        <v>-9.0074000000000005</v>
      </c>
    </row>
    <row r="4" spans="1:11" x14ac:dyDescent="0.25">
      <c r="A4" s="13" t="s">
        <v>2</v>
      </c>
      <c r="B4" s="7" t="s">
        <v>35</v>
      </c>
      <c r="D4">
        <f>-7.4159</f>
        <v>-7.4158999999999997</v>
      </c>
      <c r="E4">
        <v>-6.9877000000000002</v>
      </c>
      <c r="F4">
        <v>-6.6467000000000001</v>
      </c>
      <c r="G4">
        <v>-6.4827000000000004</v>
      </c>
      <c r="H4">
        <v>-6.4960000000000004</v>
      </c>
      <c r="I4">
        <v>-6.6830999999999996</v>
      </c>
      <c r="J4">
        <v>-7.0225</v>
      </c>
      <c r="K4">
        <v>-7.5536000000000003</v>
      </c>
    </row>
    <row r="5" spans="1:11" x14ac:dyDescent="0.25">
      <c r="A5" s="18"/>
    </row>
    <row r="6" spans="1:11" x14ac:dyDescent="0.25">
      <c r="A6" s="13" t="s">
        <v>4</v>
      </c>
      <c r="B6" t="s">
        <v>107</v>
      </c>
      <c r="D6">
        <f>D3-D4</f>
        <v>-0.66219999999999946</v>
      </c>
      <c r="E6">
        <f t="shared" ref="E6:K6" si="0">E3-E4</f>
        <v>-0.98819999999999997</v>
      </c>
      <c r="F6">
        <f t="shared" si="0"/>
        <v>-1.2827999999999999</v>
      </c>
      <c r="G6">
        <f t="shared" si="0"/>
        <v>-1.4744999999999999</v>
      </c>
      <c r="H6">
        <f t="shared" si="0"/>
        <v>-1.5799000000000003</v>
      </c>
      <c r="I6">
        <f t="shared" si="0"/>
        <v>-1.5919000000000008</v>
      </c>
      <c r="J6">
        <f t="shared" si="0"/>
        <v>-1.5446</v>
      </c>
      <c r="K6">
        <f t="shared" si="0"/>
        <v>-1.4538000000000002</v>
      </c>
    </row>
    <row r="8" spans="1:11" x14ac:dyDescent="0.25">
      <c r="D8">
        <f>10^D6</f>
        <v>0.2176707130825887</v>
      </c>
      <c r="E8">
        <f t="shared" ref="E8:K8" si="1">10^E6</f>
        <v>0.10275429881178112</v>
      </c>
      <c r="F8">
        <f t="shared" si="1"/>
        <v>5.2143478541445784E-2</v>
      </c>
      <c r="G8">
        <f t="shared" si="1"/>
        <v>3.3535130445056065E-2</v>
      </c>
      <c r="H8">
        <f t="shared" si="1"/>
        <v>2.630873703214668E-2</v>
      </c>
      <c r="I8">
        <f t="shared" si="1"/>
        <v>2.5591750909098883E-2</v>
      </c>
      <c r="J8">
        <f t="shared" si="1"/>
        <v>2.853645362004965E-2</v>
      </c>
      <c r="K8">
        <f t="shared" si="1"/>
        <v>3.5172237737870309E-2</v>
      </c>
    </row>
    <row r="11" spans="1:11" x14ac:dyDescent="0.25">
      <c r="D11">
        <v>0</v>
      </c>
      <c r="E11">
        <v>25</v>
      </c>
      <c r="F11">
        <v>60</v>
      </c>
      <c r="G11">
        <v>100</v>
      </c>
      <c r="H11">
        <v>150</v>
      </c>
      <c r="I11">
        <v>200</v>
      </c>
      <c r="J11">
        <v>250</v>
      </c>
      <c r="K11">
        <v>300</v>
      </c>
    </row>
    <row r="19" spans="10:10" x14ac:dyDescent="0.25">
      <c r="J19">
        <v>62.5</v>
      </c>
    </row>
    <row r="20" spans="10:10" x14ac:dyDescent="0.25">
      <c r="J20">
        <f>0.000000000262*(J19^4)-0.000000233*(J19^3)+0.0000868*(J19^2)-0.0147*(J19)-0.665</f>
        <v>-1.2975744628906249</v>
      </c>
    </row>
    <row r="22" spans="10:10" x14ac:dyDescent="0.25">
      <c r="J22">
        <f>10^J20</f>
        <v>5.0399419828935803E-2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0D1B-ABB5-42D2-AE9B-4F27F6525416}">
  <dimension ref="A1:S35"/>
  <sheetViews>
    <sheetView zoomScale="78" workbookViewId="0">
      <selection activeCell="D32" sqref="D32:I32"/>
    </sheetView>
  </sheetViews>
  <sheetFormatPr defaultRowHeight="15" x14ac:dyDescent="0.25"/>
  <cols>
    <col min="2" max="2" width="35.5703125" bestFit="1" customWidth="1"/>
    <col min="4" max="4" width="11.7109375" bestFit="1" customWidth="1"/>
    <col min="5" max="9" width="13.85546875" bestFit="1" customWidth="1"/>
    <col min="10" max="11" width="10" bestFit="1" customWidth="1"/>
  </cols>
  <sheetData>
    <row r="1" spans="1:19" ht="15.75" x14ac:dyDescent="0.25">
      <c r="A1" s="1" t="s">
        <v>30</v>
      </c>
      <c r="B1" s="2"/>
    </row>
    <row r="2" spans="1:19" ht="15.75" x14ac:dyDescent="0.25">
      <c r="A2" s="3"/>
      <c r="B2" s="8" t="s">
        <v>29</v>
      </c>
      <c r="C2" s="9"/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O2" s="10" t="s">
        <v>126</v>
      </c>
      <c r="P2" s="20" t="s">
        <v>130</v>
      </c>
      <c r="Q2" s="20" t="s">
        <v>131</v>
      </c>
    </row>
    <row r="3" spans="1:19" x14ac:dyDescent="0.25">
      <c r="A3" s="13" t="s">
        <v>12</v>
      </c>
      <c r="B3" s="7" t="s">
        <v>36</v>
      </c>
      <c r="D3">
        <v>-2.9984750000000018</v>
      </c>
      <c r="E3">
        <v>-2.4189749999999961</v>
      </c>
      <c r="F3">
        <v>-1.7507250000000036</v>
      </c>
      <c r="G3">
        <v>-1.1367999999999991</v>
      </c>
      <c r="H3">
        <v>-0.51747499999999569</v>
      </c>
      <c r="I3">
        <v>1.0000000000029985E-3</v>
      </c>
      <c r="J3">
        <v>0.42110000000000092</v>
      </c>
      <c r="K3">
        <v>0.75810000000000244</v>
      </c>
      <c r="N3" t="s">
        <v>127</v>
      </c>
      <c r="O3">
        <v>5388.8342992196131</v>
      </c>
      <c r="P3">
        <v>4756.4529482997132</v>
      </c>
      <c r="Q3">
        <v>4692.1548086217044</v>
      </c>
    </row>
    <row r="4" spans="1:19" x14ac:dyDescent="0.25">
      <c r="A4" s="13" t="s">
        <v>119</v>
      </c>
      <c r="B4" s="7" t="s">
        <v>41</v>
      </c>
      <c r="D4">
        <v>19.024249999999995</v>
      </c>
      <c r="E4">
        <v>17.860550000000003</v>
      </c>
      <c r="F4">
        <v>16.367549999999994</v>
      </c>
      <c r="G4">
        <v>14.867199999999997</v>
      </c>
      <c r="H4">
        <v>13.291450000000012</v>
      </c>
      <c r="I4">
        <v>12.035900000000012</v>
      </c>
      <c r="J4">
        <v>10.916999999999994</v>
      </c>
      <c r="K4">
        <v>9.8586000000000027</v>
      </c>
      <c r="N4" t="s">
        <v>128</v>
      </c>
      <c r="O4">
        <v>0</v>
      </c>
      <c r="P4">
        <v>475.64498525681984</v>
      </c>
      <c r="Q4">
        <v>0</v>
      </c>
    </row>
    <row r="5" spans="1:19" x14ac:dyDescent="0.25">
      <c r="A5" s="13" t="s">
        <v>120</v>
      </c>
      <c r="B5" s="7" t="s">
        <v>58</v>
      </c>
      <c r="D5">
        <v>19.933649999999986</v>
      </c>
      <c r="E5">
        <v>18.820950000000011</v>
      </c>
      <c r="F5">
        <v>17.485349999999997</v>
      </c>
      <c r="G5">
        <v>16.245999999999995</v>
      </c>
      <c r="H5">
        <v>15.069050000000004</v>
      </c>
      <c r="I5">
        <v>14.258600000000008</v>
      </c>
      <c r="N5" t="s">
        <v>129</v>
      </c>
      <c r="O5">
        <v>0</v>
      </c>
      <c r="P5">
        <v>0</v>
      </c>
      <c r="Q5">
        <v>938.43053056500139</v>
      </c>
    </row>
    <row r="6" spans="1:19" x14ac:dyDescent="0.25">
      <c r="A6" s="13" t="s">
        <v>74</v>
      </c>
      <c r="B6" t="s">
        <v>76</v>
      </c>
      <c r="D6">
        <v>3.0090000000000003</v>
      </c>
      <c r="E6">
        <v>3.1049999999999969</v>
      </c>
      <c r="F6">
        <v>3.1393999999999949</v>
      </c>
      <c r="G6">
        <v>3.0972000000000008</v>
      </c>
      <c r="H6">
        <v>2.9766000000000012</v>
      </c>
      <c r="I6">
        <v>2.8102000000000018</v>
      </c>
      <c r="J6">
        <v>2.6133000000000024</v>
      </c>
      <c r="K6">
        <v>2.3841000000000001</v>
      </c>
    </row>
    <row r="7" spans="1:19" x14ac:dyDescent="0.25">
      <c r="A7" s="13" t="s">
        <v>125</v>
      </c>
      <c r="B7" t="s">
        <v>107</v>
      </c>
      <c r="D7">
        <v>-0.66219999999999946</v>
      </c>
      <c r="E7">
        <v>-0.98819999999999997</v>
      </c>
      <c r="F7">
        <v>-1.2827999999999999</v>
      </c>
      <c r="G7">
        <v>-1.4744999999999999</v>
      </c>
      <c r="H7">
        <v>-1.5799000000000003</v>
      </c>
      <c r="I7">
        <v>-1.5919000000000008</v>
      </c>
      <c r="J7">
        <v>-1.5446</v>
      </c>
      <c r="K7">
        <v>-1.4538000000000002</v>
      </c>
    </row>
    <row r="9" spans="1:19" x14ac:dyDescent="0.25">
      <c r="A9" s="12" t="s">
        <v>121</v>
      </c>
      <c r="N9" s="22" t="s">
        <v>135</v>
      </c>
      <c r="O9">
        <v>50</v>
      </c>
      <c r="R9" t="s">
        <v>139</v>
      </c>
      <c r="S9">
        <v>600</v>
      </c>
    </row>
    <row r="10" spans="1:19" x14ac:dyDescent="0.25">
      <c r="A10" t="s">
        <v>122</v>
      </c>
      <c r="C10" t="s">
        <v>124</v>
      </c>
      <c r="D10">
        <f>10.648*1.4*1000/2.016</f>
        <v>7394.4444444444425</v>
      </c>
      <c r="E10">
        <f>9.7999*1.4*1000/2.016</f>
        <v>6805.4861111111104</v>
      </c>
      <c r="F10">
        <f>8.821*1.4*1000/2.016</f>
        <v>6125.6944444444443</v>
      </c>
      <c r="G10">
        <f>7.9229*1.4*1000/2.016</f>
        <v>5502.0138888888887</v>
      </c>
      <c r="H10">
        <f>7.031*1.4*1000/2.016</f>
        <v>4882.6388888888887</v>
      </c>
      <c r="I10">
        <f>6.3217*1.4*1000/2.016</f>
        <v>4390.0694444444443</v>
      </c>
      <c r="N10" s="22" t="s">
        <v>134</v>
      </c>
      <c r="O10">
        <v>3</v>
      </c>
    </row>
    <row r="11" spans="1:19" x14ac:dyDescent="0.25">
      <c r="N11" s="22" t="s">
        <v>136</v>
      </c>
      <c r="O11">
        <v>0.3</v>
      </c>
      <c r="R11" t="s">
        <v>141</v>
      </c>
      <c r="S11">
        <v>128.30000000000001</v>
      </c>
    </row>
    <row r="12" spans="1:19" x14ac:dyDescent="0.25">
      <c r="A12" s="13" t="s">
        <v>12</v>
      </c>
      <c r="D12">
        <f>(10^D3)</f>
        <v>1.0035176146026938E-3</v>
      </c>
      <c r="E12">
        <f>(10^E3)</f>
        <v>3.8108775993726447E-3</v>
      </c>
      <c r="F12">
        <f t="shared" ref="F12:K12" si="0">(10^F3)</f>
        <v>1.7753132727702167E-2</v>
      </c>
      <c r="G12">
        <f t="shared" si="0"/>
        <v>7.2979351521444982E-2</v>
      </c>
      <c r="H12">
        <f t="shared" si="0"/>
        <v>0.30375609429771283</v>
      </c>
      <c r="I12">
        <f>(10^I3)</f>
        <v>1.0023052380779065</v>
      </c>
      <c r="J12">
        <f t="shared" si="0"/>
        <v>2.6369384934534712</v>
      </c>
      <c r="K12">
        <f t="shared" si="0"/>
        <v>5.7292793733175644</v>
      </c>
      <c r="L12" t="s">
        <v>137</v>
      </c>
    </row>
    <row r="13" spans="1:19" x14ac:dyDescent="0.25">
      <c r="A13" s="13" t="s">
        <v>119</v>
      </c>
      <c r="D13" s="25">
        <f>(1/(10^D4))^(1/3)</f>
        <v>4.5559959918276404E-7</v>
      </c>
      <c r="E13" s="25">
        <f t="shared" ref="E13:K13" si="1">(1/(10^E4))^(1/3)</f>
        <v>1.1129696801923031E-6</v>
      </c>
      <c r="F13" s="25">
        <f t="shared" si="1"/>
        <v>3.5006605468246006E-6</v>
      </c>
      <c r="G13" s="25">
        <f t="shared" si="1"/>
        <v>1.1073034847464367E-5</v>
      </c>
      <c r="H13" s="25">
        <f t="shared" si="1"/>
        <v>3.7112197155163092E-5</v>
      </c>
      <c r="I13" s="25">
        <f t="shared" si="1"/>
        <v>9.7282188775081268E-5</v>
      </c>
      <c r="J13" s="25">
        <f t="shared" si="1"/>
        <v>2.29614864811237E-4</v>
      </c>
      <c r="K13" s="25">
        <f t="shared" si="1"/>
        <v>5.1736852007305953E-4</v>
      </c>
    </row>
    <row r="14" spans="1:19" x14ac:dyDescent="0.25">
      <c r="A14" s="13" t="s">
        <v>120</v>
      </c>
      <c r="D14" s="25">
        <f>(1/(10^D5))^(1/3)</f>
        <v>2.2669920650136763E-7</v>
      </c>
      <c r="E14" s="25">
        <f t="shared" ref="E14:I14" si="2">(1/(10^E5))^(1/3)</f>
        <v>5.3253726070170066E-7</v>
      </c>
      <c r="F14" s="25">
        <f t="shared" si="2"/>
        <v>1.4843967677207759E-6</v>
      </c>
      <c r="G14" s="25">
        <f t="shared" si="2"/>
        <v>3.8429671019643871E-6</v>
      </c>
      <c r="H14" s="25">
        <f t="shared" si="2"/>
        <v>9.4838206709568478E-6</v>
      </c>
      <c r="I14" s="25">
        <f t="shared" si="2"/>
        <v>1.7665800975724153E-5</v>
      </c>
      <c r="J14" s="25"/>
      <c r="K14" s="25"/>
    </row>
    <row r="15" spans="1:19" x14ac:dyDescent="0.25">
      <c r="A15" s="13" t="s">
        <v>123</v>
      </c>
      <c r="D15" s="25">
        <v>0.12566856512793589</v>
      </c>
      <c r="E15" s="25">
        <v>0.10074573192047288</v>
      </c>
      <c r="F15" s="25">
        <v>9.3073630867461468E-2</v>
      </c>
      <c r="G15" s="25">
        <v>0.10257148812335634</v>
      </c>
      <c r="H15" s="25">
        <v>0.1354024916969831</v>
      </c>
      <c r="I15" s="25">
        <v>0.19862168247675535</v>
      </c>
      <c r="J15" s="25"/>
      <c r="K15" s="25"/>
    </row>
    <row r="16" spans="1:19" x14ac:dyDescent="0.25">
      <c r="A16" s="13" t="s">
        <v>140</v>
      </c>
      <c r="D16" s="24">
        <v>1.3239999999999999E-4</v>
      </c>
      <c r="E16" s="24">
        <v>3.836E-4</v>
      </c>
      <c r="F16" s="24">
        <v>1.622E-3</v>
      </c>
      <c r="G16" s="24">
        <v>7.3959999999999998E-3</v>
      </c>
      <c r="H16" s="24">
        <v>4.1709999999999997E-2</v>
      </c>
      <c r="I16" s="24">
        <v>0.19969999999999999</v>
      </c>
    </row>
    <row r="18" spans="1:11" x14ac:dyDescent="0.25">
      <c r="D18" t="s">
        <v>132</v>
      </c>
    </row>
    <row r="19" spans="1:11" x14ac:dyDescent="0.25">
      <c r="D19" t="s">
        <v>143</v>
      </c>
    </row>
    <row r="20" spans="1:11" x14ac:dyDescent="0.25">
      <c r="C20" s="21" t="s">
        <v>133</v>
      </c>
    </row>
    <row r="21" spans="1:11" x14ac:dyDescent="0.25">
      <c r="C21">
        <v>1</v>
      </c>
      <c r="D21" t="s">
        <v>142</v>
      </c>
    </row>
    <row r="22" spans="1:11" x14ac:dyDescent="0.25">
      <c r="C22">
        <v>2</v>
      </c>
      <c r="D22" t="s">
        <v>144</v>
      </c>
    </row>
    <row r="25" spans="1:11" x14ac:dyDescent="0.25">
      <c r="A25" s="23" t="s">
        <v>138</v>
      </c>
    </row>
    <row r="26" spans="1:11" x14ac:dyDescent="0.25">
      <c r="A26" t="s">
        <v>12</v>
      </c>
      <c r="D26" s="26">
        <f>D15-D15/(1+1/D12)</f>
        <v>0.12554258093658335</v>
      </c>
      <c r="E26" s="26">
        <f t="shared" ref="E26:H26" si="3">E15-E15/(1+1/E12)</f>
        <v>0.1003632598218179</v>
      </c>
      <c r="F26" s="26">
        <f t="shared" si="3"/>
        <v>9.1450105015164943E-2</v>
      </c>
      <c r="G26" s="26">
        <f t="shared" si="3"/>
        <v>9.5595025177244802E-2</v>
      </c>
      <c r="H26" s="26">
        <f t="shared" si="3"/>
        <v>0.1038556922488785</v>
      </c>
      <c r="I26" s="26">
        <f>I15-I15/(1+1/I12)</f>
        <v>9.9196505457589623E-2</v>
      </c>
      <c r="J26" s="24"/>
      <c r="K26" s="24"/>
    </row>
    <row r="27" spans="1:11" x14ac:dyDescent="0.25">
      <c r="A27" t="s">
        <v>119</v>
      </c>
      <c r="D27" s="26">
        <v>4.5559959918276404E-7</v>
      </c>
      <c r="E27" s="26">
        <v>1.1129696801923031E-6</v>
      </c>
      <c r="F27" s="26">
        <v>3.5006605468246006E-6</v>
      </c>
      <c r="G27" s="26">
        <v>1.1073034847464367E-5</v>
      </c>
      <c r="H27" s="26">
        <v>3.7112197155163092E-5</v>
      </c>
      <c r="I27" s="26">
        <v>9.7282188775081268E-5</v>
      </c>
    </row>
    <row r="28" spans="1:11" x14ac:dyDescent="0.25">
      <c r="A28" t="s">
        <v>120</v>
      </c>
      <c r="D28" s="26">
        <v>2.2669920650136763E-7</v>
      </c>
      <c r="E28" s="26">
        <v>5.3253726070170066E-7</v>
      </c>
      <c r="F28" s="26">
        <v>1.4843967677207759E-6</v>
      </c>
      <c r="G28" s="26">
        <v>3.8429671019643871E-6</v>
      </c>
      <c r="H28" s="26">
        <v>9.4838206709568478E-6</v>
      </c>
      <c r="I28" s="26">
        <v>1.7665800975724153E-5</v>
      </c>
    </row>
    <row r="29" spans="1:11" x14ac:dyDescent="0.25">
      <c r="A29" t="s">
        <v>123</v>
      </c>
      <c r="D29" s="26">
        <f>$S$11*10^-D6</f>
        <v>0.12566856512793589</v>
      </c>
      <c r="E29" s="26">
        <f>$S$11*10^-E6</f>
        <v>0.10074573192047288</v>
      </c>
      <c r="F29" s="26">
        <f>$S$11*10^-F6</f>
        <v>9.3073630867461468E-2</v>
      </c>
      <c r="G29" s="26">
        <f>$S$11*10^-G6</f>
        <v>0.10257148812335634</v>
      </c>
      <c r="H29" s="26">
        <f t="shared" ref="H29:I29" si="4">$S$11*10^-H6</f>
        <v>0.1354024916969831</v>
      </c>
      <c r="I29" s="26">
        <f t="shared" si="4"/>
        <v>0.19862168247675535</v>
      </c>
    </row>
    <row r="31" spans="1:11" x14ac:dyDescent="0.25">
      <c r="D31">
        <v>0</v>
      </c>
      <c r="E31">
        <v>25</v>
      </c>
      <c r="F31">
        <v>60</v>
      </c>
      <c r="G31">
        <v>100</v>
      </c>
      <c r="H31">
        <v>150</v>
      </c>
      <c r="I31">
        <v>200</v>
      </c>
    </row>
    <row r="32" spans="1:11" x14ac:dyDescent="0.25">
      <c r="D32">
        <f>LOG10(D26)</f>
        <v>-0.90120894725616618</v>
      </c>
      <c r="E32">
        <f t="shared" ref="E32:H32" si="5">LOG10(E26)</f>
        <v>-0.99842524114343989</v>
      </c>
      <c r="F32">
        <f t="shared" si="5"/>
        <v>-1.038815791472633</v>
      </c>
      <c r="G32">
        <f t="shared" si="5"/>
        <v>-1.0195647080825601</v>
      </c>
      <c r="H32">
        <f t="shared" si="5"/>
        <v>-0.98356969513726866</v>
      </c>
      <c r="I32">
        <f>LOG10(I26)</f>
        <v>-1.0035036271121291</v>
      </c>
    </row>
    <row r="33" spans="4:9" x14ac:dyDescent="0.25">
      <c r="D33">
        <f>LOG10(D29)</f>
        <v>-0.90077334362507211</v>
      </c>
      <c r="E33">
        <f>LOG10(E29)</f>
        <v>-0.99677334362506864</v>
      </c>
      <c r="F33">
        <f t="shared" ref="F33:H33" si="6">LOG10(F29)</f>
        <v>-1.0311733436250667</v>
      </c>
      <c r="G33">
        <f t="shared" si="6"/>
        <v>-0.98897334362507239</v>
      </c>
      <c r="H33">
        <f t="shared" si="6"/>
        <v>-0.86837334362507312</v>
      </c>
      <c r="I33">
        <f>LOG10(I29)</f>
        <v>-0.70197334362507335</v>
      </c>
    </row>
    <row r="34" spans="4:9" x14ac:dyDescent="0.25">
      <c r="D34">
        <f>LOG10(D27)</f>
        <v>-6.3414166666666647</v>
      </c>
      <c r="E34">
        <f t="shared" ref="E34:I34" si="7">LOG10(E27)</f>
        <v>-5.953516666666669</v>
      </c>
      <c r="F34">
        <f t="shared" si="7"/>
        <v>-5.4558499999999981</v>
      </c>
      <c r="G34">
        <f t="shared" si="7"/>
        <v>-4.9557333333333329</v>
      </c>
      <c r="H34">
        <f t="shared" si="7"/>
        <v>-4.4304833333333375</v>
      </c>
      <c r="I34">
        <f t="shared" si="7"/>
        <v>-4.0119666666666705</v>
      </c>
    </row>
    <row r="35" spans="4:9" x14ac:dyDescent="0.25">
      <c r="D35">
        <f>LOG10(D28)</f>
        <v>-6.6445499999999962</v>
      </c>
      <c r="E35">
        <f t="shared" ref="E35:I35" si="8">LOG10(E28)</f>
        <v>-6.2736500000000044</v>
      </c>
      <c r="F35">
        <f t="shared" si="8"/>
        <v>-5.8284499999999992</v>
      </c>
      <c r="G35">
        <f t="shared" si="8"/>
        <v>-5.415333333333332</v>
      </c>
      <c r="H35">
        <f t="shared" si="8"/>
        <v>-5.0230166666666678</v>
      </c>
      <c r="I35">
        <f t="shared" si="8"/>
        <v>-4.7528666666666695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A537-A29C-43DA-A9C1-8835FF601F79}">
  <dimension ref="A1:K43"/>
  <sheetViews>
    <sheetView topLeftCell="A25" zoomScale="70" workbookViewId="0">
      <selection activeCell="D46" sqref="D46"/>
    </sheetView>
  </sheetViews>
  <sheetFormatPr defaultRowHeight="15" x14ac:dyDescent="0.25"/>
  <cols>
    <col min="2" max="2" width="45.28515625" bestFit="1" customWidth="1"/>
  </cols>
  <sheetData>
    <row r="1" spans="1:11" ht="15.75" x14ac:dyDescent="0.25">
      <c r="A1" s="3"/>
      <c r="B1" s="8" t="s">
        <v>29</v>
      </c>
      <c r="C1" s="9"/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</row>
    <row r="2" spans="1:11" x14ac:dyDescent="0.25">
      <c r="A2" s="13" t="s">
        <v>0</v>
      </c>
      <c r="B2" s="4" t="s">
        <v>64</v>
      </c>
      <c r="D2">
        <v>2.2256999999999998</v>
      </c>
      <c r="E2">
        <v>1.8487</v>
      </c>
      <c r="F2">
        <v>1.333</v>
      </c>
      <c r="G2">
        <v>0.77429999999999999</v>
      </c>
      <c r="H2">
        <v>9.9900000000000003E-2</v>
      </c>
      <c r="I2">
        <v>-0.58379999999999999</v>
      </c>
      <c r="J2">
        <v>-1.3262</v>
      </c>
      <c r="K2">
        <v>-2.2153999999999998</v>
      </c>
    </row>
    <row r="3" spans="1:11" x14ac:dyDescent="0.25">
      <c r="A3" s="13" t="s">
        <v>2</v>
      </c>
      <c r="B3" s="4" t="s">
        <v>62</v>
      </c>
      <c r="D3">
        <v>-6.5804</v>
      </c>
      <c r="E3">
        <v>-6.3446999999999996</v>
      </c>
      <c r="F3">
        <v>-6.2683999999999997</v>
      </c>
      <c r="G3">
        <v>-6.3882000000000003</v>
      </c>
      <c r="H3">
        <v>-6.7234999999999996</v>
      </c>
      <c r="I3">
        <v>-7.1969000000000003</v>
      </c>
      <c r="J3">
        <v>-7.7868000000000004</v>
      </c>
      <c r="K3">
        <v>-8.5280000000000005</v>
      </c>
    </row>
    <row r="4" spans="1:11" x14ac:dyDescent="0.25">
      <c r="A4" s="13" t="s">
        <v>4</v>
      </c>
      <c r="B4" s="4" t="s">
        <v>63</v>
      </c>
      <c r="D4">
        <v>-1.0951</v>
      </c>
      <c r="E4">
        <v>-1.0467</v>
      </c>
      <c r="F4">
        <v>-1.1592</v>
      </c>
      <c r="G4">
        <v>-1.4180999999999999</v>
      </c>
      <c r="H4">
        <v>-1.8587</v>
      </c>
      <c r="I4">
        <v>-2.4</v>
      </c>
      <c r="J4">
        <v>-3.0514000000000001</v>
      </c>
      <c r="K4">
        <v>-3.8725000000000001</v>
      </c>
    </row>
    <row r="5" spans="1:11" x14ac:dyDescent="0.25">
      <c r="A5" s="13" t="s">
        <v>6</v>
      </c>
      <c r="B5" s="4" t="s">
        <v>65</v>
      </c>
      <c r="D5">
        <v>7.5021000000000004</v>
      </c>
      <c r="E5">
        <v>7.0016999999999996</v>
      </c>
      <c r="F5">
        <v>6.4516</v>
      </c>
      <c r="G5">
        <v>5.9635999999999996</v>
      </c>
      <c r="H5">
        <v>5.4683000000000002</v>
      </c>
      <c r="I5">
        <v>5.0185000000000004</v>
      </c>
      <c r="J5">
        <v>4.5354999999999999</v>
      </c>
      <c r="K5">
        <v>3.9117999999999999</v>
      </c>
    </row>
    <row r="6" spans="1:11" x14ac:dyDescent="0.25">
      <c r="A6" s="14" t="s">
        <v>10</v>
      </c>
      <c r="B6" s="7" t="s">
        <v>66</v>
      </c>
      <c r="D6">
        <v>10.6241</v>
      </c>
      <c r="E6">
        <v>10.328799999999999</v>
      </c>
      <c r="F6">
        <v>10.1304</v>
      </c>
      <c r="G6">
        <v>10.083600000000001</v>
      </c>
      <c r="H6">
        <v>10.2003</v>
      </c>
      <c r="I6">
        <v>10.4648</v>
      </c>
      <c r="J6">
        <v>10.870699999999999</v>
      </c>
      <c r="K6">
        <v>11.463800000000001</v>
      </c>
    </row>
    <row r="7" spans="1:11" x14ac:dyDescent="0.25">
      <c r="A7" s="14" t="s">
        <v>21</v>
      </c>
      <c r="B7" s="7" t="s">
        <v>70</v>
      </c>
      <c r="D7">
        <v>9.0182000000000002</v>
      </c>
      <c r="E7">
        <v>6.8101000000000003</v>
      </c>
      <c r="F7">
        <v>3.8468</v>
      </c>
      <c r="G7">
        <v>0.95409999999999995</v>
      </c>
      <c r="H7">
        <v>-2.0186999999999999</v>
      </c>
      <c r="I7">
        <v>-4.5022000000000002</v>
      </c>
      <c r="J7">
        <v>-6.7083000000000004</v>
      </c>
      <c r="K7">
        <v>-8.8021999999999991</v>
      </c>
    </row>
    <row r="8" spans="1:11" x14ac:dyDescent="0.25">
      <c r="A8" s="14" t="s">
        <v>22</v>
      </c>
      <c r="B8" s="4" t="s">
        <v>72</v>
      </c>
      <c r="D8">
        <v>25.794799999999999</v>
      </c>
      <c r="E8">
        <v>22.883299999999998</v>
      </c>
      <c r="F8">
        <v>19.570699999999999</v>
      </c>
      <c r="G8">
        <v>16.581900000000001</v>
      </c>
      <c r="H8">
        <v>13.6762</v>
      </c>
      <c r="I8">
        <v>11.409000000000001</v>
      </c>
      <c r="J8">
        <v>9.5976999999999997</v>
      </c>
      <c r="K8">
        <v>8.1670999999999996</v>
      </c>
    </row>
    <row r="9" spans="1:11" x14ac:dyDescent="0.25">
      <c r="A9" s="14" t="s">
        <v>23</v>
      </c>
      <c r="B9" t="s">
        <v>28</v>
      </c>
      <c r="D9">
        <v>46.140999999999998</v>
      </c>
      <c r="E9">
        <v>41.552500000000002</v>
      </c>
      <c r="F9">
        <v>36.300600000000003</v>
      </c>
      <c r="G9">
        <v>31.524799999999999</v>
      </c>
      <c r="H9">
        <v>26.8476</v>
      </c>
      <c r="I9">
        <v>23.178999999999998</v>
      </c>
      <c r="J9">
        <v>20.227599999999999</v>
      </c>
      <c r="K9">
        <v>17.803999999999998</v>
      </c>
    </row>
    <row r="10" spans="1:11" x14ac:dyDescent="0.25">
      <c r="A10" s="14" t="s">
        <v>24</v>
      </c>
      <c r="B10" t="s">
        <v>73</v>
      </c>
      <c r="D10">
        <v>-4.6318999999999999</v>
      </c>
      <c r="E10">
        <v>-3.9992999999999999</v>
      </c>
      <c r="F10">
        <v>-3.4733999999999998</v>
      </c>
      <c r="G10">
        <v>-3.0781999999999998</v>
      </c>
      <c r="H10">
        <v>-2.7191000000000001</v>
      </c>
      <c r="I10">
        <v>-2.4378000000000002</v>
      </c>
      <c r="J10">
        <v>-2.2057000000000002</v>
      </c>
      <c r="K10">
        <v>-2.0167999999999999</v>
      </c>
    </row>
    <row r="11" spans="1:11" x14ac:dyDescent="0.25">
      <c r="A11" s="14" t="s">
        <v>34</v>
      </c>
      <c r="B11" t="s">
        <v>108</v>
      </c>
      <c r="D11">
        <v>-7.6764999999999999</v>
      </c>
      <c r="E11">
        <v>-7.8136000000000001</v>
      </c>
      <c r="F11">
        <v>-8.0526999999999997</v>
      </c>
      <c r="G11">
        <v>-8.3574000000000002</v>
      </c>
      <c r="H11">
        <v>-8.7691999999999997</v>
      </c>
      <c r="I11">
        <v>-9.2164999999999999</v>
      </c>
      <c r="J11">
        <v>-9.7202000000000002</v>
      </c>
      <c r="K11">
        <v>-10.3393</v>
      </c>
    </row>
    <row r="12" spans="1:11" x14ac:dyDescent="0.25">
      <c r="A12" s="14" t="s">
        <v>89</v>
      </c>
      <c r="B12" t="s">
        <v>112</v>
      </c>
      <c r="D12">
        <v>10.3231</v>
      </c>
      <c r="E12">
        <v>9.9525000000000006</v>
      </c>
      <c r="F12">
        <v>9.4684000000000008</v>
      </c>
      <c r="G12">
        <v>9.0844000000000005</v>
      </c>
      <c r="H12">
        <v>8.8497000000000003</v>
      </c>
      <c r="I12">
        <v>8.8393999999999995</v>
      </c>
      <c r="J12">
        <v>9.0223999999999993</v>
      </c>
      <c r="K12">
        <v>9.4140999999999995</v>
      </c>
    </row>
    <row r="13" spans="1:11" x14ac:dyDescent="0.25">
      <c r="A13" s="14" t="s">
        <v>90</v>
      </c>
      <c r="B13" t="s">
        <v>109</v>
      </c>
      <c r="D13">
        <v>-6.5804</v>
      </c>
      <c r="E13">
        <v>-6.3446999999999996</v>
      </c>
      <c r="F13">
        <v>-6.2683999999999997</v>
      </c>
      <c r="G13">
        <v>-6.3882000000000003</v>
      </c>
      <c r="H13">
        <v>-6.7234999999999996</v>
      </c>
      <c r="I13">
        <v>-7.1969000000000003</v>
      </c>
      <c r="J13">
        <v>-7.7868000000000004</v>
      </c>
      <c r="K13">
        <v>-8.5280000000000005</v>
      </c>
    </row>
    <row r="14" spans="1:11" x14ac:dyDescent="0.25">
      <c r="A14" s="19" t="s">
        <v>113</v>
      </c>
      <c r="B14" t="s">
        <v>110</v>
      </c>
      <c r="D14">
        <f>D11-D13</f>
        <v>-1.0960999999999999</v>
      </c>
      <c r="E14">
        <f t="shared" ref="E14:K14" si="0">E11-E13</f>
        <v>-1.4689000000000005</v>
      </c>
      <c r="F14">
        <f t="shared" si="0"/>
        <v>-1.7843</v>
      </c>
      <c r="G14">
        <f t="shared" si="0"/>
        <v>-1.9691999999999998</v>
      </c>
      <c r="H14">
        <f t="shared" si="0"/>
        <v>-2.0457000000000001</v>
      </c>
      <c r="I14">
        <f t="shared" si="0"/>
        <v>-2.0195999999999996</v>
      </c>
      <c r="J14">
        <f t="shared" si="0"/>
        <v>-1.9333999999999998</v>
      </c>
      <c r="K14">
        <f t="shared" si="0"/>
        <v>-1.8112999999999992</v>
      </c>
    </row>
    <row r="17" spans="1:11" x14ac:dyDescent="0.25">
      <c r="A17" s="11" t="s">
        <v>67</v>
      </c>
      <c r="B17" s="15" t="s">
        <v>114</v>
      </c>
    </row>
    <row r="18" spans="1:11" x14ac:dyDescent="0.25">
      <c r="A18" s="5"/>
      <c r="B18" s="7" t="s">
        <v>68</v>
      </c>
      <c r="D18">
        <f t="shared" ref="D18:K18" si="1">D2-D6</f>
        <v>-8.3984000000000005</v>
      </c>
      <c r="E18">
        <f t="shared" si="1"/>
        <v>-8.4801000000000002</v>
      </c>
      <c r="F18">
        <f t="shared" si="1"/>
        <v>-8.7973999999999997</v>
      </c>
      <c r="G18">
        <f t="shared" si="1"/>
        <v>-9.3093000000000004</v>
      </c>
      <c r="H18">
        <f t="shared" si="1"/>
        <v>-10.1004</v>
      </c>
      <c r="I18">
        <f t="shared" si="1"/>
        <v>-11.0486</v>
      </c>
      <c r="J18">
        <f t="shared" si="1"/>
        <v>-12.196899999999999</v>
      </c>
      <c r="K18">
        <f t="shared" si="1"/>
        <v>-13.679200000000002</v>
      </c>
    </row>
    <row r="20" spans="1:11" x14ac:dyDescent="0.25">
      <c r="B20" s="15" t="s">
        <v>115</v>
      </c>
    </row>
    <row r="21" spans="1:11" x14ac:dyDescent="0.25">
      <c r="B21" s="4" t="s">
        <v>111</v>
      </c>
      <c r="D21">
        <f>D2-D13</f>
        <v>8.8061000000000007</v>
      </c>
      <c r="E21">
        <f t="shared" ref="E21:K21" si="2">E2-E13</f>
        <v>8.1934000000000005</v>
      </c>
      <c r="F21">
        <f t="shared" si="2"/>
        <v>7.6013999999999999</v>
      </c>
      <c r="G21">
        <f t="shared" si="2"/>
        <v>7.1625000000000005</v>
      </c>
      <c r="H21">
        <f t="shared" si="2"/>
        <v>6.8233999999999995</v>
      </c>
      <c r="I21">
        <f t="shared" si="2"/>
        <v>6.6131000000000002</v>
      </c>
      <c r="J21">
        <f t="shared" si="2"/>
        <v>6.4606000000000003</v>
      </c>
      <c r="K21">
        <f t="shared" si="2"/>
        <v>6.3126000000000007</v>
      </c>
    </row>
    <row r="23" spans="1:11" x14ac:dyDescent="0.25">
      <c r="A23" s="12" t="s">
        <v>69</v>
      </c>
      <c r="B23" s="15" t="s">
        <v>116</v>
      </c>
    </row>
    <row r="24" spans="1:11" x14ac:dyDescent="0.25">
      <c r="B24" s="7" t="s">
        <v>70</v>
      </c>
      <c r="D24">
        <v>9.0182000000000002</v>
      </c>
      <c r="E24">
        <v>6.8101000000000003</v>
      </c>
      <c r="F24">
        <v>3.8468</v>
      </c>
      <c r="G24">
        <v>0.95409999999999995</v>
      </c>
      <c r="H24">
        <v>-2.0186999999999999</v>
      </c>
      <c r="I24">
        <v>-4.5022000000000002</v>
      </c>
      <c r="J24">
        <v>-6.7083000000000004</v>
      </c>
      <c r="K24">
        <v>-8.8021999999999991</v>
      </c>
    </row>
    <row r="26" spans="1:11" x14ac:dyDescent="0.25">
      <c r="A26" s="12" t="s">
        <v>71</v>
      </c>
      <c r="B26" s="15" t="s">
        <v>117</v>
      </c>
    </row>
    <row r="27" spans="1:11" x14ac:dyDescent="0.25">
      <c r="B27" t="s">
        <v>118</v>
      </c>
      <c r="D27">
        <f>D10-D12</f>
        <v>-14.955</v>
      </c>
      <c r="E27">
        <f t="shared" ref="E27:K27" si="3">E10-E12</f>
        <v>-13.9518</v>
      </c>
      <c r="F27">
        <f t="shared" si="3"/>
        <v>-12.941800000000001</v>
      </c>
      <c r="G27">
        <f t="shared" si="3"/>
        <v>-12.162600000000001</v>
      </c>
      <c r="H27">
        <f t="shared" si="3"/>
        <v>-11.5688</v>
      </c>
      <c r="I27">
        <f t="shared" si="3"/>
        <v>-11.277200000000001</v>
      </c>
      <c r="J27">
        <f t="shared" si="3"/>
        <v>-11.2281</v>
      </c>
      <c r="K27">
        <f t="shared" si="3"/>
        <v>-11.430899999999999</v>
      </c>
    </row>
    <row r="29" spans="1:11" x14ac:dyDescent="0.25">
      <c r="D29">
        <v>0</v>
      </c>
      <c r="E29">
        <v>25</v>
      </c>
      <c r="F29">
        <v>60</v>
      </c>
      <c r="G29">
        <v>100</v>
      </c>
      <c r="H29">
        <v>150</v>
      </c>
      <c r="I29">
        <v>200</v>
      </c>
      <c r="J29">
        <v>250</v>
      </c>
      <c r="K29">
        <v>300</v>
      </c>
    </row>
    <row r="32" spans="1:11" ht="15.75" x14ac:dyDescent="0.25">
      <c r="A32" s="3"/>
      <c r="B32" s="8" t="s">
        <v>29</v>
      </c>
      <c r="C32" s="9"/>
      <c r="D32" s="10" t="s">
        <v>13</v>
      </c>
      <c r="E32" s="10" t="s">
        <v>14</v>
      </c>
      <c r="F32" s="10" t="s">
        <v>15</v>
      </c>
      <c r="G32" s="10" t="s">
        <v>16</v>
      </c>
      <c r="H32" s="10" t="s">
        <v>17</v>
      </c>
      <c r="I32" s="10" t="s">
        <v>18</v>
      </c>
      <c r="J32" s="10" t="s">
        <v>19</v>
      </c>
      <c r="K32" s="10" t="s">
        <v>20</v>
      </c>
    </row>
    <row r="33" spans="1:11" x14ac:dyDescent="0.25">
      <c r="A33" s="13" t="s">
        <v>0</v>
      </c>
      <c r="B33" s="4" t="s">
        <v>64</v>
      </c>
      <c r="D33">
        <v>2.2256999999999998</v>
      </c>
      <c r="E33">
        <v>1.8487</v>
      </c>
      <c r="F33">
        <v>1.333</v>
      </c>
      <c r="G33">
        <v>0.77429999999999999</v>
      </c>
      <c r="H33">
        <v>9.9900000000000003E-2</v>
      </c>
      <c r="I33">
        <v>-0.58379999999999999</v>
      </c>
      <c r="J33">
        <v>-1.3262</v>
      </c>
      <c r="K33">
        <v>-2.2153999999999998</v>
      </c>
    </row>
    <row r="34" spans="1:11" x14ac:dyDescent="0.25">
      <c r="A34" s="13" t="s">
        <v>2</v>
      </c>
      <c r="B34" s="4" t="s">
        <v>62</v>
      </c>
      <c r="D34">
        <v>-6.5804</v>
      </c>
      <c r="E34">
        <v>-6.3446999999999996</v>
      </c>
      <c r="F34">
        <v>-6.2683999999999997</v>
      </c>
      <c r="G34">
        <v>-6.3882000000000003</v>
      </c>
      <c r="H34">
        <v>-6.7234999999999996</v>
      </c>
      <c r="I34">
        <v>-7.1969000000000003</v>
      </c>
      <c r="J34">
        <v>-7.7868000000000004</v>
      </c>
      <c r="K34">
        <v>-8.5280000000000005</v>
      </c>
    </row>
    <row r="35" spans="1:11" x14ac:dyDescent="0.25">
      <c r="A35" s="14" t="s">
        <v>10</v>
      </c>
      <c r="B35" s="7" t="s">
        <v>66</v>
      </c>
      <c r="D35">
        <v>10.6241</v>
      </c>
      <c r="E35">
        <v>10.328799999999999</v>
      </c>
      <c r="F35">
        <v>10.1304</v>
      </c>
      <c r="G35">
        <v>10.083600000000001</v>
      </c>
      <c r="H35">
        <v>10.2003</v>
      </c>
      <c r="I35">
        <v>10.4648</v>
      </c>
      <c r="J35">
        <v>10.870699999999999</v>
      </c>
      <c r="K35">
        <v>11.463800000000001</v>
      </c>
    </row>
    <row r="36" spans="1:11" x14ac:dyDescent="0.25">
      <c r="A36" s="14" t="s">
        <v>21</v>
      </c>
      <c r="B36" s="7" t="s">
        <v>70</v>
      </c>
      <c r="D36">
        <v>9.0182000000000002</v>
      </c>
      <c r="E36">
        <v>6.8101000000000003</v>
      </c>
      <c r="F36">
        <v>3.8468</v>
      </c>
      <c r="G36">
        <v>0.95409999999999995</v>
      </c>
      <c r="H36">
        <v>-2.0186999999999999</v>
      </c>
      <c r="I36">
        <v>-4.5022000000000002</v>
      </c>
      <c r="J36">
        <v>-6.7083000000000004</v>
      </c>
      <c r="K36">
        <v>-8.8021999999999991</v>
      </c>
    </row>
    <row r="37" spans="1:11" x14ac:dyDescent="0.25">
      <c r="A37" s="14" t="s">
        <v>24</v>
      </c>
      <c r="B37" t="s">
        <v>73</v>
      </c>
      <c r="D37">
        <v>-4.6318999999999999</v>
      </c>
      <c r="E37">
        <v>-3.9992999999999999</v>
      </c>
      <c r="F37">
        <v>-3.4733999999999998</v>
      </c>
      <c r="G37">
        <v>-3.0781999999999998</v>
      </c>
      <c r="H37">
        <v>-2.7191000000000001</v>
      </c>
      <c r="I37">
        <v>-2.4378000000000002</v>
      </c>
      <c r="J37">
        <v>-2.2057000000000002</v>
      </c>
      <c r="K37">
        <v>-2.0167999999999999</v>
      </c>
    </row>
    <row r="38" spans="1:11" x14ac:dyDescent="0.25">
      <c r="A38" s="14" t="s">
        <v>34</v>
      </c>
      <c r="B38" t="s">
        <v>108</v>
      </c>
      <c r="D38">
        <v>-7.6764999999999999</v>
      </c>
      <c r="E38">
        <v>-7.8136000000000001</v>
      </c>
      <c r="F38">
        <v>-8.0526999999999997</v>
      </c>
      <c r="G38">
        <v>-8.3574000000000002</v>
      </c>
      <c r="H38">
        <v>-8.7691999999999997</v>
      </c>
      <c r="I38">
        <v>-9.2164999999999999</v>
      </c>
      <c r="J38">
        <v>-9.7202000000000002</v>
      </c>
      <c r="K38">
        <v>-10.3393</v>
      </c>
    </row>
    <row r="39" spans="1:11" x14ac:dyDescent="0.25">
      <c r="A39" s="14" t="s">
        <v>89</v>
      </c>
      <c r="B39" t="s">
        <v>112</v>
      </c>
      <c r="D39">
        <v>10.3231</v>
      </c>
      <c r="E39">
        <v>9.9525000000000006</v>
      </c>
      <c r="F39">
        <v>9.4684000000000008</v>
      </c>
      <c r="G39">
        <v>9.0844000000000005</v>
      </c>
      <c r="H39">
        <v>8.8497000000000003</v>
      </c>
      <c r="I39">
        <v>8.8393999999999995</v>
      </c>
      <c r="J39">
        <v>9.0223999999999993</v>
      </c>
      <c r="K39">
        <v>9.4140999999999995</v>
      </c>
    </row>
    <row r="41" spans="1:11" x14ac:dyDescent="0.25">
      <c r="J41">
        <f>0.000000000343*(80^4)-0.000000305*(80^3)+0.000109*(80^2)-0.017*(80)-1.1</f>
        <v>-1.9045107200000002</v>
      </c>
    </row>
    <row r="43" spans="1:11" x14ac:dyDescent="0.25">
      <c r="J43">
        <f>10^J41</f>
        <v>1.245917483022611E-2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Iron</vt:lpstr>
      <vt:lpstr>H2S</vt:lpstr>
      <vt:lpstr>H2_Loss_Calc</vt:lpstr>
      <vt:lpstr>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Zitong Huang</dc:creator>
  <cp:lastModifiedBy>Zitong Huang</cp:lastModifiedBy>
  <dcterms:created xsi:type="dcterms:W3CDTF">2024-01-21T04:41:00Z</dcterms:created>
  <dcterms:modified xsi:type="dcterms:W3CDTF">2025-03-29T05:41:39Z</dcterms:modified>
</cp:coreProperties>
</file>