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Desktop\"/>
    </mc:Choice>
  </mc:AlternateContent>
  <xr:revisionPtr revIDLastSave="0" documentId="13_ncr:1_{19DB6E9D-1BB3-4422-9D3A-62CD686E9E8D}" xr6:coauthVersionLast="47" xr6:coauthVersionMax="47" xr10:uidLastSave="{00000000-0000-0000-0000-000000000000}"/>
  <bookViews>
    <workbookView minimized="1" xWindow="4470" yWindow="600" windowWidth="18570" windowHeight="11760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definedNames>
    <definedName name="solver_adj" localSheetId="1" hidden="1">PFLOTRAN_EX1!$F$2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PFLOTRAN_EX1!$H$2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8000000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C14" i="4" a="1"/>
  <c r="C14" i="4" s="1"/>
  <c r="K2" i="4" s="1"/>
  <c r="E10" i="4" s="1"/>
  <c r="B14" i="4" a="1"/>
  <c r="B14" i="4" s="1"/>
  <c r="B5" i="5"/>
  <c r="B4" i="5"/>
  <c r="F4" i="5"/>
  <c r="E4" i="5"/>
  <c r="F5" i="5"/>
  <c r="G5" i="5" s="1"/>
  <c r="E5" i="5"/>
  <c r="A26" i="4"/>
  <c r="H20" i="1"/>
  <c r="D20" i="4"/>
  <c r="E20" i="4" s="1"/>
  <c r="D19" i="4"/>
  <c r="E19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E11" i="4" l="1"/>
  <c r="F10" i="4"/>
  <c r="H10" i="4"/>
  <c r="E7" i="4"/>
  <c r="H7" i="4" s="1"/>
  <c r="E4" i="4"/>
  <c r="E9" i="4"/>
  <c r="H9" i="4" s="1"/>
  <c r="H2" i="4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F11" i="4" l="1"/>
  <c r="G11" i="4" s="1"/>
  <c r="O11" i="4" s="1"/>
  <c r="H11" i="4"/>
  <c r="G10" i="4"/>
  <c r="O10" i="4" s="1"/>
  <c r="F7" i="4"/>
  <c r="G7" i="4" s="1"/>
  <c r="O7" i="4" s="1"/>
  <c r="F9" i="4"/>
  <c r="G9" i="4" s="1"/>
  <c r="B26" i="4"/>
  <c r="H18" i="4"/>
  <c r="H21" i="4" s="1"/>
  <c r="E29" i="4"/>
  <c r="F31" i="4"/>
  <c r="E8" i="4"/>
  <c r="E6" i="4"/>
  <c r="H4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F6" i="4" l="1"/>
  <c r="G6" i="4" s="1"/>
  <c r="O9" i="4"/>
  <c r="C26" i="4"/>
  <c r="D26" i="4" s="1"/>
  <c r="E26" i="4" s="1"/>
  <c r="K22" i="4"/>
  <c r="I25" i="4"/>
  <c r="H8" i="4"/>
  <c r="F8" i="4"/>
  <c r="G8" i="4" s="1"/>
  <c r="O8" i="4" s="1"/>
  <c r="H6" i="4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O6" i="4" l="1"/>
  <c r="G18" i="4"/>
  <c r="G4" i="4"/>
  <c r="G13" i="4" s="1"/>
  <c r="G17" i="4"/>
  <c r="O5" i="4"/>
  <c r="G19" i="4"/>
  <c r="E10" i="3"/>
  <c r="H10" i="3" s="1"/>
  <c r="H8" i="3"/>
  <c r="E9" i="3"/>
  <c r="H9" i="3" s="1"/>
  <c r="K17" i="1"/>
  <c r="O4" i="4" l="1"/>
  <c r="G16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<sst xmlns="http://schemas.openxmlformats.org/spreadsheetml/2006/main" count="212" uniqueCount="78">
  <si>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</si>
  <si>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</si>
  <si>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</si>
  <si>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</si>
  <si>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</si>
  <si>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</si>
  <si>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</si>
  <si>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</si>
  <si>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</si>
  <si>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</si>
  <si>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</si>
  <si>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</si>
  <si>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</si>
  <si>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</si>
  <si>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</si>
  <si>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</si>
  <si>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</si>
  <si>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</si>
  <si>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</si>
  <si>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</si>
  <si>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</si>
  <si>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</si>
  <si>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</si>
  <si>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</si>
  <si>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</si>
  <si>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</si>
  <si>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</si>
  <si>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</si>
  <si>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</si>
  <si>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</si>
  <si>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</si>
  <si>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</si>
  <si>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</si>
  <si>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</si>
  <si>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</si>
  <si>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</si>
  <si>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</si>
  <si>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</si>
  <si>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</si>
  <si>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</si>
  <si>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</si>
  <si>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</si>
  <si>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</si>
  <si>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</si>
  <si>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</si>
  <si>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</si>
  <si>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</si>
  <si>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</si>
  <si>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</si>
  <si>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</si>
  <si>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</si>
  <si>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</si>
  <si>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</si>
  <si>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</si>
  <si>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</si>
  <si>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</si>
  <si>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</si>
  <si>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</si>
  <si>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</si>
  <si>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</si>
  <si>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</si>
  <si>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</si>
  <si>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</si>
  <si>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</si>
  <si>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</si>
  <si>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</si>
  <si>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</si>
  <si>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</si>
  <si>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</si>
  <si>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</si>
  <si>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</si>
  <si>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</si>
  <si>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</si>
  <si>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</si>
  <si>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</si>
  <si>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</si>
  <si>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</si>
  <si>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Barite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</si>
</sst>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3125" bestFit="1" customWidth="1"/>
    <col min="6" max="6" width="16.5234375" bestFit="1" customWidth="1"/>
    <col min="8" max="8" width="14.523437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O32"/>
  <sheetViews>
    <sheetView tabSelected="1" zoomScale="80" workbookViewId="0">
      <selection activeCell="H6" sqref="H6"/>
    </sheetView>
  </sheetViews>
  <sheetFormatPr defaultRowHeight="14.4" x14ac:dyDescent="0.55000000000000004"/>
  <cols>
    <col min="5" max="6" width="11.68359375" bestFit="1" customWidth="1"/>
  </cols>
  <sheetData>
    <row r="1" spans="1:15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</row>
    <row r="2" spans="1:15" x14ac:dyDescent="0.55000000000000004">
      <c r="F2">
        <v>347492</v>
      </c>
      <c r="H2">
        <f>K2/B14</f>
        <v>8000002.3803584743</v>
      </c>
      <c r="K2">
        <f>F2*C14</f>
        <v>21503201.448371999</v>
      </c>
      <c r="M2">
        <v>0.2</v>
      </c>
    </row>
    <row r="3" spans="1:15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5" x14ac:dyDescent="0.55000000000000004">
      <c r="A4" t="s">
        <v>42</v>
      </c>
      <c r="B4">
        <v>2.65</v>
      </c>
      <c r="C4">
        <v>60.084299999999999</v>
      </c>
      <c r="D4">
        <v>0.97</v>
      </c>
      <c r="E4">
        <f>$K$2*D4</f>
        <v>20858105.404920839</v>
      </c>
      <c r="F4">
        <f>E4/B4</f>
        <v>7870983.1716682417</v>
      </c>
      <c r="G4">
        <f>F4/$H$2</f>
        <v>0.98387260371234397</v>
      </c>
      <c r="H4">
        <f>E4/C4</f>
        <v>347147.34805799252</v>
      </c>
      <c r="J4" t="s">
        <v>25</v>
      </c>
      <c r="L4" t="s">
        <v>26</v>
      </c>
      <c r="O4">
        <f>G4*0.8</f>
        <v>0.78709808296987527</v>
      </c>
    </row>
    <row r="5" spans="1:15" x14ac:dyDescent="0.55000000000000004">
      <c r="A5" t="s">
        <v>4</v>
      </c>
      <c r="B5">
        <v>2.71</v>
      </c>
      <c r="C5">
        <v>100.0872</v>
      </c>
      <c r="D5">
        <v>0</v>
      </c>
      <c r="E5">
        <f>$K$2*D5</f>
        <v>0</v>
      </c>
      <c r="F5">
        <f>E5/B5</f>
        <v>0</v>
      </c>
      <c r="G5">
        <f>F5/$H$2</f>
        <v>0</v>
      </c>
      <c r="H5">
        <f>E5/C5</f>
        <v>0</v>
      </c>
      <c r="J5">
        <v>25</v>
      </c>
      <c r="L5">
        <v>80</v>
      </c>
      <c r="O5">
        <f t="shared" ref="O5:O6" si="0">G5*0.8</f>
        <v>0</v>
      </c>
    </row>
    <row r="6" spans="1:15" x14ac:dyDescent="0.55000000000000004">
      <c r="A6" t="s">
        <v>45</v>
      </c>
      <c r="B6">
        <v>5</v>
      </c>
      <c r="C6">
        <v>119.979</v>
      </c>
      <c r="D6">
        <v>0.03</v>
      </c>
      <c r="E6">
        <f>$K$2*D6</f>
        <v>645096.04345115996</v>
      </c>
      <c r="F6">
        <f>E6/B6</f>
        <v>129019.20869023199</v>
      </c>
      <c r="G6">
        <f>F6/$H$2</f>
        <v>1.6127396287655946E-2</v>
      </c>
      <c r="H6">
        <f>E6/C6</f>
        <v>5376.7412918190685</v>
      </c>
      <c r="O6">
        <f t="shared" si="0"/>
        <v>1.2901917030124757E-2</v>
      </c>
    </row>
    <row r="7" spans="1:15" x14ac:dyDescent="0.55000000000000004">
      <c r="A7" t="s">
        <v>56</v>
      </c>
      <c r="B7">
        <v>4.28</v>
      </c>
      <c r="C7">
        <v>88.853700000000003</v>
      </c>
      <c r="D7">
        <v>0</v>
      </c>
      <c r="E7">
        <f t="shared" ref="E7" si="1">$K$2*D7</f>
        <v>0</v>
      </c>
      <c r="F7">
        <f t="shared" ref="F7" si="2">E7/B7</f>
        <v>0</v>
      </c>
      <c r="G7">
        <f t="shared" ref="G7" si="3">F7/$H$2</f>
        <v>0</v>
      </c>
      <c r="H7">
        <f t="shared" ref="H7" si="4">E7/C7</f>
        <v>0</v>
      </c>
      <c r="O7">
        <f>G7*0.8</f>
        <v>0</v>
      </c>
    </row>
    <row r="8" spans="1:15" x14ac:dyDescent="0.55000000000000004">
      <c r="A8" t="s">
        <v>1</v>
      </c>
      <c r="B8">
        <v>2.65</v>
      </c>
      <c r="C8">
        <v>258.16039999999998</v>
      </c>
      <c r="D8">
        <v>0</v>
      </c>
      <c r="E8">
        <f>$K$2*D8</f>
        <v>0</v>
      </c>
      <c r="F8">
        <f>E8/B8</f>
        <v>0</v>
      </c>
      <c r="G8">
        <f>F8/$H$2</f>
        <v>0</v>
      </c>
      <c r="H8">
        <f>E8/C8</f>
        <v>0</v>
      </c>
      <c r="O8">
        <f>G8*0.8</f>
        <v>0</v>
      </c>
    </row>
    <row r="9" spans="1:15" x14ac:dyDescent="0.55000000000000004">
      <c r="A9" t="s">
        <v>75</v>
      </c>
      <c r="B9">
        <v>5.25</v>
      </c>
      <c r="C9">
        <v>159.69220000000001</v>
      </c>
      <c r="D9">
        <v>0</v>
      </c>
      <c r="E9">
        <f>$K$2*D9</f>
        <v>0</v>
      </c>
      <c r="F9">
        <f>E9/B9</f>
        <v>0</v>
      </c>
      <c r="G9">
        <f>F9/$H$2</f>
        <v>0</v>
      </c>
      <c r="H9">
        <f>E9/C9</f>
        <v>0</v>
      </c>
      <c r="O9">
        <f>G9*0.8</f>
        <v>0</v>
      </c>
    </row>
    <row r="10" spans="1:15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1" spans="1:15" x14ac:dyDescent="0.55000000000000004">
      <c r="A11" t="s">
        <v>77</v>
      </c>
      <c r="B11">
        <v>4.4800000000000004</v>
      </c>
      <c r="C11">
        <v>261.33690000000001</v>
      </c>
      <c r="D11">
        <v>0</v>
      </c>
      <c r="E11">
        <f>$K$2*D11</f>
        <v>0</v>
      </c>
      <c r="F11">
        <f>E11/B11</f>
        <v>0</v>
      </c>
      <c r="G11">
        <f>F11/$H$2</f>
        <v>0</v>
      </c>
      <c r="H11">
        <f>E11/C11</f>
        <v>0</v>
      </c>
      <c r="O11">
        <f>G11*0.8</f>
        <v>0</v>
      </c>
    </row>
    <row r="13" spans="1:15" x14ac:dyDescent="0.55000000000000004">
      <c r="D13">
        <f>SUM(D4:D11)</f>
        <v>1</v>
      </c>
      <c r="G13">
        <f>SUM(G4:G11)</f>
        <v>0.99999999999999989</v>
      </c>
      <c r="J13" t="s">
        <v>35</v>
      </c>
    </row>
    <row r="14" spans="1:15" x14ac:dyDescent="0.55000000000000004">
      <c r="A14" t="s">
        <v>7</v>
      </c>
      <c r="B14" cm="1">
        <f t="array" ref="B14">1/SUM(D4:D11/B4:B11)</f>
        <v>2.687899381275991</v>
      </c>
      <c r="C14" cm="1">
        <f t="array" ref="C14">SUM(C4:C11*D4:D11)</f>
        <v>61.881141</v>
      </c>
      <c r="J14">
        <v>0.5</v>
      </c>
    </row>
    <row r="16" spans="1:15" x14ac:dyDescent="0.55000000000000004">
      <c r="G16">
        <f>0.8*100*G4</f>
        <v>78.709808296987518</v>
      </c>
    </row>
    <row r="17" spans="1:11" x14ac:dyDescent="0.55000000000000004">
      <c r="A17" s="1" t="s">
        <v>17</v>
      </c>
      <c r="G17">
        <f>0.8*100*G5</f>
        <v>0</v>
      </c>
      <c r="H17" t="s">
        <v>34</v>
      </c>
    </row>
    <row r="18" spans="1:11" x14ac:dyDescent="0.55000000000000004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G18">
        <f>0.8*100*G6</f>
        <v>1.2901917030124757</v>
      </c>
      <c r="H18">
        <f>(H2/(1-M2))*M2</f>
        <v>2000000.5950896186</v>
      </c>
    </row>
    <row r="19" spans="1:11" x14ac:dyDescent="0.55000000000000004">
      <c r="A19" t="s">
        <v>28</v>
      </c>
      <c r="B19">
        <v>20.99</v>
      </c>
      <c r="C19">
        <v>13437</v>
      </c>
      <c r="D19">
        <f>C19*0.000998859</f>
        <v>13.421668383</v>
      </c>
      <c r="E19">
        <f t="shared" ref="E19:E20" si="5">D19/B19</f>
        <v>0.6394315570747976</v>
      </c>
      <c r="G19">
        <f t="shared" ref="G19" si="6">0.8*100*G8</f>
        <v>0</v>
      </c>
    </row>
    <row r="20" spans="1:11" x14ac:dyDescent="0.55000000000000004">
      <c r="A20" t="s">
        <v>29</v>
      </c>
      <c r="B20">
        <v>35.450000000000003</v>
      </c>
      <c r="C20">
        <v>20718</v>
      </c>
      <c r="D20">
        <f t="shared" ref="D20" si="7">C20*0.000998859</f>
        <v>20.694360761999999</v>
      </c>
      <c r="E20">
        <f t="shared" si="5"/>
        <v>0.58376193968970369</v>
      </c>
      <c r="H20" t="s">
        <v>36</v>
      </c>
    </row>
    <row r="21" spans="1:11" x14ac:dyDescent="0.55000000000000004">
      <c r="H21">
        <f>H18*J14</f>
        <v>1000000.2975448093</v>
      </c>
      <c r="I21" t="s">
        <v>38</v>
      </c>
      <c r="K21" t="s">
        <v>44</v>
      </c>
    </row>
    <row r="22" spans="1:11" x14ac:dyDescent="0.55000000000000004">
      <c r="I22">
        <v>0.98748999999999998</v>
      </c>
      <c r="K22">
        <f>H2+H21+B26</f>
        <v>10000002.975448092</v>
      </c>
    </row>
    <row r="24" spans="1:11" x14ac:dyDescent="0.55000000000000004">
      <c r="A24" s="1" t="s">
        <v>37</v>
      </c>
      <c r="I24" t="s">
        <v>41</v>
      </c>
    </row>
    <row r="25" spans="1:11" x14ac:dyDescent="0.55000000000000004">
      <c r="A25" t="s">
        <v>38</v>
      </c>
      <c r="B25" t="s">
        <v>39</v>
      </c>
      <c r="C25" t="s">
        <v>40</v>
      </c>
      <c r="D25" t="s">
        <v>16</v>
      </c>
      <c r="E25" t="s">
        <v>43</v>
      </c>
      <c r="I25">
        <f>H21*I22</f>
        <v>987490.29382252367</v>
      </c>
    </row>
    <row r="26" spans="1:11" x14ac:dyDescent="0.55000000000000004">
      <c r="A26">
        <f>A29/1000</f>
        <v>1.5125999999999999E-2</v>
      </c>
      <c r="B26">
        <f>(1-J14)*(H2/(1-M2))*M2</f>
        <v>1000000.2975448093</v>
      </c>
      <c r="C26">
        <f>B26*A26</f>
        <v>15126.004500662784</v>
      </c>
      <c r="D26">
        <f>C26/F31</f>
        <v>7503.2022325382122</v>
      </c>
      <c r="E26">
        <f>(B26/1000)/D26</f>
        <v>0.13327646870668516</v>
      </c>
    </row>
    <row r="28" spans="1:11" x14ac:dyDescent="0.55000000000000004">
      <c r="A28" t="s">
        <v>62</v>
      </c>
      <c r="B28" t="s">
        <v>63</v>
      </c>
      <c r="C28" t="s">
        <v>64</v>
      </c>
      <c r="D28" t="s">
        <v>66</v>
      </c>
      <c r="E28" t="s">
        <v>65</v>
      </c>
    </row>
    <row r="29" spans="1:11" x14ac:dyDescent="0.55000000000000004">
      <c r="A29">
        <v>15.125999999999999</v>
      </c>
      <c r="B29">
        <v>7503.2</v>
      </c>
      <c r="C29">
        <v>496.04654237736349</v>
      </c>
      <c r="D29">
        <v>10000000</v>
      </c>
      <c r="E29" s="4">
        <f>D29*C29</f>
        <v>4960465423.7736349</v>
      </c>
    </row>
    <row r="30" spans="1:11" x14ac:dyDescent="0.55000000000000004">
      <c r="F30" t="s">
        <v>19</v>
      </c>
    </row>
    <row r="31" spans="1:11" x14ac:dyDescent="0.55000000000000004">
      <c r="D31" t="s">
        <v>67</v>
      </c>
      <c r="F31">
        <f>1/(C29/1000)</f>
        <v>2.0159398656573195</v>
      </c>
    </row>
    <row r="32" spans="1:11" x14ac:dyDescent="0.55000000000000004">
      <c r="D3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3671875" bestFit="1" customWidth="1"/>
    <col min="2" max="2" width="10.47265625" bestFit="1" customWidth="1"/>
    <col min="3" max="3" width="13.3125" bestFit="1" customWidth="1"/>
    <col min="4" max="4" width="14.578125" bestFit="1" customWidth="1"/>
    <col min="5" max="5" width="10.05078125" bestFit="1" customWidth="1"/>
    <col min="6" max="6" width="10.734375" bestFit="1" customWidth="1"/>
    <col min="7" max="7" width="11.734375" bestFit="1" customWidth="1"/>
    <col min="9" max="9" width="10.05078125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2024-05-16T04:18:13Z</dcterms:modified>
</cp:coreProperties>
</file>