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3" activeTab="4"/>
  </bookViews>
  <sheets>
    <sheet name="深圳-香港-圣何塞" sheetId="32" r:id="rId1"/>
    <sheet name="北京-新加坡-巴西" sheetId="30" r:id="rId2"/>
    <sheet name="香港-荷兰" sheetId="26" r:id="rId3"/>
    <sheet name="香港-德国" sheetId="27" r:id="rId4"/>
    <sheet name="香港-新加坡" sheetId="28" r:id="rId5"/>
    <sheet name="香港-马来" sheetId="29" r:id="rId6"/>
    <sheet name="达拉斯-迈阿密 -硬盘" sheetId="25" r:id="rId7"/>
    <sheet name="国内-印尼" sheetId="24" r:id="rId8"/>
    <sheet name="深圳-香港-迈阿密询价" sheetId="22" r:id="rId9"/>
    <sheet name="法兰克福-迈阿密预估" sheetId="23" r:id="rId10"/>
    <sheet name="深圳-墨西哥成本" sheetId="21" r:id="rId11"/>
    <sheet name="香港-柬埔寨正清&amp; 快递" sheetId="20" r:id="rId12"/>
    <sheet name="香港-泰国" sheetId="18" r:id="rId13"/>
    <sheet name="达拉斯-迈阿密" sheetId="13" r:id="rId14"/>
    <sheet name="国内-西班牙" sheetId="12" r:id="rId15"/>
    <sheet name="柔佛-迈阿密" sheetId="11" r:id="rId16"/>
    <sheet name="台中仓储" sheetId="10" r:id="rId17"/>
    <sheet name="国内-雅加达" sheetId="8" r:id="rId18"/>
    <sheet name="国内-胡志明" sheetId="9" r:id="rId19"/>
    <sheet name="首尔-北京" sheetId="5" r:id="rId20"/>
    <sheet name="天津-巴拿马" sheetId="1" r:id="rId21"/>
    <sheet name="广州-印尼询价" sheetId="16" r:id="rId22"/>
    <sheet name="上海-香港专线" sheetId="17" r:id="rId23"/>
    <sheet name="香港-印度快递" sheetId="31" r:id="rId24"/>
  </sheets>
  <externalReferences>
    <externalReference r:id="rId25"/>
    <externalReference r:id="rId2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E1DF5B135F34A85B588212B447858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4020" y="5212080"/>
          <a:ext cx="5578475" cy="1333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<sst xmlns="http://schemas.openxmlformats.org/spreadsheetml/2006/main" count="496" uniqueCount="317">
  <si>
    <t>2025.10.20</t>
  </si>
  <si>
    <t>深圳-香港-美国圣何塞，按240kg预估</t>
  </si>
  <si>
    <t>/</t>
  </si>
  <si>
    <t>融迅报价</t>
  </si>
  <si>
    <t>费用明细</t>
  </si>
  <si>
    <t>深圳-香港过港及杂费预计4000
TO SFO BY HK NZ RMB44/KG
报关 RMB300+申报税实报实销
请贴好电池签交货
SFO local
报关费USD150
航站费USD280
贸易代理费USD200
操作费USD45
送货费USD550 
人工费USD180
待时费USD75/hr，1小时免费
税金实报实销
MPF 货值*0.3464%
关税垫付手续费 3.5% or MIN USD50 （超5w人民币需要预付）
不含仓储费，查验费等可能产生的额外费用，若产生额外收费则实报实销、不含保险费
运输时间：交货后7-10天左右</t>
  </si>
  <si>
    <t>小计(不含税)</t>
  </si>
  <si>
    <t>进口税</t>
  </si>
  <si>
    <t>按8471.490000，当前是7.5%+20%+0.3464%=27.8464%，后续可能加征100%关税</t>
  </si>
  <si>
    <t>Dear Bella&amp;Sdream，</t>
  </si>
  <si>
    <t>请查收附近里的报价，简单汇总如下（具体见报价单）：</t>
  </si>
  <si>
    <t>1.按12箱/重量180kg 预估+新加坡模块1箱/1kg（需新加坡发货人需把货物包装好）：</t>
  </si>
  <si>
    <t>USD1931.49+USD27119.18</t>
  </si>
  <si>
    <t>2.按12箱/重量150kg 预估+新加坡模块1箱/1kg（需新加坡发货人需把货物包装好）：</t>
  </si>
  <si>
    <t>USD1931.49+USD25294.19</t>
  </si>
  <si>
    <t>部分产品不经常发运，重量不太清楚，因此预估了一个150-180kg的两个重量级别，供参考，具体以实际到货为准，价格会有浮动。</t>
  </si>
  <si>
    <t>金额不同重量不同，价格不同。 （费用为预估金额， 出货前需要再次咨询， 到货后代理会重新根据重量和价格更新报价单）</t>
  </si>
  <si>
    <r>
      <rPr>
        <sz val="11"/>
        <color theme="1"/>
        <rFont val="宋体"/>
        <charset val="134"/>
        <scheme val="minor"/>
      </rPr>
      <t>另外：不含我司一般空运运输保险费，汇损等；</t>
    </r>
    <r>
      <rPr>
        <b/>
        <sz val="11"/>
        <color theme="1"/>
        <rFont val="宋体"/>
        <charset val="134"/>
        <scheme val="minor"/>
      </rPr>
      <t>按设备价值6折询价，含设备6折的专线保险费。</t>
    </r>
  </si>
  <si>
    <t>备注：</t>
  </si>
  <si>
    <t>1.时效说明：起飞后30-60天左右（实际运输时间可能更长）；货物运输过程存在不可抗力，不保证具体时效；</t>
  </si>
  <si>
    <t>2.重量说明：每箱根据计费原则，体积重与实重两者取大，报价不含具体包装；</t>
  </si>
  <si>
    <t>3.签收说明：如因收件人原因或联系方式错误，无法派送或派送不成功，所产生的费用由发件人支付（如卡车公司产生仓租，二次派送费用等）；更改</t>
  </si>
  <si>
    <t>派送地址需重新核算费用。</t>
  </si>
  <si>
    <t>4.报价有效期：因汇率和运费实时变化，故报价有效期为7天；</t>
  </si>
  <si>
    <t>5.费用说明：此报价不含人民币发票增值税；如支付人民币开票，增加6%税点。</t>
  </si>
  <si>
    <t>6.延迟赔付：90天内无物流更新按照赔付条款赔付。</t>
  </si>
  <si>
    <t>货交香港--荷兰阿姆斯特丹</t>
  </si>
  <si>
    <t>按1000kg预估</t>
  </si>
  <si>
    <t>融迅</t>
  </si>
  <si>
    <t>TO AMS BY HK EK RMB38.3/kg
报关费RMB300+申报税实报实销
香港杂费实报实销
请贴好电池标交货
THC: EUR0.45/kg，min EUR245
文件费：EUR150
清关费：EUR95
贸易代理费：货值*3.5%，min EUR380
操作费：EUR95
送货费：
 EUR600 拼车 2-4个工作日 （预估）
 EUR900 专车 1-2个工作日 （预估）
仓储费：实报实销
卸货上楼和回收垃圾：要提供地址单独确认，如果能安排的话EUR400+EUR300差不多
如有待时费实报实销</t>
  </si>
  <si>
    <t>850000USD</t>
  </si>
  <si>
    <t>运费小计</t>
  </si>
  <si>
    <t>不含保险费、仓储费、待时费、查验相关、进口税费等</t>
  </si>
  <si>
    <t>荷兰进口VAT21%</t>
  </si>
  <si>
    <t>注：</t>
  </si>
  <si>
    <t>1、运输时间：10工作日左右，如遇查验/节假日顺延</t>
  </si>
  <si>
    <t>2、价格一周有效</t>
  </si>
  <si>
    <t>货交香港--德国法兰克福</t>
  </si>
  <si>
    <t>TO AMS BY HK EK RMB38.3/kg
报关费RMB300+申报税实报实销
香港杂费实报实销
请贴好电池标交货
THC: EUR0.45/kg，min EUR245
文件费：EUR150
清关费：EUR95
贸易代理费：货值*3.5%，min EUR380
操作费：EUR95
送货费：
 EUR1200 拼车 5-7个工作日 （预估）
 EUR1800 专车 2-4个工作日 （预估）
仓储费：实报实销
卸货上楼和回收垃圾：要提供地址单独确认，如果能安排的话EUR400+EUR300差不多
如有待时费实报实销</t>
  </si>
  <si>
    <t>德国进口VAT参考19%，但代理是在荷兰贸易代理清关，所以税率用21%</t>
  </si>
  <si>
    <t>香港-新加坡</t>
  </si>
  <si>
    <t xml:space="preserve">重量：KG </t>
  </si>
  <si>
    <t>代理：</t>
  </si>
  <si>
    <t>费用明细：</t>
  </si>
  <si>
    <t>TO SIN BY HK CX RMB18.5/kg
验电费CNY500
报关费CNY300+申报税实报实销
请贴好电池标交货
报关费 SGD100
贸易代理费 SGD100
操作费 SGD0.3/KG; MIN SGD35
卡车费 SGD650（预估）
人工&amp;卸货 SGD180（预估）
回收垃圾 SGD550（预估）
GST 9% (金额过大，需要提前预付）</t>
  </si>
  <si>
    <t>小计：</t>
  </si>
  <si>
    <t>税金：9%</t>
  </si>
  <si>
    <t>实报实销 0+9%</t>
  </si>
  <si>
    <t>汇损：3-5%</t>
  </si>
  <si>
    <t>预估汇损实报实销</t>
  </si>
  <si>
    <t>总计：</t>
  </si>
  <si>
    <t>不含：</t>
  </si>
  <si>
    <t>保险费，仓储费，海关查验费，香港杂费实报实销，香港提货费，登记费等</t>
  </si>
  <si>
    <t>时效：</t>
  </si>
  <si>
    <t>起飞后4-6天，海关查验顺延</t>
  </si>
  <si>
    <t>香港-马来</t>
  </si>
  <si>
    <t>TO KUL BY HK MH RMB17/kg
报关费CNY300+申报税200 预估
请贴好电池标交货
贸易代理费：USD180
文件费:  USD25
THC: USD0.3/kg, min USD45
送货费: USD450（预估）
卸货上楼费：USD180
如需回收垃圾 USD150（预估）
SIRIM：USD180/个
税金：实报实销（超过5万人民币需要预付）</t>
  </si>
  <si>
    <t>税金：0+5%</t>
  </si>
  <si>
    <t>实报实销</t>
  </si>
  <si>
    <t>汇损 ：3-5%</t>
  </si>
  <si>
    <t>文件：</t>
  </si>
  <si>
    <t>申请SIRIM， 需要发票箱单，英文说明书 申请需要3-5个工作日</t>
  </si>
  <si>
    <t>达拉斯-迈阿密 100个硬盘 重量预估20KGS</t>
  </si>
  <si>
    <t>代理</t>
  </si>
  <si>
    <t>融迅-快递方案</t>
  </si>
  <si>
    <t>融迅-拼车方案</t>
  </si>
  <si>
    <t>达拉斯-迈阿密</t>
  </si>
  <si>
    <r>
      <rPr>
        <b/>
        <sz val="9"/>
        <color theme="1"/>
        <rFont val="微软雅黑"/>
        <charset val="134"/>
      </rPr>
      <t>提货费用：</t>
    </r>
    <r>
      <rPr>
        <sz val="9"/>
        <color theme="1"/>
        <rFont val="微软雅黑"/>
        <charset val="134"/>
      </rPr>
      <t xml:space="preserve">
提货费：USD350
人工费：USD180
纸箱缠膜包装：USD60/个（货物安全考虑，硬盘需要发货人用专用的塑料盒和泡沫包好，我们只负责包最外层的纸箱包装）
</t>
    </r>
    <r>
      <rPr>
        <b/>
        <sz val="9"/>
        <color theme="1"/>
        <rFont val="微软雅黑"/>
        <charset val="134"/>
      </rPr>
      <t>达拉斯-迈阿密 快递 UPS</t>
    </r>
    <r>
      <rPr>
        <sz val="9"/>
        <color theme="1"/>
        <rFont val="微软雅黑"/>
        <charset val="134"/>
      </rPr>
      <t>：USD120（按预估的16*14*12 inch/42lbs/2ctns）</t>
    </r>
  </si>
  <si>
    <r>
      <rPr>
        <b/>
        <sz val="9"/>
        <color theme="1"/>
        <rFont val="微软雅黑"/>
        <charset val="134"/>
      </rPr>
      <t>提货费用：</t>
    </r>
    <r>
      <rPr>
        <sz val="9"/>
        <color theme="1"/>
        <rFont val="微软雅黑"/>
        <charset val="134"/>
      </rPr>
      <t xml:space="preserve">
提货费：USD350
人工费：USD180
纸箱缠膜包装：USD60/个（货物安全考虑，硬盘需要发货人用专用的塑料盒和泡沫包好，我们只负责包最外层的纸箱包装）
</t>
    </r>
    <r>
      <rPr>
        <b/>
        <sz val="9"/>
        <color theme="1"/>
        <rFont val="微软雅黑"/>
        <charset val="134"/>
      </rPr>
      <t>达拉斯-迈阿密 拼车送货</t>
    </r>
    <r>
      <rPr>
        <sz val="9"/>
        <color theme="1"/>
        <rFont val="微软雅黑"/>
        <charset val="134"/>
      </rPr>
      <t>：USD585，拼车目前没有卸货上楼的服务，所以还需要倒短额外收USD50，送货上楼人工费：USD180（拼车涉及，快递不涉及此费用）</t>
    </r>
  </si>
  <si>
    <t>小计</t>
  </si>
  <si>
    <t>备注</t>
  </si>
  <si>
    <t>由于是硬盘存储产品，代理无法帮忙打内包装，需要客户自己先打好硬盘内包装，代理可以帮忙打外包装。
不含：保险费，拆箱回收垃圾的费用，如产生其他费用实报实销</t>
  </si>
  <si>
    <t>时效</t>
  </si>
  <si>
    <t>约8-12天</t>
  </si>
  <si>
    <t>按深圳-雅加达</t>
  </si>
  <si>
    <t>261kg预估</t>
  </si>
  <si>
    <t>CTS</t>
  </si>
  <si>
    <t xml:space="preserve">货交深圳
TO CGK 260K BY HK OZ
空运费RMB22.5/Kg  含中港，海运下，ICN中转
报关 RMB300+申报税实报实销
香港杂费实报实销
请贴好电池签交货
CGK local：
贸易代理：USD 350
Customs clearance: USD45 + USD0.12/kg
THC: USD0.25/kg, min USD45
Handling: USD45
Doc: USD15
EDI: USD20
Customs inspection: USD120
Document analyst/restriction/form origin COO: USD30(if any)
Insurance non claim ： USD 30 ( if any )   
Manifest + forwarder Charges: USD 50
Trucking: USD200/trip (Max 3 CBM )
人工费 :  USD120 (不含回收垃圾费用）
仓储费预估USD500
LS Application (Before Cargo arrange) ：USD 200/个(报价中不含)
LS Charges ： as per official receipt from LS Company in Indonesia
</t>
  </si>
  <si>
    <t>CGK/广州SQ/
CAN-SIN-CGK
Q100/19.5/KG
报关300元  制单80 舱单90
垫板实报实销
锂电池操作费600元
需提供MSDS以及鉴定报告</t>
  </si>
  <si>
    <t>深圳-香港过港费按2000预估
香港杂费实报实销(2000预估)
TO CGK 260K BY HK CX RMB28/KG
报关费RMB350
操作费rmb150
鉴定费rmb350
验电费rmb500
CGK local：
THC: USD0.45/kg
Doc: USD150/BL
Customs clearance: USD110
Trucking: USD280/truck
人工费：USD65/人
Storage: USD0.2/kgs/day
Customs inspection: USD0.25/KG
保险费：minUSD14.5/票
其他费用产生实报实销
垫付税金手续费2%，或汇率换算按1:15700</t>
  </si>
  <si>
    <t>不含保险费、待时费、查验相关、进口税费等</t>
  </si>
  <si>
    <t>进口税费+预估汇损</t>
  </si>
  <si>
    <r>
      <rPr>
        <sz val="11"/>
        <color theme="1"/>
        <rFont val="宋体"/>
        <charset val="134"/>
      </rPr>
      <t xml:space="preserve">服务器参考HS CODE : 84715090
BM（关税） : 0%
PPN（增值税）：12%
PPH （预付所得税）：2.5%
</t>
    </r>
    <r>
      <rPr>
        <b/>
        <sz val="11"/>
        <color rgb="FFFF0000"/>
        <rFont val="宋体"/>
        <charset val="134"/>
      </rPr>
      <t>进口限制：需要进口许可/装前检
(需要做好装前检再发运)</t>
    </r>
  </si>
  <si>
    <t>交换机参考HS CODE：85176249
BM 0%
PPN 12%
PPH 2.5%
no restriction</t>
  </si>
  <si>
    <t>软件参考HS CODE：8523.49.14
BM 0%
PPN 12%
PPH 2.5%
no restriction</t>
  </si>
  <si>
    <t>深圳-迈阿密</t>
  </si>
  <si>
    <t>重量：KG 预估</t>
  </si>
  <si>
    <t>深圳-迈阿密贸代方案：</t>
  </si>
  <si>
    <r>
      <rPr>
        <sz val="11"/>
        <color theme="1"/>
        <rFont val="宋体"/>
        <charset val="134"/>
        <scheme val="minor"/>
      </rPr>
      <t xml:space="preserve">
货交深圳 
TO MIA BY HK TK CNY49.5/kg
操作费RMB300+申报费预估200
MIA local
报关费USD150
贸易代理费USD200
航站费USD300
操作费USD45
送货费USD780 （预计，等晚上美国更新）
卸货上楼USD180
待时费USD75/hr，1小时免费--按照一小时预估
MPF: 0.3464%, MIN 32.64
DUTY: 7.5%+20% (目前，原产中国的情况，基于税号</t>
    </r>
    <r>
      <rPr>
        <b/>
        <sz val="11"/>
        <color rgb="FFFF0000"/>
        <rFont val="宋体"/>
        <charset val="134"/>
        <scheme val="minor"/>
      </rPr>
      <t>8471.490000</t>
    </r>
    <r>
      <rPr>
        <sz val="11"/>
        <color theme="1"/>
        <rFont val="宋体"/>
        <charset val="134"/>
        <scheme val="minor"/>
      </rPr>
      <t>)</t>
    </r>
  </si>
  <si>
    <t xml:space="preserve"> </t>
  </si>
  <si>
    <t>税金：实报实销，按照中国原产国</t>
  </si>
  <si>
    <t xml:space="preserve">20%+7.5%+0.3464% </t>
  </si>
  <si>
    <t>11月1日起，美国对中国原产征收100% 的关税，合计：127.8464%， 我们也在关注后续美金的税率。</t>
  </si>
  <si>
    <t>北京-深圳的转运费，北京提货费，包装费，保险费，目的港仓储费，节假日加急提货费，海关查验费，回收垃圾和拆托费用，香港杂费实报实销</t>
  </si>
  <si>
    <t>北京-深圳预计3-4天， 深圳-香港过港2-3天，香港-迈阿密4-5个工作日，总运输时间：10-12天</t>
  </si>
  <si>
    <t>重量：KG</t>
  </si>
  <si>
    <t>融迅预估</t>
  </si>
  <si>
    <t xml:space="preserve">法兰克福 - 迈阿密 600kg
贸易代理费：EUR680
打包装费用：EUR650/个木箱--- 至少需要两个木箱（德国打木箱的周期比较长，需要排期）
A/F:  转飞MIA / +500KG / EUR3.8/kg
Pick up: EUR580 + manpower EUR200
Handling: EUR60
Clearance: EUR85
THC: EUR0.22/kg, min EUR35
X-ray: EUR0.13/kg, min EUR35
AMS: EUR25
</t>
  </si>
  <si>
    <r>
      <rPr>
        <sz val="11"/>
        <color theme="1"/>
        <rFont val="宋体"/>
        <charset val="134"/>
        <scheme val="minor"/>
      </rPr>
      <t>MIA local
报关费USD150
贸易代理费USD200
航站费USD300
操作费USD45
送货费USD790 （这个地址有要求要24英尺带左门的小卡车，价格可能稍高一些）
卸货上楼USD250
待时费USD75/hr，1小时免费
MPF: 0.3464%, MIN 32.64
DUTY: 7.5%+20% (目前，原产中国的情况，基于税号</t>
    </r>
    <r>
      <rPr>
        <b/>
        <sz val="11"/>
        <color rgb="FFFF0000"/>
        <rFont val="宋体"/>
        <charset val="134"/>
        <scheme val="minor"/>
      </rPr>
      <t>8471.490000</t>
    </r>
    <r>
      <rPr>
        <sz val="11"/>
        <color theme="1"/>
        <rFont val="宋体"/>
        <charset val="134"/>
        <scheme val="minor"/>
      </rPr>
      <t>)</t>
    </r>
  </si>
  <si>
    <t>小计：（不含税）</t>
  </si>
  <si>
    <t>总计：（含税）</t>
  </si>
  <si>
    <t>保险费，海关查验费，目的港仓储费，停车费等杂费实报实销，回收垃圾和拆托费用，加急提货费</t>
  </si>
  <si>
    <t>欧洲打木箱预估2-3天，法兰克福-迈阿密5-7天，全程预计7-10天，海关查验顺延</t>
  </si>
  <si>
    <r>
      <rPr>
        <sz val="11"/>
        <rFont val="新細明體"/>
        <charset val="134"/>
      </rPr>
      <t>深圳</t>
    </r>
    <r>
      <rPr>
        <sz val="11"/>
        <rFont val="Arial"/>
        <charset val="134"/>
      </rPr>
      <t>-</t>
    </r>
    <r>
      <rPr>
        <sz val="11"/>
        <rFont val="新細明體"/>
        <charset val="134"/>
      </rPr>
      <t>墨西哥</t>
    </r>
  </si>
  <si>
    <r>
      <rPr>
        <sz val="11"/>
        <rFont val="Arial"/>
        <charset val="134"/>
      </rPr>
      <t>261kg</t>
    </r>
    <r>
      <rPr>
        <sz val="11"/>
        <rFont val="新細明體"/>
        <charset val="134"/>
      </rPr>
      <t>预估</t>
    </r>
  </si>
  <si>
    <r>
      <rPr>
        <sz val="11"/>
        <rFont val="新細明體"/>
        <charset val="134"/>
      </rPr>
      <t>瑞尔</t>
    </r>
    <r>
      <rPr>
        <sz val="11"/>
        <rFont val="Arial"/>
        <charset val="134"/>
      </rPr>
      <t>-</t>
    </r>
    <r>
      <rPr>
        <sz val="11"/>
        <rFont val="新細明體"/>
        <charset val="134"/>
      </rPr>
      <t>正清</t>
    </r>
    <r>
      <rPr>
        <sz val="11"/>
        <rFont val="Arial"/>
        <charset val="134"/>
      </rPr>
      <t>+</t>
    </r>
    <r>
      <rPr>
        <sz val="11"/>
        <rFont val="新細明體"/>
        <charset val="134"/>
      </rPr>
      <t>双清模式</t>
    </r>
  </si>
  <si>
    <r>
      <rPr>
        <sz val="11"/>
        <rFont val="新細明體"/>
        <charset val="134"/>
      </rPr>
      <t>天翔八方</t>
    </r>
    <r>
      <rPr>
        <sz val="11"/>
        <rFont val="Arial"/>
        <charset val="134"/>
      </rPr>
      <t>-</t>
    </r>
    <r>
      <rPr>
        <sz val="11"/>
        <rFont val="新細明體"/>
        <charset val="134"/>
      </rPr>
      <t>专线</t>
    </r>
  </si>
  <si>
    <r>
      <rPr>
        <sz val="11"/>
        <rFont val="新細明體"/>
        <charset val="134"/>
      </rPr>
      <t>空运费：</t>
    </r>
    <r>
      <rPr>
        <sz val="11"/>
        <rFont val="Arial"/>
        <charset val="134"/>
      </rPr>
      <t xml:space="preserve">RMB48/KG 
</t>
    </r>
    <r>
      <rPr>
        <sz val="11"/>
        <rFont val="新細明體"/>
        <charset val="134"/>
      </rPr>
      <t>报关飞：</t>
    </r>
    <r>
      <rPr>
        <sz val="11"/>
        <rFont val="Arial"/>
        <charset val="134"/>
      </rPr>
      <t xml:space="preserve">RMB500
</t>
    </r>
    <r>
      <rPr>
        <sz val="11"/>
        <rFont val="新細明體"/>
        <charset val="134"/>
      </rPr>
      <t>目的港双清派送费：</t>
    </r>
    <r>
      <rPr>
        <sz val="11"/>
        <rFont val="Arial"/>
        <charset val="134"/>
      </rPr>
      <t>RMB67000.</t>
    </r>
    <r>
      <rPr>
        <sz val="11"/>
        <rFont val="新細明體"/>
        <charset val="134"/>
      </rPr>
      <t xml:space="preserve">（含税）   如有地址看是否增加派送费   </t>
    </r>
  </si>
  <si>
    <r>
      <rPr>
        <sz val="11"/>
        <rFont val="新細明體"/>
        <charset val="134"/>
      </rPr>
      <t>空运敏感渠道本周是</t>
    </r>
    <r>
      <rPr>
        <sz val="11"/>
        <rFont val="Arial"/>
        <charset val="134"/>
      </rPr>
      <t>113/kg</t>
    </r>
    <r>
      <rPr>
        <sz val="11"/>
        <rFont val="新細明體"/>
        <charset val="134"/>
      </rPr>
      <t>，墨城内</t>
    </r>
    <r>
      <rPr>
        <sz val="11"/>
        <rFont val="Arial"/>
        <charset val="134"/>
      </rPr>
      <t xml:space="preserve"> </t>
    </r>
    <r>
      <rPr>
        <sz val="11"/>
        <rFont val="新細明體"/>
        <charset val="134"/>
      </rPr>
      <t>邮编</t>
    </r>
    <r>
      <rPr>
        <sz val="11"/>
        <rFont val="Arial"/>
        <charset val="134"/>
      </rPr>
      <t>15</t>
    </r>
    <r>
      <rPr>
        <sz val="11"/>
        <rFont val="新細明體"/>
        <charset val="134"/>
      </rPr>
      <t xml:space="preserve">内地址都是免派送费的，                           </t>
    </r>
    <r>
      <rPr>
        <sz val="11"/>
        <rFont val="宋体"/>
        <charset val="134"/>
      </rPr>
      <t>如有地址看是否增加派送费</t>
    </r>
  </si>
  <si>
    <t>回复要发票箱单，产品说明书报价</t>
  </si>
  <si>
    <t>小计：（含税）</t>
  </si>
  <si>
    <t>保险费，海关查验费，二次包装费，提货费</t>
  </si>
  <si>
    <t>保险费，二次包装费，海关查验费，提货费</t>
  </si>
  <si>
    <t>起飞后约7-9个工作日，海关查验顺延</t>
  </si>
  <si>
    <r>
      <rPr>
        <sz val="11"/>
        <rFont val="新細明體"/>
        <charset val="134"/>
      </rPr>
      <t>起飞后</t>
    </r>
    <r>
      <rPr>
        <sz val="11"/>
        <rFont val="Arial"/>
        <charset val="134"/>
      </rPr>
      <t>15-18</t>
    </r>
    <r>
      <rPr>
        <sz val="11"/>
        <rFont val="新細明體"/>
        <charset val="134"/>
      </rPr>
      <t>个工作日，海关查验顺延</t>
    </r>
  </si>
  <si>
    <t>进口许可证NOM和厂商品牌授权，发票，箱单</t>
  </si>
  <si>
    <t>尾端双清清关，没有海关文件</t>
  </si>
  <si>
    <t>价格本周有效</t>
  </si>
  <si>
    <t>税率：（瑞尔建议）</t>
  </si>
  <si>
    <t>Imprt IGI = cargo value x 15%</t>
  </si>
  <si>
    <t>Import DTA = cargo value x 0.8%</t>
  </si>
  <si>
    <t>Import IVA = ( cargo value + DTA+IGI) x 16%</t>
  </si>
  <si>
    <t>嘉里建议：（让嘉里今天在核实一下是否还有其他的杂税)</t>
  </si>
  <si>
    <t>网关</t>
  </si>
  <si>
    <t>香港-柬埔寨</t>
  </si>
  <si>
    <t>正清方案</t>
  </si>
  <si>
    <t>华贸</t>
  </si>
  <si>
    <t xml:space="preserve">A/F: CNY35.0/KG  最低计费45KG                               目的港操作费： CNY 1000.0                           操作费： USD  100.00                                      清关费： USD 140.00                                           送货费： USD 195.00                                   文件费：USD 300.00                                   </t>
  </si>
  <si>
    <t>税率：0+10%</t>
  </si>
  <si>
    <t>汇损：</t>
  </si>
  <si>
    <t>不含</t>
  </si>
  <si>
    <t>保险费，仓储费，拆托回收垃圾，待时费，香港提货费，停车费，登记费，杂费实报实销</t>
  </si>
  <si>
    <t>要电信部的许可证</t>
  </si>
  <si>
    <t>起飞5-7个工作日，海关查验顺延</t>
  </si>
  <si>
    <t>快递方案</t>
  </si>
  <si>
    <t>79*58*32</t>
  </si>
  <si>
    <t>亚鹏</t>
  </si>
  <si>
    <t>银顺达</t>
  </si>
  <si>
    <t>香港DHL：单价42/kg  时效预计3～6天左右
关税预付 150元
香港交货  登记费 ：100RMB/票
港发件操作费RMB 1/kg，最低操作费为RMB100/票                             偏远最低收费为RMB360元/票</t>
  </si>
  <si>
    <t xml:space="preserve">DHL :CNY 35/KG+220超重费                偏远：  CNY 300.00                           预付手续费150 税金实报实销       </t>
  </si>
  <si>
    <t>关税：0+10% 实报实销</t>
  </si>
  <si>
    <t>汇损：预估实报实销</t>
  </si>
  <si>
    <t>需要收货人配合清关并提供所需文件
不含：保险费，包装费，及海关查验产生的相关费用等，如产生其他费用实报实销，香港杂费实报实销，提货费，停车费等</t>
  </si>
  <si>
    <t>需要收货人配合清关并提供所需文件
不含：保险费，包装费，及海关查验产生的相关费用等，如产生其他费用实报实销，香港杂费实报实销，提货费，停车费，登记费等</t>
  </si>
  <si>
    <t>3-6工作日，如遇海关查验时间顺延</t>
  </si>
  <si>
    <t>5个工作日，如遇海关查验时间顺延</t>
  </si>
  <si>
    <t>税率</t>
  </si>
  <si>
    <r>
      <rPr>
        <sz val="9"/>
        <rFont val="微软雅黑"/>
        <charset val="134"/>
      </rPr>
      <t>诚哥建议税率：按</t>
    </r>
    <r>
      <rPr>
        <b/>
        <sz val="9"/>
        <rFont val="微软雅黑"/>
        <charset val="134"/>
      </rPr>
      <t>CIF货值</t>
    </r>
    <r>
      <rPr>
        <sz val="9"/>
        <rFont val="微软雅黑"/>
        <charset val="134"/>
      </rPr>
      <t>，关税0%，增值税10%，税金实报实销，以快递公司税单为准
有汇损，实报实销，以快递公司税单为准</t>
    </r>
  </si>
  <si>
    <t>快递货物，有时候海关会强制加收运费+保险征收税金，具体以快递公司税单回传为准。</t>
  </si>
  <si>
    <t>香港-泰国询价</t>
  </si>
  <si>
    <t>交换机+防火墙+模块</t>
  </si>
  <si>
    <t>华贸南通</t>
  </si>
  <si>
    <t xml:space="preserve">运费：CNY 20/KG                         始发站费用：CNY  2380                   朗华：CNY 2500    预估                  目的港清关： USD 100                         文件： USD 105.00               Terminal Fee: USD 0.35/KG               Delivery Charges : USD 350.00            卸货人工： USD 30.00/人--2人计算                                 仓储费： USD0.14/KG/DAYMINUSD20/DAY                                                                                                                  </t>
  </si>
  <si>
    <t xml:space="preserve">HK CX RMB 19.5/KG+验电 RMB 500 
报关 RMB300+申报税200 预估                         朗华：2500 预估
香港杂费实报实销
请贴好电池签交货
BKK local
Customs clearance: USD125/set（基于有收货人抬头）
THC: USD0.36/kg, min USD65
D/O: USD65/set
Delivery: USD270/truck（不含卸货上楼费用）
Handling: USD85/set
Storage: at cost
Duty Import Tax: 0% (HS Code: 851762) (8473.30.90)
Import VAT: 7%                                   卸货上楼： USD 180.00
</t>
  </si>
  <si>
    <t>小计：（不含税金+保险）</t>
  </si>
  <si>
    <t>税金：0+7% 实报实销</t>
  </si>
  <si>
    <t>总计：（含税金）</t>
  </si>
  <si>
    <r>
      <rPr>
        <sz val="11"/>
        <color theme="1"/>
        <rFont val="宋体"/>
        <charset val="134"/>
        <scheme val="minor"/>
      </rPr>
      <t xml:space="preserve">交换机，防火墙都需要办理NBTC 认证                                                                  办理NBTC 证书： 国内办证： 8500+VAT6  ，                                                    直接找泰国代理： USD 465.00/一个型号, 但是需要当地客户配合办理并提供授权，需要5个工作日左右，                           </t>
    </r>
    <r>
      <rPr>
        <sz val="11"/>
        <color rgb="FFFF0000"/>
        <rFont val="宋体"/>
        <charset val="134"/>
        <scheme val="minor"/>
      </rPr>
      <t xml:space="preserve">10个型号需要USD 4650    （10个）            需要客户授权，产品说明书，CE 报告                                                   </t>
    </r>
  </si>
  <si>
    <r>
      <rPr>
        <sz val="11"/>
        <color theme="1"/>
        <rFont val="宋体"/>
        <charset val="134"/>
        <scheme val="minor"/>
      </rPr>
      <t xml:space="preserve">交换机，防火墙都需要办理NBTC 认证                        办理NBTC 认证： 融迅 USD 1300.00/个                      如果含有模块，按照型号办理  10个认证                 </t>
    </r>
    <r>
      <rPr>
        <sz val="11"/>
        <color rgb="FFFF0000"/>
        <rFont val="宋体"/>
        <charset val="134"/>
        <scheme val="minor"/>
      </rPr>
      <t>认证费用： USD 13000 (10个）                         需要收货人办理进口许可证</t>
    </r>
    <r>
      <rPr>
        <sz val="11"/>
        <color theme="1"/>
        <rFont val="宋体"/>
        <charset val="134"/>
        <scheme val="minor"/>
      </rPr>
      <t xml:space="preserve">                                                     </t>
    </r>
  </si>
  <si>
    <t>起飞后5-7个工作日，海关查验顺延</t>
  </si>
  <si>
    <t>保险费，待时费，海关查验费，香港杂费实报实销</t>
  </si>
  <si>
    <t>保险费，待时费，海关查验费，香港杂费实报实销,仓储费，</t>
  </si>
  <si>
    <t>目前确认代理是有客户的授权的，如果超了12月发运，需要重新授权报关行，发运前安排.</t>
  </si>
  <si>
    <t>POA 所需资料如下：</t>
  </si>
  <si>
    <t>-  Company Certificate</t>
  </si>
  <si>
    <t>-  VAT Registration Certificate (Por.Por.20)</t>
  </si>
  <si>
    <t>- A copy of the authorized signatory’s identification card</t>
  </si>
  <si>
    <t>办理NBTC 需要的文件</t>
  </si>
  <si>
    <t>国内-西班牙 客户提供重量25KGS，以收到货具体重量为准</t>
  </si>
  <si>
    <t>国内-西班牙 
按客户提供重量25KGS</t>
  </si>
  <si>
    <t>货交深圳 25kg：运费CNY87/kg + 操作费CNY200
尾端当地物流派送，无卸货上楼/预约派送/指定签收单。
卸货上楼费预估500EUR，如需准确费用需要提供地址，代理要问那边有没有人工可以安排，西欧车队很古板</t>
  </si>
  <si>
    <t>按客户提供重量25KGS合计</t>
  </si>
  <si>
    <t>不含：南京提货费，二次包装费，保险费，存储费、送货时的卡车等待费、停车费等，如产生其他费用实报实销</t>
  </si>
  <si>
    <t>约10-15个工作日，如遇海关查验时间顺延</t>
  </si>
  <si>
    <t>参考税率： 西班牙21%</t>
  </si>
  <si>
    <t>柔佛-迈阿密 60硬盘</t>
  </si>
  <si>
    <t>融迅-贸易代理方案</t>
  </si>
  <si>
    <t>空运费: CI / KUL-TPE-DFW-MIA
+45KG   USD 7.6/kg
文件费:  USD25
报关费：USD35
THC: USD0.3/kg, min USD45
提货费: USD225
包装费及人工费： USD 100
贸易代理费：USD150/票
迈阿密local
报关费USD150
贸易代理费USD200
航站费USD300
操作费USD45
送货费USD380
卸货上楼USD180
待时费USD75/hr，1小时免费
关税垫付手续费 3.5% or MIN USD50 （超5w人民币需要预付）</t>
  </si>
  <si>
    <t>小计
(不含税金及保险费用)</t>
  </si>
  <si>
    <t>税金MPF:0.3464% MIN:USD 32.71</t>
  </si>
  <si>
    <t>合计</t>
  </si>
  <si>
    <r>
      <rPr>
        <b/>
        <sz val="9"/>
        <color rgb="FF000000"/>
        <rFont val="微软雅黑"/>
        <charset val="134"/>
      </rPr>
      <t>由于是硬盘存储产品，代理无法帮忙打内包装，需要客户自己先打好硬盘内包装，代理可以帮忙打外包装。</t>
    </r>
    <r>
      <rPr>
        <sz val="9"/>
        <color rgb="FF000000"/>
        <rFont val="微软雅黑"/>
        <charset val="134"/>
      </rPr>
      <t xml:space="preserve">
不含：国内提货费，保险费，仓储费，送货时的卡车等待费、停车费，及海关查验产生的相关费用等，如产生其他费用实报实销</t>
    </r>
  </si>
  <si>
    <t>价格有效期</t>
  </si>
  <si>
    <t>本周有效，具体价格及航班以出运前确认为准</t>
  </si>
  <si>
    <t>约8-10天，如遇海关查验时间顺延</t>
  </si>
  <si>
    <t>MPF 货值*0.3464%</t>
  </si>
  <si>
    <t>货值</t>
  </si>
  <si>
    <t>台中仓储 1100纸箱</t>
  </si>
  <si>
    <t>敦群運通股份有限公司</t>
  </si>
  <si>
    <t>康捷空北京-仅和康捷空上海有过合作，未和康捷空北京合作过</t>
  </si>
  <si>
    <t>台中仓储 1100箱</t>
  </si>
  <si>
    <t>1.仓租 : 
US$  0.4/CBM/天,可堆叠
0.7/CBM/天,不可堆叠
2.装卸柜费（进仓出仓各收一次）:
20' – US$200,人工费
40' -  US$290,人工费
3.堆高机使用费 : 
进仓 – US$ 6/CBM
出仓 – US$ 6/CBM
4.封膜费 : US$ 4/CBM</t>
  </si>
  <si>
    <r>
      <rPr>
        <sz val="9"/>
        <color theme="1"/>
        <rFont val="微软雅黑"/>
        <charset val="134"/>
      </rPr>
      <t xml:space="preserve">台中区有仓库。
货品：内衣（箱装）非保品 
作业需求：进口人工拆柜共约1,100箱，1柜1种品项，箱出 
存仓需求：预计放置10-15天 
Rate
仓储费用：
- 仓租费用：NTD：1 per carton per day 
- 进仓费用：NTD：12 per carton 
- 出仓费用：NTD：12 per carton 
</t>
    </r>
    <r>
      <rPr>
        <sz val="9"/>
        <color rgb="FFFF0000"/>
        <rFont val="微软雅黑"/>
        <charset val="134"/>
      </rPr>
      <t xml:space="preserve">备注：先设定收货方自派卡车，我方出货时不负责货物人工装车，须由载运司机自行搬进车厢 </t>
    </r>
    <r>
      <rPr>
        <sz val="9"/>
        <color theme="1"/>
        <rFont val="微软雅黑"/>
        <charset val="134"/>
      </rPr>
      <t xml:space="preserve">
人工拆柜：
- 20尺柜：每柜：NTD：5000 per 20FT 
- 40尺柜：每柜：NTD：6,500 per 40FT</t>
    </r>
  </si>
  <si>
    <t>卸柜费 USD210/20GP, USD320/40GP
入库费 USD10/PLT + USD1.5/ctn
出库费 USD10/PLT, USD1.5/ctn
文件费 USD3/per each stock list of inventroy
仓租 USD1/PLT/DAY
包膜费 USD3.5/plt
打托费 USD45/plt
注：
1、以上不含打板费用
2、入库费用的解释：
     USD10/plt，如果是库房负责拆柜的话，他们可以不用单独收取了；
     USD1.5/ctn ，这个费用是散箱摞放在库房指定的托盘上时产生的，正常是由送货司机安排，但由库房负责卸柜的话，就是库房人员来安排摞放纸箱到指定托盘，库房就会收取这项费用。
3、出库费用的解释：
     USD10/plt，货物打托出库时产生;
     USD1.5/ctn，散货出库时产生。
4、如果货物需要打托出库，包膜费和打托费都会产生，如有其他要求，另单独报价
5、不含其他库内操作，根据实际情况再单独报价</t>
  </si>
  <si>
    <t>不含：保险费，集装箱运输到仓库的费用、入库时码托盘的费用，如产生其他费用实报实销</t>
  </si>
  <si>
    <t>不含：保险费，集装箱运输到仓库的费用、入库时码托盘的费用，出库时装车的费用，如产生其他费用实报实销</t>
  </si>
  <si>
    <t>有些信息还未确认好，仅供参考
不含：保险费，集装箱运输到仓库的费用，出库时装车的费用，如产生其他费用实报实销</t>
  </si>
  <si>
    <t>国内-雅加达 按客户提供重量31KGS</t>
  </si>
  <si>
    <t>越海速达-雅加达-空运专线</t>
  </si>
  <si>
    <t>融迅-空运专线</t>
  </si>
  <si>
    <t>深圳-雅加达 空派单价120RMB/KG
雅加达预约500一票
如需上楼500一票</t>
  </si>
  <si>
    <t>货交深圳 -雅加达
运费 RMB102/kg
操作费 RMB200
预约派送+卸货 USD245
回收包装 USD90
高货值产品建议打木箱/木架</t>
  </si>
  <si>
    <t>按31KGS合计</t>
  </si>
  <si>
    <t>不含：国内提货费，二次包装费，保险费，存储费、送货时的卡车等待费、停车费等，如产生其他费用实报实销</t>
  </si>
  <si>
    <t>约6-8天，如遇海关查验时间顺延</t>
  </si>
  <si>
    <t>时效约6-8天，到海外仓后再转当地派送1-2天，如遇海关查验时间顺延</t>
  </si>
  <si>
    <t>赔付标准</t>
  </si>
  <si>
    <t>不退运费，按运费三倍赔偿。买保险全赔，按货值10%收取</t>
  </si>
  <si>
    <t>胡志明  客户提供重量32KG，木箱重量10KG</t>
  </si>
  <si>
    <t>越海速达-陆运专线</t>
  </si>
  <si>
    <t>融迅-陆运专线</t>
  </si>
  <si>
    <t>胡志明</t>
  </si>
  <si>
    <r>
      <t xml:space="preserve">深圳-胡志明 陆运单价45RMB/KG
</t>
    </r>
    <r>
      <rPr>
        <b/>
        <sz val="9"/>
        <color rgb="FF000000"/>
        <rFont val="微软雅黑"/>
        <charset val="134"/>
      </rPr>
      <t>陆运建议打木箱出</t>
    </r>
    <r>
      <rPr>
        <sz val="9"/>
        <color rgb="FF000000"/>
        <rFont val="微软雅黑"/>
        <charset val="134"/>
      </rPr>
      <t xml:space="preserve">
快递或本土派送公司派送，</t>
    </r>
    <r>
      <rPr>
        <b/>
        <sz val="9"/>
        <color rgb="FF000000"/>
        <rFont val="微软雅黑"/>
        <charset val="134"/>
      </rPr>
      <t>无预约备案及送货上楼</t>
    </r>
    <r>
      <rPr>
        <sz val="9"/>
        <color rgb="FF000000"/>
        <rFont val="微软雅黑"/>
        <charset val="134"/>
      </rPr>
      <t>，无指定签收单返还
如需上楼需找当地代理，按之前报价参考，成本约增加USD 220左右</t>
    </r>
  </si>
  <si>
    <t>货交深圳 -胡志明 
运费 RMB150 + RMB28/kg
操作费 RMB200
预约派送+卸货 USD220
回收包装 USD80</t>
  </si>
  <si>
    <t>按42KGS合计
（包含木箱重量10KG）</t>
  </si>
  <si>
    <t>不含：国内提货费，二次包装费，保险费，存储费等，如产生其他费用实报实销</t>
  </si>
  <si>
    <t>约10-14天，如遇海关查验时间顺延</t>
  </si>
  <si>
    <t>陆运目前查的比较严，正常时效2周左右，到海外仓后再转当地派送1-2天，如遇海关查验时间顺延</t>
  </si>
  <si>
    <t>首尔-北京  玩具 客户提供重量223.2KG</t>
  </si>
  <si>
    <t>瑞尔</t>
  </si>
  <si>
    <t>首尔-北京  230KGS</t>
  </si>
  <si>
    <r>
      <rPr>
        <sz val="9"/>
        <color rgb="FF000000"/>
        <rFont val="微软雅黑"/>
        <charset val="134"/>
      </rPr>
      <t>按普货操作，必须贴UN3481电池标签
空运费：USD3.7/KG，</t>
    </r>
    <r>
      <rPr>
        <sz val="9"/>
        <color rgb="FFFF0000"/>
        <rFont val="微软雅黑"/>
        <charset val="134"/>
      </rPr>
      <t>每天都有航班</t>
    </r>
    <r>
      <rPr>
        <sz val="9"/>
        <color rgb="FF000000"/>
        <rFont val="微软雅黑"/>
        <charset val="134"/>
      </rPr>
      <t xml:space="preserve">
local charge：USD350
报关费：MINUSD30 OR 货值*0.0015</t>
    </r>
  </si>
  <si>
    <r>
      <rPr>
        <sz val="9"/>
        <color rgb="FF000000"/>
        <rFont val="微软雅黑"/>
        <charset val="134"/>
      </rPr>
      <t xml:space="preserve">到北京,空运费价格更新
CA/ICN-PEK    +100kg    </t>
    </r>
    <r>
      <rPr>
        <sz val="9"/>
        <color rgb="FFFF0000"/>
        <rFont val="微软雅黑"/>
        <charset val="134"/>
      </rPr>
      <t>USD 2.4/KG，每天都有航班</t>
    </r>
    <r>
      <rPr>
        <sz val="9"/>
        <color rgb="FF000000"/>
        <rFont val="微软雅黑"/>
        <charset val="134"/>
      </rPr>
      <t xml:space="preserve">
到天津价格不变，到天津
KJ, KE/ICN-TSN   +100KG   USD 1.79/KG，</t>
    </r>
    <r>
      <rPr>
        <sz val="9"/>
        <color rgb="FFFF0000"/>
        <rFont val="微软雅黑"/>
        <charset val="134"/>
      </rPr>
      <t>周一没有航班，其余每天都有</t>
    </r>
    <r>
      <rPr>
        <sz val="9"/>
        <color rgb="FF000000"/>
        <rFont val="微软雅黑"/>
        <charset val="134"/>
      </rPr>
      <t xml:space="preserve">
DG charges: USD 65
Handling: USD 45
THC; USD 0.15/KG ,Min: USD 45
Export customs： Inv value x 0.0015, Min: USD 25
Pickup: USD 180 （不含上楼提货，及装车）
不上楼，一楼提货与装货，需要发货人一起协助装车，装车费用USD 100
不含仓储费，查验费，待时费等其他额外费用</t>
    </r>
  </si>
  <si>
    <t>不含：到达北京机场后的任何费用及操作时间，保险费，包装费，存储费，及海关查验产生的相关费用等，如产生其他费用实报实销</t>
  </si>
  <si>
    <t>不含：到达北京/天津机场后的任何费用及操作时间，保险费，包装费，存储费，及海关查验产生的相关费用等，如产生其他费用实报实销</t>
  </si>
  <si>
    <r>
      <rPr>
        <sz val="9"/>
        <color rgb="FFFF0000"/>
        <rFont val="微软雅黑"/>
        <charset val="134"/>
      </rPr>
      <t>到10月15日有效</t>
    </r>
    <r>
      <rPr>
        <sz val="9"/>
        <color rgb="FF000000"/>
        <rFont val="微软雅黑"/>
        <charset val="134"/>
      </rPr>
      <t>，具体价格及航班以出运前确认为准</t>
    </r>
  </si>
  <si>
    <r>
      <rPr>
        <sz val="9"/>
        <color rgb="FFFF0000"/>
        <rFont val="微软雅黑"/>
        <charset val="134"/>
      </rPr>
      <t>有效期到十月底，</t>
    </r>
    <r>
      <rPr>
        <sz val="9"/>
        <color rgb="FF000000"/>
        <rFont val="微软雅黑"/>
        <charset val="134"/>
      </rPr>
      <t>具体价格及航班以出运前确认为准</t>
    </r>
  </si>
  <si>
    <t>约3-5工作日左右，如遇海关查验时间顺延</t>
  </si>
  <si>
    <t>天津-巴拿马11个40尺高柜</t>
  </si>
  <si>
    <t>新华尼克-新代理 参考海运费</t>
  </si>
  <si>
    <t>天津--巴拿马 巴尔博亚(balboa)
10.17/10.24船 MSK 一截五开 釜山转 大约43天
海运费： USD 2400/40GP
港杂：RMB  314/40GP
THC: RMB  980/40GP
安保：RMB 15/40GP
CHC: RMB  50/40GP
预配舱单：RMB 100/BILL
VGM: RMB 20/Container
设备管理费：RMB 100/Container
文件费：RMB 450/BILL
电放费（if needs): RMB 350/BILL
报关费：RMB 200/BILL (5个HS CODE)
Balboa LOCAL:
DTHC ：USD 330/CNTR （参考，实报实销）
PORT CHARGES  : USD 135/CNTR
HANDLING : USD 180
DELIVERY: USD 1800/CNTR
CUSTOMS CLEARANCE ：
FROM USD 0.00 TO USD 5,000 ： USD 165
FROM USD 5,001 TO USD 10,000 : USD  195
FROM USD 10,001 AND UP : CIF X USD 0.0030 +USD 195(按USD195计算)
COLLECT FEE ：4.5% （Only applies if there are CC charges for the customer at destination）-预估中不含
WIRE/COURRIER ：USD 65/ PER TRANSACTION (IF NEED)</t>
  </si>
  <si>
    <t>天津--巴拿马 巴尔博亚(balboa)
10.24船 MSK 一截五开 宁波转 大约42天
海运费：USD2200/箱
local charge：RMB2100/箱
报关费：RMB200
装箱费：RMB950/箱
提货费：需要提供地址报价
目的港清关派送费费用
送货费:USD2700/箱
local charge：USD300
报关费;USDCIF*0.003+USD130(按USD130计算)</t>
  </si>
  <si>
    <t>天津--巴拿马MANZANILLO
海运费：CMA USD2724/40HQ</t>
  </si>
  <si>
    <t>预估运费</t>
  </si>
  <si>
    <t>参考进口税</t>
  </si>
  <si>
    <t>IMPORT TAX ：10% (DUTY) + 7% (ITBMS/VAT) + TASA: USD 110.00</t>
  </si>
  <si>
    <t>1.整体运输时间大概2个月左右</t>
  </si>
  <si>
    <t>2.价格有效期一周</t>
  </si>
  <si>
    <t>3.不含产装/提柜费、不含保险、不含巴拿马进口税费、堆存费、滞箱费、拆箱卸货费、及海关查验产生的相关费用等</t>
  </si>
  <si>
    <t>广州-印尼询价</t>
  </si>
  <si>
    <t>请查收以下，货交深圳-印尼阶梯成本，尾端当地物流派送，无指定签收单和送货上楼等，谢谢！</t>
  </si>
  <si>
    <t>（这四个地址都在泗水附近，离代理的海外仓比较远，如果单独派车的话价格会很高）</t>
  </si>
  <si>
    <t>货物信息</t>
  </si>
  <si>
    <t>运费</t>
  </si>
  <si>
    <t>操作费</t>
  </si>
  <si>
    <t>派送费（预估）</t>
  </si>
  <si>
    <t>台数</t>
  </si>
  <si>
    <t>计费重量</t>
  </si>
  <si>
    <t>STI / 65153</t>
  </si>
  <si>
    <t>ATI / 67162</t>
  </si>
  <si>
    <t>MTI / 61256</t>
  </si>
  <si>
    <t>GTI / 65153</t>
  </si>
  <si>
    <t>5台</t>
  </si>
  <si>
    <t>15kg</t>
  </si>
  <si>
    <t>CNY107/kg</t>
  </si>
  <si>
    <t>CNY200</t>
  </si>
  <si>
    <t>10台</t>
  </si>
  <si>
    <t>30kg</t>
  </si>
  <si>
    <t>CNY300</t>
  </si>
  <si>
    <t>20台</t>
  </si>
  <si>
    <t>60kg</t>
  </si>
  <si>
    <t>CNY105/kg</t>
  </si>
  <si>
    <t>CNY350</t>
  </si>
  <si>
    <t>50台</t>
  </si>
  <si>
    <t>150kg</t>
  </si>
  <si>
    <t>CNY104/kg</t>
  </si>
  <si>
    <t>CNY750</t>
  </si>
  <si>
    <t>CNY700</t>
  </si>
  <si>
    <t>100台</t>
  </si>
  <si>
    <t>300kg</t>
  </si>
  <si>
    <t>CNY103/kg</t>
  </si>
  <si>
    <t>CNY1500</t>
  </si>
  <si>
    <t>CNY1300</t>
  </si>
  <si>
    <t>深圳-雅加达海外仓大概3-5个工作日</t>
  </si>
  <si>
    <t>大概3-6个工作日</t>
  </si>
  <si>
    <t>参考费用如下，需要提供具体地址确认：</t>
  </si>
  <si>
    <t>鸿飞越 (1:200)</t>
  </si>
  <si>
    <t>嘉鸿(1:200)</t>
  </si>
  <si>
    <t>沛达捷运 (1:167)</t>
  </si>
  <si>
    <t>海阳中港 (1:200)</t>
  </si>
  <si>
    <t>报关方式</t>
  </si>
  <si>
    <t>品牌快件</t>
  </si>
  <si>
    <t>运输方式</t>
  </si>
  <si>
    <t>陆运/海运</t>
  </si>
  <si>
    <t>海运拼柜</t>
  </si>
  <si>
    <t>过港费</t>
  </si>
  <si>
    <t>最低收费</t>
  </si>
  <si>
    <t>200元/票</t>
  </si>
  <si>
    <t>300元/票</t>
  </si>
  <si>
    <t>100元/票</t>
  </si>
  <si>
    <t>单公斤过港费</t>
  </si>
  <si>
    <t>3.0元/kg</t>
  </si>
  <si>
    <t>2.5元/kg</t>
  </si>
  <si>
    <t>2元/kg</t>
  </si>
  <si>
    <t>1.5元/kg</t>
  </si>
  <si>
    <t>货物超长费(单边超两米)(如有)</t>
  </si>
  <si>
    <t>报关处理费</t>
  </si>
  <si>
    <t>派送费</t>
  </si>
  <si>
    <t>350元/票</t>
  </si>
  <si>
    <t>200元至280/票（看地址）</t>
  </si>
  <si>
    <t>单公斤派送费</t>
  </si>
  <si>
    <t>350元(含500kg) + 超过500kg部分：0.5/kg</t>
  </si>
  <si>
    <t>350元(含500kg) + 超过500kg部分：0.4/kg</t>
  </si>
  <si>
    <t>300元(含500kg) + 超过500kg部分：散货按0.3/KG，50/CBM或3元/件取大收取</t>
  </si>
  <si>
    <t>280元(含300kg) + 超过300kg部分: 0.3/kg</t>
  </si>
  <si>
    <t>偏远费+卸车费+上楼</t>
  </si>
  <si>
    <t>实报实销，需提供货物包装尺寸，具体重量，及地址确认</t>
  </si>
  <si>
    <t>香港杂费(实报实销)</t>
  </si>
  <si>
    <t>入仓费登记费停车费等需实报实销</t>
  </si>
  <si>
    <t>1、海运过港时效：交深圳仓后3-4个工作日派送；</t>
  </si>
  <si>
    <t>2、以上费用币种均为人民币，不含保险费；</t>
  </si>
  <si>
    <t>3、品牌物品如遇海关查验有扣货风险，之前处理清款看如需海关查验+10个工作日左右；</t>
  </si>
  <si>
    <t>4、以上均按公斤报价，如果是泡货则按体积重量泽大计费。</t>
  </si>
  <si>
    <t>香港-印度小货的快递价格：</t>
  </si>
  <si>
    <t>银顺达的成本先参考：</t>
  </si>
  <si>
    <t>货交香港，入仓杂费等实报实销</t>
  </si>
  <si>
    <t>DHL运费：CNY 1080+香港交货操作费200，起飞后5天左右到港，尾程清关交税收货人负责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</si>
</sst>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;[$CNY]\ \-#,##0.00"/>
    <numFmt numFmtId="177" formatCode="[$USD]\ #,##0.00;[$USD]\ \-#,##0.00"/>
    <numFmt numFmtId="178" formatCode="&quot;US$&quot;#,##0.00;\-&quot;US$&quot;#,##0.00"/>
    <numFmt numFmtId="179" formatCode="[$COP]\ #,##0.00;[$COP]\ \-#,##0.00"/>
  </numFmts>
  <fonts count="44">
    <font>
      <sz val="11"/>
      <color theme="1"/>
      <name val="宋体"/>
      <charset val="134"/>
      <scheme val="minor"/>
    </font>
    <font>
      <b/>
      <sz val="10.5"/>
      <color theme="1"/>
      <name val="等线"/>
      <charset val="134"/>
    </font>
    <font>
      <b/>
      <sz val="11"/>
      <color theme="1"/>
      <name val="等线"/>
      <charset val="134"/>
    </font>
    <font>
      <sz val="10.5"/>
      <color theme="1"/>
      <name val="等线"/>
      <charset val="134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2"/>
      <name val="新細明體"/>
      <charset val="134"/>
    </font>
    <font>
      <sz val="11"/>
      <name val="新細明體"/>
      <charset val="134"/>
    </font>
    <font>
      <sz val="11"/>
      <name val="Arial"/>
      <charset val="134"/>
    </font>
    <font>
      <sz val="11"/>
      <name val="宋体"/>
      <charset val="134"/>
    </font>
    <font>
      <b/>
      <sz val="12"/>
      <color rgb="FFFF0000"/>
      <name val="新細明體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9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5" borderId="3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0" borderId="40" applyNumberFormat="0" applyFill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42" applyNumberFormat="0" applyAlignment="0" applyProtection="0">
      <alignment vertical="center"/>
    </xf>
    <xf numFmtId="0" fontId="31" fillId="7" borderId="43" applyNumberFormat="0" applyAlignment="0" applyProtection="0">
      <alignment vertical="center"/>
    </xf>
    <xf numFmtId="0" fontId="32" fillId="7" borderId="42" applyNumberFormat="0" applyAlignment="0" applyProtection="0">
      <alignment vertical="center"/>
    </xf>
    <xf numFmtId="0" fontId="33" fillId="8" borderId="44" applyNumberFormat="0" applyAlignment="0" applyProtection="0">
      <alignment vertical="center"/>
    </xf>
    <xf numFmtId="0" fontId="34" fillId="0" borderId="45" applyNumberFormat="0" applyFill="0" applyAlignment="0" applyProtection="0">
      <alignment vertical="center"/>
    </xf>
    <xf numFmtId="0" fontId="35" fillId="0" borderId="46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30" xfId="0" applyBorder="1">
      <alignment vertical="center"/>
    </xf>
    <xf numFmtId="0" fontId="0" fillId="0" borderId="30" xfId="0" applyBorder="1" applyAlignment="1">
      <alignment vertical="center" wrapText="1"/>
    </xf>
    <xf numFmtId="176" fontId="7" fillId="0" borderId="30" xfId="0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8" fillId="3" borderId="23" xfId="0" applyFont="1" applyFill="1" applyBorder="1" applyAlignment="1">
      <alignment horizontal="left" vertical="center"/>
    </xf>
    <xf numFmtId="0" fontId="8" fillId="3" borderId="23" xfId="0" applyFont="1" applyFill="1" applyBorder="1">
      <alignment vertical="center"/>
    </xf>
    <xf numFmtId="0" fontId="8" fillId="3" borderId="23" xfId="0" applyFont="1" applyFill="1" applyBorder="1" applyAlignment="1">
      <alignment vertical="center" wrapText="1"/>
    </xf>
    <xf numFmtId="0" fontId="9" fillId="3" borderId="23" xfId="0" applyFont="1" applyFill="1" applyBorder="1" applyAlignment="1">
      <alignment vertical="center" wrapText="1"/>
    </xf>
    <xf numFmtId="0" fontId="8" fillId="3" borderId="31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3" borderId="34" xfId="0" applyFont="1" applyFill="1" applyBorder="1">
      <alignment vertical="center"/>
    </xf>
    <xf numFmtId="0" fontId="10" fillId="0" borderId="35" xfId="0" applyFont="1" applyBorder="1">
      <alignment vertical="center"/>
    </xf>
    <xf numFmtId="0" fontId="10" fillId="0" borderId="36" xfId="0" applyFont="1" applyBorder="1" applyAlignment="1">
      <alignment vertical="center" wrapText="1"/>
    </xf>
    <xf numFmtId="176" fontId="8" fillId="3" borderId="23" xfId="0" applyNumberFormat="1" applyFont="1" applyFill="1" applyBorder="1" applyAlignment="1">
      <alignment horizontal="left" vertical="top" wrapText="1"/>
    </xf>
    <xf numFmtId="0" fontId="10" fillId="0" borderId="36" xfId="0" applyFont="1" applyBorder="1">
      <alignment vertical="center"/>
    </xf>
    <xf numFmtId="0" fontId="10" fillId="0" borderId="37" xfId="0" applyFont="1" applyBorder="1">
      <alignment vertical="center"/>
    </xf>
    <xf numFmtId="0" fontId="10" fillId="0" borderId="30" xfId="0" applyFont="1" applyBorder="1" applyAlignment="1">
      <alignment vertical="center" wrapText="1"/>
    </xf>
    <xf numFmtId="177" fontId="8" fillId="3" borderId="23" xfId="0" applyNumberFormat="1" applyFont="1" applyFill="1" applyBorder="1" applyAlignment="1">
      <alignment horizontal="left" vertical="top" wrapText="1"/>
    </xf>
    <xf numFmtId="177" fontId="8" fillId="3" borderId="23" xfId="0" applyNumberFormat="1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vertical="center" wrapText="1"/>
    </xf>
    <xf numFmtId="177" fontId="11" fillId="2" borderId="23" xfId="0" applyNumberFormat="1" applyFont="1" applyFill="1" applyBorder="1" applyAlignment="1">
      <alignment horizontal="left" vertical="top" wrapText="1"/>
    </xf>
    <xf numFmtId="0" fontId="11" fillId="3" borderId="23" xfId="0" applyFont="1" applyFill="1" applyBorder="1" applyAlignment="1">
      <alignment vertical="center" wrapText="1"/>
    </xf>
    <xf numFmtId="0" fontId="10" fillId="4" borderId="38" xfId="0" applyFont="1" applyFill="1" applyBorder="1" applyAlignment="1">
      <alignment horizontal="left" vertical="center" wrapText="1"/>
    </xf>
    <xf numFmtId="0" fontId="10" fillId="4" borderId="32" xfId="0" applyFont="1" applyFill="1" applyBorder="1" applyAlignment="1">
      <alignment horizontal="left" vertical="center" wrapText="1"/>
    </xf>
    <xf numFmtId="0" fontId="10" fillId="4" borderId="30" xfId="0" applyFont="1" applyFill="1" applyBorder="1" applyAlignment="1">
      <alignment vertical="center"/>
    </xf>
    <xf numFmtId="0" fontId="10" fillId="0" borderId="30" xfId="0" applyFont="1" applyBorder="1" applyAlignment="1">
      <alignment horizontal="left" vertical="center"/>
    </xf>
    <xf numFmtId="0" fontId="10" fillId="4" borderId="30" xfId="0" applyFont="1" applyFill="1" applyBorder="1" applyAlignment="1">
      <alignment vertical="center" wrapText="1"/>
    </xf>
    <xf numFmtId="0" fontId="12" fillId="4" borderId="30" xfId="0" applyFont="1" applyFill="1" applyBorder="1" applyAlignment="1">
      <alignment vertical="center" wrapText="1"/>
    </xf>
    <xf numFmtId="0" fontId="12" fillId="0" borderId="30" xfId="0" applyFont="1" applyBorder="1" applyAlignment="1">
      <alignment horizontal="left" vertical="center" wrapText="1"/>
    </xf>
    <xf numFmtId="0" fontId="10" fillId="0" borderId="30" xfId="0" applyFont="1" applyFill="1" applyBorder="1" applyAlignment="1">
      <alignment vertical="center" wrapText="1"/>
    </xf>
    <xf numFmtId="177" fontId="10" fillId="4" borderId="30" xfId="0" applyNumberFormat="1" applyFont="1" applyFill="1" applyBorder="1" applyAlignment="1">
      <alignment vertical="center" wrapText="1"/>
    </xf>
    <xf numFmtId="177" fontId="10" fillId="4" borderId="30" xfId="0" applyNumberFormat="1" applyFont="1" applyFill="1" applyBorder="1" applyAlignment="1">
      <alignment horizontal="right" vertical="center" wrapText="1"/>
    </xf>
    <xf numFmtId="0" fontId="13" fillId="4" borderId="30" xfId="0" applyFont="1" applyFill="1" applyBorder="1" applyAlignment="1">
      <alignment horizontal="left" vertical="center"/>
    </xf>
    <xf numFmtId="0" fontId="10" fillId="0" borderId="30" xfId="0" applyFont="1" applyBorder="1" applyAlignment="1">
      <alignment horizontal="left" vertical="center" wrapText="1"/>
    </xf>
    <xf numFmtId="178" fontId="0" fillId="0" borderId="0" xfId="0" applyNumberFormat="1">
      <alignment vertical="center"/>
    </xf>
    <xf numFmtId="0" fontId="0" fillId="0" borderId="30" xfId="0" applyBorder="1" applyAlignment="1">
      <alignment horizontal="left" vertical="center"/>
    </xf>
    <xf numFmtId="0" fontId="0" fillId="0" borderId="30" xfId="0" applyFont="1" applyBorder="1" applyAlignment="1">
      <alignment vertical="top" wrapText="1"/>
    </xf>
    <xf numFmtId="176" fontId="0" fillId="0" borderId="30" xfId="0" applyNumberFormat="1" applyBorder="1" applyAlignment="1">
      <alignment horizontal="left" vertical="center"/>
    </xf>
    <xf numFmtId="0" fontId="0" fillId="2" borderId="30" xfId="0" applyFill="1" applyBorder="1">
      <alignment vertical="center"/>
    </xf>
    <xf numFmtId="176" fontId="0" fillId="2" borderId="30" xfId="0" applyNumberFormat="1" applyFill="1" applyBorder="1" applyAlignment="1">
      <alignment horizontal="left" vertical="center"/>
    </xf>
    <xf numFmtId="176" fontId="0" fillId="0" borderId="30" xfId="0" applyNumberFormat="1" applyFont="1" applyBorder="1" applyAlignment="1">
      <alignment vertical="top" wrapText="1"/>
    </xf>
    <xf numFmtId="178" fontId="0" fillId="0" borderId="30" xfId="0" applyNumberFormat="1" applyBorder="1" applyAlignment="1">
      <alignment horizontal="left" vertical="center"/>
    </xf>
    <xf numFmtId="176" fontId="7" fillId="2" borderId="30" xfId="0" applyNumberFormat="1" applyFont="1" applyFill="1" applyBorder="1" applyAlignment="1">
      <alignment horizontal="left" vertical="center"/>
    </xf>
    <xf numFmtId="178" fontId="0" fillId="0" borderId="30" xfId="0" applyNumberFormat="1" applyBorder="1">
      <alignment vertical="center"/>
    </xf>
    <xf numFmtId="0" fontId="7" fillId="2" borderId="30" xfId="0" applyFont="1" applyFill="1" applyBorder="1">
      <alignment vertical="center"/>
    </xf>
    <xf numFmtId="0" fontId="13" fillId="4" borderId="30" xfId="0" applyFont="1" applyFill="1" applyBorder="1" applyAlignment="1">
      <alignment vertical="center" wrapText="1"/>
    </xf>
    <xf numFmtId="0" fontId="13" fillId="4" borderId="30" xfId="0" applyFont="1" applyFill="1" applyBorder="1" applyAlignment="1">
      <alignment vertical="center"/>
    </xf>
    <xf numFmtId="0" fontId="13" fillId="4" borderId="30" xfId="0" applyFont="1" applyFill="1" applyBorder="1" applyAlignment="1">
      <alignment horizontal="left" vertical="center" wrapText="1"/>
    </xf>
    <xf numFmtId="0" fontId="14" fillId="0" borderId="0" xfId="0" applyFont="1" applyFill="1" applyAlignment="1"/>
    <xf numFmtId="0" fontId="15" fillId="0" borderId="30" xfId="0" applyFont="1" applyFill="1" applyBorder="1" applyAlignment="1">
      <alignment horizontal="left" vertical="center"/>
    </xf>
    <xf numFmtId="0" fontId="16" fillId="0" borderId="30" xfId="0" applyFont="1" applyFill="1" applyBorder="1" applyAlignment="1">
      <alignment horizontal="left" vertical="top"/>
    </xf>
    <xf numFmtId="0" fontId="16" fillId="0" borderId="30" xfId="0" applyFont="1" applyFill="1" applyBorder="1" applyAlignment="1"/>
    <xf numFmtId="0" fontId="14" fillId="0" borderId="30" xfId="0" applyFont="1" applyFill="1" applyBorder="1" applyAlignment="1"/>
    <xf numFmtId="0" fontId="15" fillId="0" borderId="30" xfId="0" applyFont="1" applyFill="1" applyBorder="1" applyAlignment="1">
      <alignment horizontal="left" vertical="top"/>
    </xf>
    <xf numFmtId="0" fontId="15" fillId="0" borderId="30" xfId="0" applyFont="1" applyFill="1" applyBorder="1" applyAlignment="1">
      <alignment vertical="top"/>
    </xf>
    <xf numFmtId="0" fontId="14" fillId="0" borderId="30" xfId="0" applyFont="1" applyFill="1" applyBorder="1" applyAlignment="1">
      <alignment horizontal="center" vertical="top"/>
    </xf>
    <xf numFmtId="0" fontId="15" fillId="0" borderId="30" xfId="0" applyFont="1" applyFill="1" applyBorder="1" applyAlignment="1">
      <alignment horizontal="left" vertical="top" wrapText="1"/>
    </xf>
    <xf numFmtId="0" fontId="15" fillId="0" borderId="30" xfId="0" applyFont="1" applyFill="1" applyBorder="1" applyAlignment="1">
      <alignment vertical="top" wrapText="1"/>
    </xf>
    <xf numFmtId="0" fontId="14" fillId="0" borderId="30" xfId="0" applyFont="1" applyFill="1" applyBorder="1" applyAlignment="1">
      <alignment vertical="top" wrapText="1"/>
    </xf>
    <xf numFmtId="176" fontId="16" fillId="0" borderId="30" xfId="0" applyNumberFormat="1" applyFont="1" applyFill="1" applyBorder="1" applyAlignment="1">
      <alignment horizontal="left" vertical="top"/>
    </xf>
    <xf numFmtId="0" fontId="14" fillId="0" borderId="30" xfId="0" applyFont="1" applyFill="1" applyBorder="1" applyAlignment="1">
      <alignment vertical="top"/>
    </xf>
    <xf numFmtId="179" fontId="15" fillId="0" borderId="30" xfId="0" applyNumberFormat="1" applyFont="1" applyFill="1" applyBorder="1" applyAlignment="1">
      <alignment vertical="top" wrapText="1"/>
    </xf>
    <xf numFmtId="179" fontId="17" fillId="0" borderId="30" xfId="0" applyNumberFormat="1" applyFont="1" applyFill="1" applyBorder="1" applyAlignment="1">
      <alignment horizontal="left" vertical="top" wrapText="1"/>
    </xf>
    <xf numFmtId="179" fontId="14" fillId="0" borderId="30" xfId="0" applyNumberFormat="1" applyFont="1" applyFill="1" applyBorder="1" applyAlignment="1">
      <alignment horizontal="left"/>
    </xf>
    <xf numFmtId="179" fontId="14" fillId="0" borderId="38" xfId="0" applyNumberFormat="1" applyFont="1" applyFill="1" applyBorder="1" applyAlignment="1">
      <alignment horizontal="left" wrapText="1"/>
    </xf>
    <xf numFmtId="179" fontId="14" fillId="0" borderId="32" xfId="0" applyNumberFormat="1" applyFont="1" applyFill="1" applyBorder="1" applyAlignment="1">
      <alignment horizontal="left" wrapText="1"/>
    </xf>
    <xf numFmtId="179" fontId="14" fillId="0" borderId="33" xfId="0" applyNumberFormat="1" applyFont="1" applyFill="1" applyBorder="1" applyAlignment="1">
      <alignment horizontal="left" wrapText="1"/>
    </xf>
    <xf numFmtId="179" fontId="14" fillId="0" borderId="0" xfId="0" applyNumberFormat="1" applyFont="1" applyFill="1" applyAlignment="1">
      <alignment horizontal="left"/>
    </xf>
    <xf numFmtId="0" fontId="18" fillId="0" borderId="0" xfId="0" applyFont="1" applyFill="1" applyAlignment="1"/>
    <xf numFmtId="0" fontId="11" fillId="0" borderId="0" xfId="0" applyFont="1" applyFill="1" applyAlignment="1"/>
    <xf numFmtId="7" fontId="0" fillId="0" borderId="30" xfId="0" applyNumberFormat="1" applyBorder="1">
      <alignment vertical="center"/>
    </xf>
    <xf numFmtId="0" fontId="0" fillId="0" borderId="30" xfId="0" applyBorder="1" applyAlignment="1">
      <alignment horizontal="center" vertical="center"/>
    </xf>
    <xf numFmtId="0" fontId="19" fillId="0" borderId="0" xfId="0" applyFont="1">
      <alignment vertical="center"/>
    </xf>
    <xf numFmtId="0" fontId="17" fillId="0" borderId="0" xfId="0" applyFont="1" applyFill="1" applyAlignment="1"/>
    <xf numFmtId="0" fontId="17" fillId="0" borderId="30" xfId="0" applyFont="1" applyFill="1" applyBorder="1" applyAlignment="1"/>
    <xf numFmtId="0" fontId="6" fillId="0" borderId="30" xfId="0" applyFont="1" applyFill="1" applyBorder="1" applyAlignment="1">
      <alignment vertical="center"/>
    </xf>
    <xf numFmtId="0" fontId="17" fillId="0" borderId="30" xfId="0" applyFont="1" applyFill="1" applyBorder="1" applyAlignment="1">
      <alignment vertical="center"/>
    </xf>
    <xf numFmtId="0" fontId="17" fillId="0" borderId="30" xfId="0" applyFont="1" applyFill="1" applyBorder="1" applyAlignment="1">
      <alignment vertical="top" wrapText="1"/>
    </xf>
    <xf numFmtId="0" fontId="6" fillId="0" borderId="30" xfId="0" applyFont="1" applyFill="1" applyBorder="1" applyAlignment="1">
      <alignment vertical="center" wrapText="1"/>
    </xf>
    <xf numFmtId="0" fontId="17" fillId="0" borderId="0" xfId="0" applyFont="1" applyFill="1" applyAlignment="1">
      <alignment wrapText="1"/>
    </xf>
    <xf numFmtId="176" fontId="20" fillId="0" borderId="30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7" fontId="6" fillId="0" borderId="0" xfId="0" applyNumberFormat="1" applyFont="1" applyFill="1" applyAlignment="1">
      <alignment horizontal="left" vertical="center" wrapText="1"/>
    </xf>
    <xf numFmtId="0" fontId="17" fillId="0" borderId="0" xfId="0" applyFont="1" applyFill="1" applyAlignment="1">
      <alignment vertical="center" wrapText="1"/>
    </xf>
    <xf numFmtId="0" fontId="0" fillId="0" borderId="38" xfId="0" applyFont="1" applyFill="1" applyBorder="1" applyAlignment="1">
      <alignment vertical="center"/>
    </xf>
    <xf numFmtId="0" fontId="0" fillId="0" borderId="30" xfId="0" applyFont="1" applyFill="1" applyBorder="1" applyAlignment="1">
      <alignment vertical="center"/>
    </xf>
    <xf numFmtId="0" fontId="21" fillId="0" borderId="0" xfId="0" applyFo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horizontal="left" vertical="center"/>
    </xf>
    <xf numFmtId="0" fontId="0" fillId="0" borderId="3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30" xfId="0" applyFont="1" applyFill="1" applyBorder="1" applyAlignment="1">
      <alignment vertical="center"/>
    </xf>
    <xf numFmtId="176" fontId="7" fillId="0" borderId="30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www.wps.cn/officeDocument/2020/cellImage" Target="cellimag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3</xdr:col>
          <xdr:colOff>238125</xdr:colOff>
          <xdr:row>31</xdr:row>
          <xdr:rowOff>152400</xdr:rowOff>
        </xdr:to>
        <xdr:sp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1234440" y="4937760"/>
              <a:ext cx="855345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26</xdr:row>
          <xdr:rowOff>76200</xdr:rowOff>
        </xdr:from>
        <xdr:to>
          <xdr:col>5</xdr:col>
          <xdr:colOff>552450</xdr:colOff>
          <xdr:row>31</xdr:row>
          <xdr:rowOff>57150</xdr:rowOff>
        </xdr:to>
        <xdr:sp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2783205" y="4831080"/>
              <a:ext cx="855345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26</xdr:row>
          <xdr:rowOff>38100</xdr:rowOff>
        </xdr:from>
        <xdr:to>
          <xdr:col>8</xdr:col>
          <xdr:colOff>247650</xdr:colOff>
          <xdr:row>31</xdr:row>
          <xdr:rowOff>19050</xdr:rowOff>
        </xdr:to>
        <xdr:sp>
          <xdr:nvSpPr>
            <xdr:cNvPr id="7171" name="Object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4330065" y="4792980"/>
              <a:ext cx="855345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502920</xdr:colOff>
      <xdr:row>2</xdr:row>
      <xdr:rowOff>2679700</xdr:rowOff>
    </xdr:from>
    <xdr:to>
      <xdr:col>11</xdr:col>
      <xdr:colOff>474345</xdr:colOff>
      <xdr:row>4</xdr:row>
      <xdr:rowOff>358775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62700" y="3045460"/>
          <a:ext cx="4238625" cy="136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15240</xdr:colOff>
      <xdr:row>4</xdr:row>
      <xdr:rowOff>1577340</xdr:rowOff>
    </xdr:from>
    <xdr:to>
      <xdr:col>10</xdr:col>
      <xdr:colOff>596265</xdr:colOff>
      <xdr:row>6</xdr:row>
      <xdr:rowOff>94615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0" y="4648200"/>
          <a:ext cx="4238625" cy="136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16</xdr:row>
      <xdr:rowOff>167640</xdr:rowOff>
    </xdr:from>
    <xdr:to>
      <xdr:col>13</xdr:col>
      <xdr:colOff>71120</xdr:colOff>
      <xdr:row>32</xdr:row>
      <xdr:rowOff>45720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941060"/>
          <a:ext cx="13592175" cy="3048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320040</xdr:colOff>
      <xdr:row>5</xdr:row>
      <xdr:rowOff>256540</xdr:rowOff>
    </xdr:from>
    <xdr:to>
      <xdr:col>5</xdr:col>
      <xdr:colOff>602615</xdr:colOff>
      <xdr:row>7</xdr:row>
      <xdr:rowOff>145415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34940" y="3256280"/>
          <a:ext cx="404812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533400</xdr:colOff>
      <xdr:row>26</xdr:row>
      <xdr:rowOff>171450</xdr:rowOff>
    </xdr:from>
    <xdr:to>
      <xdr:col>10</xdr:col>
      <xdr:colOff>257175</xdr:colOff>
      <xdr:row>27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94650" y="10367010"/>
          <a:ext cx="3990975" cy="20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18</xdr:col>
      <xdr:colOff>474980</xdr:colOff>
      <xdr:row>16</xdr:row>
      <xdr:rowOff>64135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22920" y="4480560"/>
          <a:ext cx="9009380" cy="437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</xdr:col>
      <xdr:colOff>2263140</xdr:colOff>
      <xdr:row>39</xdr:row>
      <xdr:rowOff>51435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702800"/>
          <a:ext cx="6477000" cy="334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WB\AppData\Local\Netease\MailMaster\view\4\A102500\&#21271;&#20140;&amp;&#27861;&#20848;&#20811;&#31119;-&#36808;&#38463;&#23494;&#35810;&#20215;%2010.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WB\AppData\Local\Netease\MailMaster\view\4\A103393\CI&amp;PL--&#21360;&#23612;&#25104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货物信息"/>
    </sheetNames>
    <sheetDataSet>
      <sheetData sheetId="0">
        <row r="2">
          <cell r="I2">
            <v>190000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I-"/>
      <sheetName val="packing list "/>
    </sheetNames>
    <sheetDataSet>
      <sheetData sheetId="0">
        <row r="27">
          <cell r="I27">
            <v>6862146.25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I5" sqref="I5"/>
    </sheetView>
  </sheetViews>
  <sheetFormatPr defaultColWidth="9" defaultRowHeight="14.4" outlineLevelCol="2"/>
  <cols>
    <col min="1" max="1" width="14.6666666666667" customWidth="1"/>
    <col min="2" max="2" width="51" customWidth="1"/>
    <col min="3" max="3" width="17.5555555555556" customWidth="1"/>
  </cols>
  <sheetData>
    <row r="1" spans="1:3">
      <c r="A1" s="133" t="s">
        <v>0</v>
      </c>
      <c r="B1" s="133"/>
      <c r="C1" s="133"/>
    </row>
    <row r="2" spans="1:3">
      <c r="A2" s="133" t="s">
        <v>1</v>
      </c>
      <c r="B2" s="133"/>
      <c r="C2" s="133"/>
    </row>
    <row r="3" spans="1:3">
      <c r="A3" s="133"/>
      <c r="B3" s="133"/>
      <c r="C3" s="133"/>
    </row>
    <row r="4" spans="1:3">
      <c r="A4" s="131" t="s">
        <v>2</v>
      </c>
      <c r="B4" s="131" t="s">
        <v>3</v>
      </c>
      <c r="C4" s="134">
        <v>359292</v>
      </c>
    </row>
    <row r="5" ht="325" customHeight="1" spans="1:3">
      <c r="A5" s="131" t="s">
        <v>4</v>
      </c>
      <c r="B5" s="135" t="s">
        <v>5</v>
      </c>
      <c r="C5" s="136"/>
    </row>
    <row r="6" spans="1:3">
      <c r="A6" s="137" t="s">
        <v>6</v>
      </c>
      <c r="B6" s="138">
        <f>4000+44*240+500+(150+280+200+45+550+180)*7.3+B7*3.5%</f>
        <v>28818.24606208</v>
      </c>
      <c r="C6" s="133"/>
    </row>
    <row r="7" spans="1:3">
      <c r="A7" s="137" t="s">
        <v>7</v>
      </c>
      <c r="B7" s="138">
        <f>C4*27.8464%</f>
        <v>100049.887488</v>
      </c>
      <c r="C7" s="133"/>
    </row>
    <row r="8" spans="1:3">
      <c r="A8" s="133"/>
      <c r="B8" s="133" t="s">
        <v>8</v>
      </c>
      <c r="C8" s="139"/>
    </row>
    <row r="9" spans="1:3">
      <c r="A9" s="133"/>
      <c r="B9" s="133"/>
      <c r="C9" s="13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L20" sqref="L20"/>
    </sheetView>
  </sheetViews>
  <sheetFormatPr defaultColWidth="9" defaultRowHeight="14.4"/>
  <sheetData>
    <row r="1" spans="1:1">
      <c r="A1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7" spans="1:1">
      <c r="A7" t="s">
        <v>13</v>
      </c>
    </row>
    <row r="8" spans="1:1">
      <c r="A8" t="s">
        <v>14</v>
      </c>
    </row>
    <row r="10" spans="1:1">
      <c r="A10" t="s">
        <v>15</v>
      </c>
    </row>
    <row r="11" spans="1:1">
      <c r="A11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s="132" t="s">
        <v>19</v>
      </c>
    </row>
    <row r="16" spans="1:1">
      <c r="A16" s="132" t="s">
        <v>20</v>
      </c>
    </row>
    <row r="17" spans="1:1">
      <c r="A17" s="132" t="s">
        <v>21</v>
      </c>
    </row>
    <row r="18" spans="1:1">
      <c r="A18" s="132" t="s">
        <v>22</v>
      </c>
    </row>
    <row r="19" spans="1:1">
      <c r="A19" s="132" t="s">
        <v>23</v>
      </c>
    </row>
    <row r="20" spans="1:1">
      <c r="A20" s="132" t="s">
        <v>24</v>
      </c>
    </row>
    <row r="21" spans="1:1">
      <c r="A21" s="132" t="s">
        <v>25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7169" progId="Package" r:id="rId3" dvAspect="DVASPECT_ICON">
          <objectPr defaultSize="0" r:id="rId4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3</xdr:col>
                <xdr:colOff>238125</xdr:colOff>
                <xdr:row>31</xdr:row>
                <xdr:rowOff>152400</xdr:rowOff>
              </to>
            </anchor>
          </objectPr>
        </oleObject>
      </mc:Choice>
      <mc:Fallback>
        <oleObject shapeId="7169" progId="Package" r:id="rId3" dvAspect="DVASPECT_ICON"/>
      </mc:Fallback>
    </mc:AlternateContent>
    <mc:AlternateContent xmlns:mc="http://schemas.openxmlformats.org/markup-compatibility/2006">
      <mc:Choice Requires="x14">
        <oleObject shapeId="7170" progId="Package" r:id="rId5" dvAspect="DVASPECT_ICON">
          <objectPr defaultSize="0" r:id="rId6">
            <anchor moveWithCells="1">
              <from>
                <xdr:col>4</xdr:col>
                <xdr:colOff>314325</xdr:colOff>
                <xdr:row>26</xdr:row>
                <xdr:rowOff>76200</xdr:rowOff>
              </from>
              <to>
                <xdr:col>5</xdr:col>
                <xdr:colOff>552450</xdr:colOff>
                <xdr:row>31</xdr:row>
                <xdr:rowOff>57150</xdr:rowOff>
              </to>
            </anchor>
          </objectPr>
        </oleObject>
      </mc:Choice>
      <mc:Fallback>
        <oleObject shapeId="7170" progId="Package" r:id="rId5" dvAspect="DVASPECT_ICON"/>
      </mc:Fallback>
    </mc:AlternateContent>
    <mc:AlternateContent xmlns:mc="http://schemas.openxmlformats.org/markup-compatibility/2006">
      <mc:Choice Requires="x14">
        <oleObject shapeId="7171" progId="Package" r:id="rId7" dvAspect="DVASPECT_ICON">
          <objectPr defaultSize="0" r:id="rId8">
            <anchor moveWithCells="1">
              <from>
                <xdr:col>7</xdr:col>
                <xdr:colOff>9525</xdr:colOff>
                <xdr:row>26</xdr:row>
                <xdr:rowOff>38100</xdr:rowOff>
              </from>
              <to>
                <xdr:col>8</xdr:col>
                <xdr:colOff>247650</xdr:colOff>
                <xdr:row>31</xdr:row>
                <xdr:rowOff>19050</xdr:rowOff>
              </to>
            </anchor>
          </objectPr>
        </oleObject>
      </mc:Choice>
      <mc:Fallback>
        <oleObject shapeId="7171" progId="Package" r:id="rId7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B21" sqref="B21"/>
    </sheetView>
  </sheetViews>
  <sheetFormatPr defaultColWidth="9" defaultRowHeight="14.4" outlineLevelCol="5"/>
  <cols>
    <col min="1" max="1" width="11.8888888888889" customWidth="1"/>
    <col min="2" max="2" width="48.7777777777778" customWidth="1"/>
  </cols>
  <sheetData>
    <row r="1" spans="1:6">
      <c r="A1" t="s">
        <v>26</v>
      </c>
    </row>
    <row r="2" spans="1:6">
      <c r="A2" t="s">
        <v>27</v>
      </c>
    </row>
    <row r="3" spans="1:6">
      <c r="A3" s="45" t="s">
        <v>2</v>
      </c>
      <c r="B3" s="45" t="s">
        <v>28</v>
      </c>
    </row>
    <row r="4" ht="269" customHeight="1" spans="1:6">
      <c r="A4" s="45" t="s">
        <v>4</v>
      </c>
      <c r="B4" s="46" t="s">
        <v>29</v>
      </c>
      <c r="E4" t="s">
        <v>30</v>
      </c>
      <c r="F4">
        <f>850000*3.5%</f>
        <v>29750</v>
      </c>
    </row>
    <row r="5" spans="1:6">
      <c r="A5" s="45" t="s">
        <v>31</v>
      </c>
      <c r="B5" s="47">
        <f>38.3*1000+500+800+(0.45*1000+150+95+95+900+700)*8.32+850000*7.3*3.5%</f>
        <v>276659.8</v>
      </c>
      <c r="C5" s="127" t="s">
        <v>32</v>
      </c>
    </row>
    <row r="6" spans="1:6">
      <c r="A6" s="45" t="s">
        <v>7</v>
      </c>
      <c r="B6" s="47">
        <f>850000*7.3*21%</f>
        <v>1303050</v>
      </c>
      <c r="C6" t="s">
        <v>33</v>
      </c>
    </row>
    <row r="8" spans="1:6">
      <c r="A8" s="127" t="s">
        <v>34</v>
      </c>
    </row>
    <row r="9" spans="1:6">
      <c r="A9" s="127" t="s">
        <v>35</v>
      </c>
    </row>
    <row r="10" spans="1:6">
      <c r="A10" s="127" t="s">
        <v>36</v>
      </c>
    </row>
    <row r="11" spans="1:6">
      <c r="A11" s="12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.4" outlineLevelCol="2"/>
  <cols>
    <col min="1" max="1" width="11.4444444444444" customWidth="1"/>
    <col min="2" max="2" width="45.4444444444444" customWidth="1"/>
  </cols>
  <sheetData>
    <row r="1" spans="1:3">
      <c r="A1" t="s">
        <v>37</v>
      </c>
    </row>
    <row r="2" spans="1:3">
      <c r="A2" t="s">
        <v>27</v>
      </c>
    </row>
    <row r="3" spans="1:3">
      <c r="A3" s="130" t="s">
        <v>2</v>
      </c>
      <c r="B3" s="45" t="s">
        <v>28</v>
      </c>
    </row>
    <row r="4" ht="261" customHeight="1" spans="1:3">
      <c r="A4" s="130" t="s">
        <v>4</v>
      </c>
      <c r="B4" s="46" t="s">
        <v>38</v>
      </c>
    </row>
    <row r="5" spans="1:3">
      <c r="A5" s="130" t="s">
        <v>31</v>
      </c>
      <c r="B5" s="47">
        <f>38.3*1000+500+800+(0.45*1000+150+95+95+1800+700)*8.32+850000*7.3*3.5%</f>
        <v>284147.8</v>
      </c>
      <c r="C5" s="127" t="s">
        <v>32</v>
      </c>
    </row>
    <row r="6" spans="1:3">
      <c r="A6" s="131" t="s">
        <v>7</v>
      </c>
      <c r="B6" s="47">
        <f>850000*7.3*21%</f>
        <v>1303050</v>
      </c>
      <c r="C6" t="s">
        <v>39</v>
      </c>
    </row>
    <row r="8" spans="1:3">
      <c r="A8" s="127" t="s">
        <v>34</v>
      </c>
    </row>
    <row r="9" spans="1:3">
      <c r="A9" s="127" t="s">
        <v>35</v>
      </c>
    </row>
    <row r="10" spans="1:3">
      <c r="A10" s="127" t="s">
        <v>36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0" sqref="A1:B10"/>
    </sheetView>
  </sheetViews>
  <sheetFormatPr defaultColWidth="8.88888888888889" defaultRowHeight="14.4" outlineLevelCol="2"/>
  <cols>
    <col min="1" max="1" width="24.4444444444444" customWidth="1"/>
    <col min="2" max="2" width="46" customWidth="1"/>
  </cols>
  <sheetData>
    <row r="1" spans="1:3">
      <c r="A1" s="45" t="s">
        <v>40</v>
      </c>
      <c r="B1" s="89">
        <v>850000</v>
      </c>
    </row>
    <row r="2" spans="1:3">
      <c r="A2" s="45" t="s">
        <v>41</v>
      </c>
      <c r="B2" s="81">
        <v>1000</v>
      </c>
    </row>
    <row r="3" spans="1:3">
      <c r="A3" s="45" t="s">
        <v>42</v>
      </c>
      <c r="B3" s="81" t="s">
        <v>28</v>
      </c>
    </row>
    <row r="4" ht="198" customHeight="1" spans="1:3">
      <c r="A4" s="45" t="s">
        <v>43</v>
      </c>
      <c r="B4" s="46" t="s">
        <v>44</v>
      </c>
    </row>
    <row r="5" ht="31" customHeight="1" spans="1:3">
      <c r="A5" s="45" t="s">
        <v>45</v>
      </c>
      <c r="B5" s="83">
        <f>18.5*1000+500+300+200+((100+100+0.3*B2+650+180+550)*7.2)</f>
        <v>33036</v>
      </c>
    </row>
    <row r="6" ht="34" customHeight="1" spans="1:3">
      <c r="A6" s="45" t="s">
        <v>46</v>
      </c>
      <c r="B6" s="83">
        <f>B1*9%*7.2</f>
        <v>550800</v>
      </c>
      <c r="C6" t="s">
        <v>47</v>
      </c>
    </row>
    <row r="7" ht="28" customHeight="1" spans="1:3">
      <c r="A7" s="45" t="s">
        <v>48</v>
      </c>
      <c r="B7" s="83">
        <f>B6*5%</f>
        <v>27540</v>
      </c>
      <c r="C7" t="s">
        <v>49</v>
      </c>
    </row>
    <row r="8" ht="42" customHeight="1" spans="1:3">
      <c r="A8" s="90" t="s">
        <v>50</v>
      </c>
      <c r="B8" s="88">
        <f>B5+B6+B7</f>
        <v>611376</v>
      </c>
    </row>
    <row r="9" ht="45" customHeight="1" spans="1:3">
      <c r="A9" s="45" t="s">
        <v>51</v>
      </c>
      <c r="B9" s="46" t="s">
        <v>52</v>
      </c>
    </row>
    <row r="10" ht="32" customHeight="1" spans="1:3">
      <c r="A10" s="45" t="s">
        <v>53</v>
      </c>
      <c r="B10" s="45" t="s">
        <v>54</v>
      </c>
    </row>
    <row r="11" ht="22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4" sqref="D14"/>
    </sheetView>
  </sheetViews>
  <sheetFormatPr defaultColWidth="8.88888888888889" defaultRowHeight="14.4" outlineLevelCol="2"/>
  <cols>
    <col min="1" max="1" width="25" customWidth="1"/>
    <col min="2" max="2" width="39.1111111111111" customWidth="1"/>
  </cols>
  <sheetData>
    <row r="1" spans="1:3">
      <c r="A1" s="45" t="s">
        <v>55</v>
      </c>
      <c r="B1" s="89">
        <v>850000</v>
      </c>
    </row>
    <row r="2" spans="1:3">
      <c r="A2" s="45" t="s">
        <v>41</v>
      </c>
      <c r="B2" s="81">
        <v>1000</v>
      </c>
    </row>
    <row r="3" spans="1:3">
      <c r="A3" s="45" t="s">
        <v>42</v>
      </c>
      <c r="B3" s="81" t="s">
        <v>28</v>
      </c>
    </row>
    <row r="4" ht="223" customHeight="1" spans="1:3">
      <c r="A4" s="45" t="s">
        <v>43</v>
      </c>
      <c r="B4" s="46" t="s">
        <v>56</v>
      </c>
    </row>
    <row r="5" ht="25" customHeight="1" spans="1:3">
      <c r="A5" s="45" t="s">
        <v>45</v>
      </c>
      <c r="B5" s="83">
        <f>17*B2+500+((180+25+0.3*B2+450+180+150+180)*7.2)</f>
        <v>28048</v>
      </c>
    </row>
    <row r="6" ht="25" customHeight="1" spans="1:3">
      <c r="A6" s="45" t="s">
        <v>57</v>
      </c>
      <c r="B6" s="83">
        <f>B1*5%*7.2</f>
        <v>306000</v>
      </c>
      <c r="C6" t="s">
        <v>58</v>
      </c>
    </row>
    <row r="7" ht="25" customHeight="1" spans="1:3">
      <c r="A7" s="45" t="s">
        <v>59</v>
      </c>
      <c r="B7" s="83">
        <f>B6*5%</f>
        <v>15300</v>
      </c>
      <c r="C7" t="s">
        <v>58</v>
      </c>
    </row>
    <row r="8" ht="25" customHeight="1" spans="1:3">
      <c r="A8" s="90" t="s">
        <v>50</v>
      </c>
      <c r="B8" s="88">
        <f>B5+B6+B7</f>
        <v>349348</v>
      </c>
    </row>
    <row r="9" ht="52" customHeight="1" spans="1:3">
      <c r="A9" s="45" t="s">
        <v>51</v>
      </c>
      <c r="B9" s="46" t="s">
        <v>52</v>
      </c>
    </row>
    <row r="10" ht="35" customHeight="1" spans="1:3">
      <c r="A10" s="45" t="s">
        <v>53</v>
      </c>
      <c r="B10" s="45" t="s">
        <v>54</v>
      </c>
    </row>
    <row r="11" ht="48" customHeight="1" spans="1:3">
      <c r="A11" s="45" t="s">
        <v>60</v>
      </c>
      <c r="B11" s="46" t="s">
        <v>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0" sqref="B20"/>
    </sheetView>
  </sheetViews>
  <sheetFormatPr defaultColWidth="8.88888888888889" defaultRowHeight="14.4" outlineLevelRow="5" outlineLevelCol="2"/>
  <cols>
    <col min="1" max="1" width="15.8888888888889" customWidth="1"/>
    <col min="2" max="2" width="49.7777777777778" customWidth="1"/>
    <col min="3" max="3" width="57.2222222222222" customWidth="1"/>
  </cols>
  <sheetData>
    <row r="1" spans="1:3">
      <c r="A1" s="68" t="s">
        <v>62</v>
      </c>
      <c r="B1" s="69"/>
      <c r="C1" s="69"/>
    </row>
    <row r="2" spans="1:3">
      <c r="A2" s="70" t="s">
        <v>63</v>
      </c>
      <c r="B2" s="70" t="s">
        <v>64</v>
      </c>
      <c r="C2" s="71" t="s">
        <v>65</v>
      </c>
    </row>
    <row r="3" ht="165" customHeight="1" spans="1:3">
      <c r="A3" s="72" t="s">
        <v>66</v>
      </c>
      <c r="B3" s="73" t="s">
        <v>67</v>
      </c>
      <c r="C3" s="74" t="s">
        <v>68</v>
      </c>
    </row>
    <row r="4" spans="1:3">
      <c r="A4" s="75" t="s">
        <v>69</v>
      </c>
      <c r="B4" s="76">
        <f>350+180+60*2+120</f>
        <v>770</v>
      </c>
      <c r="C4" s="77">
        <f>350+180+60*2+585+50+180</f>
        <v>1465</v>
      </c>
    </row>
    <row r="5" ht="40" customHeight="1" spans="1:3">
      <c r="A5" s="78" t="s">
        <v>70</v>
      </c>
      <c r="B5" s="79" t="s">
        <v>71</v>
      </c>
      <c r="C5" s="79" t="s">
        <v>71</v>
      </c>
    </row>
    <row r="6" spans="1:3">
      <c r="A6" s="78" t="s">
        <v>72</v>
      </c>
      <c r="B6" s="71" t="s">
        <v>73</v>
      </c>
      <c r="C6" s="71" t="s">
        <v>73</v>
      </c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"/>
    </sheetView>
  </sheetViews>
  <sheetFormatPr defaultColWidth="8.7962962962963" defaultRowHeight="14.4" outlineLevelCol="6"/>
  <cols>
    <col min="1" max="1" width="9.89814814814815" style="119" customWidth="1"/>
    <col min="2" max="2" width="45.2962962962963" style="119" customWidth="1"/>
    <col min="3" max="4" width="45.2962962962963" style="119" hidden="1" customWidth="1"/>
    <col min="5" max="7" width="29.5" style="119" customWidth="1"/>
    <col min="8" max="16384" width="8.7962962962963" style="119"/>
  </cols>
  <sheetData>
    <row r="1" spans="1:7">
      <c r="A1" s="119" t="s">
        <v>74</v>
      </c>
    </row>
    <row r="2" spans="1:7">
      <c r="A2" s="119" t="s">
        <v>75</v>
      </c>
    </row>
    <row r="4" spans="1:7">
      <c r="A4" s="120" t="s">
        <v>2</v>
      </c>
      <c r="B4" s="120" t="s">
        <v>28</v>
      </c>
      <c r="C4" s="120" t="s">
        <v>28</v>
      </c>
      <c r="D4" s="121" t="s">
        <v>76</v>
      </c>
    </row>
    <row r="5" ht="375" customHeight="1" spans="1:7">
      <c r="A5" s="122" t="s">
        <v>4</v>
      </c>
      <c r="B5" s="123" t="s">
        <v>77</v>
      </c>
      <c r="C5" s="123" t="s">
        <v>78</v>
      </c>
      <c r="D5" s="124" t="s">
        <v>79</v>
      </c>
      <c r="E5" s="125"/>
    </row>
    <row r="6" spans="1:7">
      <c r="A6" s="121" t="s">
        <v>31</v>
      </c>
      <c r="B6" s="126">
        <f>22.5*261+500+500+(350+45+261*0.12+261*0.25+45+15+20+50+200+120+500)*7.3</f>
        <v>17395.961</v>
      </c>
      <c r="C6" s="126"/>
      <c r="D6" s="126">
        <f>2000+2000+28*260+350+150+350+500+(0.45*150+150+110+280+65+0.2*150*14+14.5)*7.3+D7*2%</f>
        <v>20711.1</v>
      </c>
      <c r="E6" s="127" t="s">
        <v>80</v>
      </c>
    </row>
    <row r="7" ht="100.8" spans="1:7">
      <c r="A7" s="124" t="s">
        <v>81</v>
      </c>
      <c r="B7" s="126">
        <f>'[2]CI-'!I27*14.5%*1.06</f>
        <v>1054711.878625</v>
      </c>
      <c r="C7" s="126"/>
      <c r="D7" s="126">
        <f>E2*7.3*14.5%*1.06</f>
        <v>0</v>
      </c>
      <c r="E7" s="128" t="s">
        <v>82</v>
      </c>
      <c r="F7" s="129" t="s">
        <v>83</v>
      </c>
      <c r="G7" s="129" t="s">
        <v>84</v>
      </c>
    </row>
    <row r="8" spans="1:7">
      <c r="A8" s="127"/>
      <c r="B8" s="127"/>
      <c r="C8" s="127"/>
      <c r="D8" s="127"/>
      <c r="E8" s="127"/>
    </row>
    <row r="9" spans="1:7">
      <c r="A9" s="127" t="s">
        <v>34</v>
      </c>
      <c r="B9" s="127"/>
      <c r="C9" s="127"/>
      <c r="D9" s="127"/>
      <c r="E9" s="127"/>
    </row>
    <row r="10" spans="1:7">
      <c r="A10" s="127" t="s">
        <v>35</v>
      </c>
      <c r="B10" s="127"/>
      <c r="C10" s="127"/>
      <c r="D10" s="127"/>
      <c r="E10" s="127"/>
    </row>
    <row r="11" spans="1:7">
      <c r="A11" s="127" t="s">
        <v>36</v>
      </c>
      <c r="B11" s="127"/>
      <c r="C11" s="127"/>
      <c r="D11" s="127"/>
      <c r="E11" s="127"/>
    </row>
    <row r="12" spans="1:7">
      <c r="A12" s="127"/>
      <c r="B12" s="127"/>
      <c r="C12" s="127"/>
      <c r="D12" s="127"/>
      <c r="E12" s="12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B8" sqref="B8"/>
    </sheetView>
  </sheetViews>
  <sheetFormatPr defaultColWidth="8.88888888888889" defaultRowHeight="14.4" outlineLevelRow="7"/>
  <cols>
    <col min="1" max="1" width="20.7777777777778" customWidth="1"/>
    <col min="2" max="2" width="46.8888888888889" customWidth="1"/>
  </cols>
  <sheetData>
    <row r="1" spans="1:15">
      <c r="A1" s="45" t="s">
        <v>85</v>
      </c>
      <c r="B1" s="116">
        <f>[1]货物信息!I2</f>
        <v>190000</v>
      </c>
    </row>
    <row r="2" spans="1:15">
      <c r="A2" s="45" t="s">
        <v>86</v>
      </c>
      <c r="B2" s="45">
        <v>700</v>
      </c>
    </row>
    <row r="3" ht="256" customHeight="1" spans="1:15">
      <c r="A3" s="45" t="s">
        <v>87</v>
      </c>
      <c r="B3" s="82" t="s">
        <v>88</v>
      </c>
      <c r="O3" t="s">
        <v>89</v>
      </c>
    </row>
    <row r="4" ht="34" customHeight="1" spans="1:15">
      <c r="A4" s="45" t="s">
        <v>45</v>
      </c>
      <c r="B4" s="83">
        <f>49.5*B2+500+((150+200+300+45+780+180+75)*7.2)</f>
        <v>47606</v>
      </c>
    </row>
    <row r="5" ht="30" customHeight="1" spans="1:15">
      <c r="A5" s="46" t="s">
        <v>90</v>
      </c>
      <c r="B5" s="83">
        <f>B1*(27.5%+0.3464%)</f>
        <v>52908.16</v>
      </c>
      <c r="C5" t="s">
        <v>91</v>
      </c>
      <c r="F5" s="118" t="s">
        <v>92</v>
      </c>
    </row>
    <row r="6" ht="34" customHeight="1" spans="1:15">
      <c r="A6" s="90" t="s">
        <v>50</v>
      </c>
      <c r="B6" s="88">
        <f>B4+B5</f>
        <v>100514.16</v>
      </c>
    </row>
    <row r="7" ht="51" customHeight="1" spans="1:15">
      <c r="A7" s="45" t="s">
        <v>51</v>
      </c>
      <c r="B7" s="46" t="s">
        <v>93</v>
      </c>
    </row>
    <row r="8" ht="59" customHeight="1" spans="1:15">
      <c r="A8" s="45" t="s">
        <v>53</v>
      </c>
      <c r="B8" s="46" t="s">
        <v>94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B4" sqref="B4"/>
    </sheetView>
  </sheetViews>
  <sheetFormatPr defaultColWidth="8.88888888888889" defaultRowHeight="14.4" outlineLevelCol="4"/>
  <cols>
    <col min="1" max="1" width="20.2222222222222" customWidth="1"/>
    <col min="2" max="2" width="52.8888888888889" customWidth="1"/>
  </cols>
  <sheetData>
    <row r="1" spans="1:5">
      <c r="A1" s="45" t="s">
        <v>85</v>
      </c>
      <c r="B1" s="116">
        <f>[1]货物信息!I2</f>
        <v>190000</v>
      </c>
    </row>
    <row r="2" spans="1:5">
      <c r="A2" s="45" t="s">
        <v>95</v>
      </c>
      <c r="B2" s="45">
        <v>700</v>
      </c>
    </row>
    <row r="3" ht="24" customHeight="1" spans="1:5">
      <c r="A3" s="45" t="s">
        <v>42</v>
      </c>
      <c r="B3" s="117" t="s">
        <v>96</v>
      </c>
    </row>
    <row r="4" ht="189" customHeight="1" spans="1:5">
      <c r="A4" s="45" t="s">
        <v>43</v>
      </c>
      <c r="B4" s="46" t="s">
        <v>97</v>
      </c>
    </row>
    <row r="5" ht="197" customHeight="1" spans="1:5">
      <c r="A5" s="45" t="s">
        <v>43</v>
      </c>
      <c r="B5" s="82" t="s">
        <v>98</v>
      </c>
    </row>
    <row r="6" ht="27" customHeight="1" spans="1:5">
      <c r="A6" s="45" t="s">
        <v>99</v>
      </c>
      <c r="B6" s="83">
        <f>((680+650*2+580+200+60+85+0.35*B2+25+3.8*B2)*8.4)+((150+200+300+45+790+250+75)*7.2)</f>
        <v>62046</v>
      </c>
    </row>
    <row r="7" ht="39" customHeight="1" spans="1:5">
      <c r="A7" s="46" t="s">
        <v>90</v>
      </c>
      <c r="B7" s="83">
        <f>B1*(27.5%+0.3464%)</f>
        <v>52908.16</v>
      </c>
      <c r="C7" t="s">
        <v>91</v>
      </c>
      <c r="E7" t="s">
        <v>92</v>
      </c>
    </row>
    <row r="8" ht="35" customHeight="1" spans="1:5">
      <c r="A8" s="90" t="s">
        <v>100</v>
      </c>
      <c r="B8" s="88">
        <f>B6+B7</f>
        <v>114954.16</v>
      </c>
    </row>
    <row r="9" ht="29" customHeight="1" spans="1:5">
      <c r="A9" s="45" t="s">
        <v>51</v>
      </c>
      <c r="B9" s="46" t="s">
        <v>101</v>
      </c>
    </row>
    <row r="10" ht="40" customHeight="1" spans="1:5">
      <c r="A10" s="45" t="s">
        <v>53</v>
      </c>
      <c r="B10" s="46" t="s">
        <v>102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4" sqref="D4"/>
    </sheetView>
  </sheetViews>
  <sheetFormatPr defaultColWidth="8.7962962962963" defaultRowHeight="15.6" outlineLevelCol="3"/>
  <cols>
    <col min="1" max="1" width="17.7962962962963" style="94" customWidth="1"/>
    <col min="2" max="2" width="36" style="94" customWidth="1"/>
    <col min="3" max="3" width="35.5" style="94" customWidth="1"/>
    <col min="4" max="4" width="28.7037037037037" style="94" customWidth="1"/>
    <col min="5" max="16384" width="8.7962962962963" style="94"/>
  </cols>
  <sheetData>
    <row r="1" ht="29" customHeight="1" spans="1:4">
      <c r="A1" s="95" t="s">
        <v>103</v>
      </c>
      <c r="B1" s="96"/>
      <c r="C1" s="97"/>
      <c r="D1" s="98"/>
    </row>
    <row r="2" ht="24" customHeight="1" spans="1:4">
      <c r="A2" s="96" t="s">
        <v>104</v>
      </c>
      <c r="B2" s="96"/>
      <c r="C2" s="97"/>
      <c r="D2" s="98"/>
    </row>
    <row r="3" ht="26" customHeight="1" spans="1:4">
      <c r="A3" s="99" t="s">
        <v>42</v>
      </c>
      <c r="B3" s="99" t="s">
        <v>105</v>
      </c>
      <c r="C3" s="100" t="s">
        <v>106</v>
      </c>
      <c r="D3" s="101" t="s">
        <v>28</v>
      </c>
    </row>
    <row r="4" ht="79" customHeight="1" spans="1:4">
      <c r="A4" s="99" t="s">
        <v>43</v>
      </c>
      <c r="B4" s="102" t="s">
        <v>107</v>
      </c>
      <c r="C4" s="103" t="s">
        <v>108</v>
      </c>
      <c r="D4" s="104" t="s">
        <v>109</v>
      </c>
    </row>
    <row r="5" ht="46" customHeight="1" spans="1:4">
      <c r="A5" s="100" t="s">
        <v>110</v>
      </c>
      <c r="B5" s="105">
        <f>48*261+500+67000</f>
        <v>80028</v>
      </c>
      <c r="C5" s="105">
        <f>113*261</f>
        <v>29493</v>
      </c>
      <c r="D5" s="106"/>
    </row>
    <row r="6" ht="34" customHeight="1" spans="1:4">
      <c r="A6" s="100" t="s">
        <v>51</v>
      </c>
      <c r="B6" s="107" t="s">
        <v>111</v>
      </c>
      <c r="C6" s="103" t="s">
        <v>112</v>
      </c>
      <c r="D6" s="106"/>
    </row>
    <row r="7" ht="40" customHeight="1" spans="1:4">
      <c r="A7" s="100" t="s">
        <v>53</v>
      </c>
      <c r="B7" s="108" t="s">
        <v>113</v>
      </c>
      <c r="C7" s="100" t="s">
        <v>114</v>
      </c>
      <c r="D7" s="106"/>
    </row>
    <row r="8" ht="31" customHeight="1" spans="1:4">
      <c r="A8" s="98" t="s">
        <v>60</v>
      </c>
      <c r="B8" s="109" t="s">
        <v>115</v>
      </c>
      <c r="C8" s="98"/>
      <c r="D8" s="98"/>
    </row>
    <row r="9" ht="31" customHeight="1" spans="1:4">
      <c r="A9" s="98" t="s">
        <v>18</v>
      </c>
      <c r="B9" s="110" t="s">
        <v>116</v>
      </c>
      <c r="C9" s="111"/>
      <c r="D9" s="112"/>
    </row>
    <row r="10" ht="21" customHeight="1" spans="1:4">
      <c r="A10" s="94" t="s">
        <v>117</v>
      </c>
      <c r="B10" s="113"/>
    </row>
    <row r="11" spans="1:4">
      <c r="A11" s="114" t="s">
        <v>118</v>
      </c>
    </row>
    <row r="12" spans="1:4">
      <c r="A12" s="115" t="s">
        <v>119</v>
      </c>
    </row>
    <row r="13" spans="1:4">
      <c r="A13" s="115" t="s">
        <v>120</v>
      </c>
    </row>
    <row r="14" spans="1:4">
      <c r="A14" s="115" t="s">
        <v>121</v>
      </c>
    </row>
    <row r="16" spans="1:4">
      <c r="A16" s="114" t="s">
        <v>122</v>
      </c>
    </row>
  </sheetData>
  <mergeCells count="1">
    <mergeCell ref="B9:D9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opLeftCell="A17" workbookViewId="0">
      <selection activeCell="H20" sqref="H20"/>
    </sheetView>
  </sheetViews>
  <sheetFormatPr defaultColWidth="8.88888888888889" defaultRowHeight="14.4" outlineLevelCol="2"/>
  <cols>
    <col min="1" max="1" width="24.8888888888889" customWidth="1"/>
    <col min="2" max="2" width="46.7777777777778" customWidth="1"/>
    <col min="3" max="3" width="37.1296296296296" customWidth="1"/>
  </cols>
  <sheetData>
    <row r="1" spans="1:3">
      <c r="A1" s="45" t="s">
        <v>123</v>
      </c>
      <c r="B1" s="87">
        <v>41673.7</v>
      </c>
    </row>
    <row r="2" spans="1:3">
      <c r="A2" s="45" t="s">
        <v>124</v>
      </c>
      <c r="B2" s="81" t="s">
        <v>125</v>
      </c>
    </row>
    <row r="3" spans="1:3">
      <c r="A3" s="45" t="s">
        <v>95</v>
      </c>
      <c r="B3" s="81">
        <v>30</v>
      </c>
    </row>
    <row r="4" ht="24" customHeight="1" spans="1:3">
      <c r="A4" s="45" t="s">
        <v>42</v>
      </c>
      <c r="B4" s="81" t="s">
        <v>126</v>
      </c>
    </row>
    <row r="5" ht="169" customHeight="1" spans="1:3">
      <c r="A5" s="45" t="s">
        <v>43</v>
      </c>
      <c r="B5" s="46" t="s">
        <v>127</v>
      </c>
    </row>
    <row r="6" ht="28" customHeight="1" spans="1:3">
      <c r="A6" s="81" t="s">
        <v>45</v>
      </c>
      <c r="B6" s="83">
        <f>35*45+1000+((140+195+300+100)*7.2)</f>
        <v>7867</v>
      </c>
    </row>
    <row r="7" ht="25" customHeight="1" spans="1:3">
      <c r="A7" s="81" t="s">
        <v>128</v>
      </c>
      <c r="B7" s="83">
        <f>B1*10%*7.2</f>
        <v>30005.064</v>
      </c>
    </row>
    <row r="8" ht="25" customHeight="1" spans="1:3">
      <c r="A8" s="81" t="s">
        <v>129</v>
      </c>
      <c r="B8" s="83">
        <f>B7*4%</f>
        <v>1200.20256</v>
      </c>
    </row>
    <row r="9" ht="21" customHeight="1" spans="1:3">
      <c r="A9" s="88" t="s">
        <v>50</v>
      </c>
      <c r="B9" s="88">
        <f>B6+B7+B8</f>
        <v>39072.26656</v>
      </c>
    </row>
    <row r="10" ht="62" customHeight="1" spans="1:3">
      <c r="A10" s="45" t="s">
        <v>130</v>
      </c>
      <c r="B10" s="46" t="s">
        <v>131</v>
      </c>
    </row>
    <row r="11" ht="56" customHeight="1" spans="1:3">
      <c r="A11" s="45" t="s">
        <v>60</v>
      </c>
      <c r="B11" s="45" t="str">
        <f>_xlfn.DISPIMG("ID_6E1DF5B135F34A85B588212B44785805",1)</f>
        <v>=DISPIMG("ID_6E1DF5B135F34A85B588212B44785805",1)</v>
      </c>
      <c r="C11" t="s">
        <v>132</v>
      </c>
    </row>
    <row r="12" ht="52" customHeight="1" spans="1:3">
      <c r="A12" s="45" t="s">
        <v>53</v>
      </c>
      <c r="B12" s="45" t="s">
        <v>133</v>
      </c>
    </row>
    <row r="16" spans="1:3">
      <c r="A16" s="45" t="s">
        <v>123</v>
      </c>
      <c r="B16" s="89">
        <v>41673.7</v>
      </c>
      <c r="C16" s="45"/>
    </row>
    <row r="17" spans="1:3">
      <c r="A17" s="45" t="s">
        <v>124</v>
      </c>
      <c r="B17" s="45"/>
      <c r="C17" s="45"/>
    </row>
    <row r="18" spans="1:3">
      <c r="A18" s="45" t="s">
        <v>134</v>
      </c>
      <c r="B18" s="45"/>
      <c r="C18" s="45"/>
    </row>
    <row r="19" spans="1:3">
      <c r="A19" s="45" t="s">
        <v>95</v>
      </c>
      <c r="B19" s="45">
        <v>30</v>
      </c>
      <c r="C19" s="45" t="s">
        <v>135</v>
      </c>
    </row>
    <row r="20" spans="1:3">
      <c r="A20" s="45" t="s">
        <v>42</v>
      </c>
      <c r="B20" s="45" t="s">
        <v>136</v>
      </c>
      <c r="C20" s="45" t="s">
        <v>137</v>
      </c>
    </row>
    <row r="21" ht="72" spans="1:3">
      <c r="A21" s="45" t="s">
        <v>4</v>
      </c>
      <c r="B21" s="46" t="s">
        <v>138</v>
      </c>
      <c r="C21" s="46" t="s">
        <v>139</v>
      </c>
    </row>
    <row r="22" spans="1:3">
      <c r="A22" s="45" t="s">
        <v>45</v>
      </c>
      <c r="B22" s="83">
        <f>42*B19+150+100+100+360</f>
        <v>1970</v>
      </c>
      <c r="C22" s="83">
        <f>35*30+220+300+150</f>
        <v>1720</v>
      </c>
    </row>
    <row r="23" spans="1:3">
      <c r="A23" s="45" t="s">
        <v>140</v>
      </c>
      <c r="B23" s="83">
        <f>B16*10%*7.2</f>
        <v>30005.064</v>
      </c>
      <c r="C23" s="83">
        <f>B23</f>
        <v>30005.064</v>
      </c>
    </row>
    <row r="24" spans="1:3">
      <c r="A24" s="45" t="s">
        <v>141</v>
      </c>
      <c r="B24" s="83">
        <f>B23*4%</f>
        <v>1200.20256</v>
      </c>
      <c r="C24" s="83">
        <f>C23*4%</f>
        <v>1200.20256</v>
      </c>
    </row>
    <row r="25" spans="1:3">
      <c r="A25" s="90" t="s">
        <v>50</v>
      </c>
      <c r="B25" s="88">
        <f>B22+B23+B24</f>
        <v>33175.26656</v>
      </c>
      <c r="C25" s="88">
        <f>C22+C23+C24</f>
        <v>32925.26656</v>
      </c>
    </row>
    <row r="26" ht="52.8" spans="1:3">
      <c r="A26" s="78" t="s">
        <v>70</v>
      </c>
      <c r="B26" s="91" t="s">
        <v>142</v>
      </c>
      <c r="C26" s="91" t="s">
        <v>143</v>
      </c>
    </row>
    <row r="27" spans="1:3">
      <c r="A27" s="78" t="s">
        <v>72</v>
      </c>
      <c r="B27" s="91" t="s">
        <v>144</v>
      </c>
      <c r="C27" s="91" t="s">
        <v>145</v>
      </c>
    </row>
    <row r="28" spans="1:3">
      <c r="A28" s="92" t="s">
        <v>146</v>
      </c>
      <c r="B28" s="93" t="s">
        <v>147</v>
      </c>
      <c r="C28" s="93"/>
    </row>
    <row r="29" spans="1:3">
      <c r="A29" s="45" t="s">
        <v>18</v>
      </c>
      <c r="B29" s="45" t="s">
        <v>148</v>
      </c>
      <c r="C29" s="45"/>
    </row>
  </sheetData>
  <mergeCells count="1">
    <mergeCell ref="B28:C28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5" workbookViewId="0">
      <selection activeCell="C12" sqref="C12"/>
    </sheetView>
  </sheetViews>
  <sheetFormatPr defaultColWidth="8.88888888888889" defaultRowHeight="14.4" outlineLevelCol="2"/>
  <cols>
    <col min="1" max="1" width="22.7777777777778" customWidth="1"/>
    <col min="2" max="2" width="38.6666666666667" customWidth="1"/>
    <col min="3" max="3" width="48.1111111111111" customWidth="1"/>
  </cols>
  <sheetData>
    <row r="1" spans="1:3">
      <c r="A1" t="s">
        <v>149</v>
      </c>
      <c r="B1" s="80">
        <v>115000</v>
      </c>
    </row>
    <row r="2" spans="1:3">
      <c r="A2" s="45" t="s">
        <v>150</v>
      </c>
      <c r="B2" s="45"/>
      <c r="C2" s="45"/>
    </row>
    <row r="3" ht="20" customHeight="1" spans="1:3">
      <c r="A3" s="45" t="s">
        <v>86</v>
      </c>
      <c r="B3" s="81">
        <v>500</v>
      </c>
      <c r="C3" s="45"/>
    </row>
    <row r="4" ht="21" customHeight="1" spans="1:3">
      <c r="A4" s="45" t="s">
        <v>42</v>
      </c>
      <c r="B4" s="45" t="s">
        <v>151</v>
      </c>
      <c r="C4" s="45"/>
    </row>
    <row r="5" ht="265" customHeight="1" spans="1:3">
      <c r="A5" s="45" t="s">
        <v>4</v>
      </c>
      <c r="B5" s="82" t="s">
        <v>152</v>
      </c>
      <c r="C5" s="46" t="s">
        <v>153</v>
      </c>
    </row>
    <row r="6" ht="18" customHeight="1" spans="1:3">
      <c r="A6" s="45" t="s">
        <v>154</v>
      </c>
      <c r="B6" s="83">
        <f>20*500+2380+2500+((100+105+0.35*B3+350+30*2+0.14*500*7))</f>
        <v>16160</v>
      </c>
      <c r="C6" s="83">
        <f>19.5*500+500+2500+((125+0.36*B3+65+270+85+180)*7.2)</f>
        <v>19266</v>
      </c>
    </row>
    <row r="7" ht="24" customHeight="1" spans="1:3">
      <c r="A7" s="45" t="s">
        <v>155</v>
      </c>
      <c r="B7" s="83">
        <f>B1*7.2*7%</f>
        <v>57960</v>
      </c>
      <c r="C7" s="83">
        <f>B7</f>
        <v>57960</v>
      </c>
    </row>
    <row r="8" ht="24" customHeight="1" spans="1:3">
      <c r="A8" s="45" t="s">
        <v>129</v>
      </c>
      <c r="B8" s="83">
        <f>B7*5%</f>
        <v>2898</v>
      </c>
      <c r="C8" s="83">
        <f>C7*4%</f>
        <v>2318.4</v>
      </c>
    </row>
    <row r="9" ht="24" customHeight="1" spans="1:3">
      <c r="A9" s="84" t="s">
        <v>156</v>
      </c>
      <c r="B9" s="85">
        <f>B6+B7+B8</f>
        <v>77018</v>
      </c>
      <c r="C9" s="85">
        <f>C6+C7+C8</f>
        <v>79544.4</v>
      </c>
    </row>
    <row r="10" ht="117" customHeight="1" spans="1:3">
      <c r="A10" s="45" t="s">
        <v>60</v>
      </c>
      <c r="B10" s="86" t="s">
        <v>157</v>
      </c>
      <c r="C10" s="86" t="s">
        <v>158</v>
      </c>
    </row>
    <row r="11" ht="33" customHeight="1" spans="1:3">
      <c r="A11" s="45" t="s">
        <v>53</v>
      </c>
      <c r="B11" s="45" t="s">
        <v>159</v>
      </c>
      <c r="C11" s="45" t="s">
        <v>159</v>
      </c>
    </row>
    <row r="12" ht="40" customHeight="1" spans="1:3">
      <c r="A12" s="45" t="s">
        <v>51</v>
      </c>
      <c r="B12" s="46" t="s">
        <v>160</v>
      </c>
      <c r="C12" s="46" t="s">
        <v>161</v>
      </c>
    </row>
    <row r="13" ht="34" customHeight="1"/>
    <row r="14" spans="1:3">
      <c r="A14" t="s">
        <v>162</v>
      </c>
    </row>
    <row r="15" spans="1:3">
      <c r="A15" t="s">
        <v>163</v>
      </c>
    </row>
    <row r="16" spans="1:3">
      <c r="A16" t="s">
        <v>164</v>
      </c>
    </row>
    <row r="17" spans="1:1">
      <c r="A17" t="s">
        <v>165</v>
      </c>
    </row>
    <row r="18" spans="1:1">
      <c r="A18" t="s">
        <v>166</v>
      </c>
    </row>
    <row r="20" spans="1:1">
      <c r="A20" t="s">
        <v>167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G3" sqref="G3"/>
    </sheetView>
  </sheetViews>
  <sheetFormatPr defaultColWidth="8.88888888888889" defaultRowHeight="14.4" outlineLevelRow="5" outlineLevelCol="2"/>
  <cols>
    <col min="1" max="1" width="15.8888888888889" customWidth="1"/>
    <col min="2" max="2" width="49.7777777777778" customWidth="1"/>
    <col min="3" max="3" width="57.2222222222222" customWidth="1"/>
  </cols>
  <sheetData>
    <row r="1" spans="1:3">
      <c r="A1" s="68" t="s">
        <v>62</v>
      </c>
      <c r="B1" s="69"/>
      <c r="C1" s="69"/>
    </row>
    <row r="2" spans="1:3">
      <c r="A2" s="70" t="s">
        <v>63</v>
      </c>
      <c r="B2" s="70" t="s">
        <v>64</v>
      </c>
      <c r="C2" s="71" t="s">
        <v>65</v>
      </c>
    </row>
    <row r="3" ht="165" customHeight="1" spans="1:3">
      <c r="A3" s="72" t="s">
        <v>66</v>
      </c>
      <c r="B3" s="73" t="s">
        <v>67</v>
      </c>
      <c r="C3" s="74" t="s">
        <v>68</v>
      </c>
    </row>
    <row r="4" spans="1:3">
      <c r="A4" s="75" t="s">
        <v>69</v>
      </c>
      <c r="B4" s="76">
        <f>350+180+60*2+120</f>
        <v>770</v>
      </c>
      <c r="C4" s="77">
        <f>350+180+60*2+585+50+180</f>
        <v>1465</v>
      </c>
    </row>
    <row r="5" ht="40" customHeight="1" spans="1:3">
      <c r="A5" s="78" t="s">
        <v>70</v>
      </c>
      <c r="B5" s="79" t="s">
        <v>71</v>
      </c>
      <c r="C5" s="79" t="s">
        <v>71</v>
      </c>
    </row>
    <row r="6" spans="1:3">
      <c r="A6" s="78" t="s">
        <v>72</v>
      </c>
      <c r="B6" s="71" t="s">
        <v>73</v>
      </c>
      <c r="C6" s="71" t="s">
        <v>73</v>
      </c>
    </row>
  </sheetData>
  <mergeCells count="1">
    <mergeCell ref="A1:C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10" zoomScaleNormal="110" workbookViewId="0">
      <selection activeCell="B15" sqref="B15"/>
    </sheetView>
  </sheetViews>
  <sheetFormatPr defaultColWidth="9" defaultRowHeight="14.4" outlineLevelRow="6" outlineLevelCol="1"/>
  <cols>
    <col min="1" max="1" width="21.7777777777778" customWidth="1"/>
    <col min="2" max="2" width="65.7777777777778" customWidth="1"/>
  </cols>
  <sheetData>
    <row r="1" customHeight="1" spans="1:2">
      <c r="A1" s="49" t="s">
        <v>168</v>
      </c>
      <c r="B1" s="49"/>
    </row>
    <row r="2" customHeight="1" spans="1:2">
      <c r="A2" s="50" t="s">
        <v>63</v>
      </c>
      <c r="B2" s="50" t="s">
        <v>28</v>
      </c>
    </row>
    <row r="3" ht="84" customHeight="1" spans="1:2">
      <c r="A3" s="51" t="s">
        <v>169</v>
      </c>
      <c r="B3" s="51" t="s">
        <v>170</v>
      </c>
    </row>
    <row r="4" spans="1:2">
      <c r="A4" s="51" t="s">
        <v>171</v>
      </c>
      <c r="B4" s="59">
        <f>87*25+200</f>
        <v>2375</v>
      </c>
    </row>
    <row r="5" ht="26.4" spans="1:2">
      <c r="A5" s="49" t="s">
        <v>70</v>
      </c>
      <c r="B5" s="51" t="s">
        <v>172</v>
      </c>
    </row>
    <row r="6" spans="1:2">
      <c r="A6" s="49" t="s">
        <v>72</v>
      </c>
      <c r="B6" s="51" t="s">
        <v>173</v>
      </c>
    </row>
    <row r="7" customHeight="1" spans="1:2">
      <c r="A7" s="50" t="s">
        <v>146</v>
      </c>
      <c r="B7" s="50" t="s">
        <v>174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5" sqref="B5"/>
    </sheetView>
  </sheetViews>
  <sheetFormatPr defaultColWidth="8.88888888888889" defaultRowHeight="14.4" outlineLevelCol="1"/>
  <cols>
    <col min="1" max="1" width="27.6666666666667" customWidth="1"/>
    <col min="2" max="2" width="56" customWidth="1"/>
  </cols>
  <sheetData>
    <row r="1" customHeight="1" spans="1:2">
      <c r="A1" s="49" t="s">
        <v>175</v>
      </c>
      <c r="B1" s="49"/>
    </row>
    <row r="2" spans="1:2">
      <c r="A2" s="50" t="s">
        <v>63</v>
      </c>
      <c r="B2" s="51" t="s">
        <v>176</v>
      </c>
    </row>
    <row r="3" ht="237.6" spans="1:2">
      <c r="A3" s="51" t="s">
        <v>175</v>
      </c>
      <c r="B3" s="51" t="s">
        <v>177</v>
      </c>
    </row>
    <row r="4" ht="26.4" spans="1:2">
      <c r="A4" s="51" t="s">
        <v>178</v>
      </c>
      <c r="B4" s="63">
        <f>45*7.6+25+35+45+225+100+150+150+200+300+45+380+180</f>
        <v>2177</v>
      </c>
    </row>
    <row r="5" spans="1:2">
      <c r="A5" s="51" t="s">
        <v>179</v>
      </c>
      <c r="B5" s="64">
        <f>B11*0.3464%</f>
        <v>135.096</v>
      </c>
    </row>
    <row r="6" spans="1:2">
      <c r="A6" s="65" t="s">
        <v>180</v>
      </c>
      <c r="B6" s="66">
        <f>SUM(B4:B5)</f>
        <v>2312.096</v>
      </c>
    </row>
    <row r="7" ht="51.6" spans="1:2">
      <c r="A7" s="49" t="s">
        <v>70</v>
      </c>
      <c r="B7" s="67" t="s">
        <v>181</v>
      </c>
    </row>
    <row r="8" spans="1:2">
      <c r="A8" s="49" t="s">
        <v>182</v>
      </c>
      <c r="B8" s="51" t="s">
        <v>183</v>
      </c>
    </row>
    <row r="9" spans="1:2">
      <c r="A9" s="49" t="s">
        <v>72</v>
      </c>
      <c r="B9" s="51" t="s">
        <v>184</v>
      </c>
    </row>
    <row r="10" spans="1:2">
      <c r="A10" s="49" t="s">
        <v>146</v>
      </c>
      <c r="B10" s="51" t="s">
        <v>185</v>
      </c>
    </row>
    <row r="11" spans="1:2">
      <c r="A11" s="49" t="s">
        <v>186</v>
      </c>
      <c r="B11" s="64">
        <v>39000</v>
      </c>
    </row>
  </sheetData>
  <mergeCells count="1">
    <mergeCell ref="A1:B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14" sqref="B14"/>
    </sheetView>
  </sheetViews>
  <sheetFormatPr defaultColWidth="9" defaultRowHeight="14.4" outlineLevelRow="3" outlineLevelCol="3"/>
  <cols>
    <col min="1" max="1" width="13.5555555555556" customWidth="1"/>
    <col min="2" max="2" width="52" customWidth="1"/>
    <col min="3" max="3" width="49.8888888888889" customWidth="1"/>
    <col min="4" max="4" width="56.7777777777778" customWidth="1"/>
  </cols>
  <sheetData>
    <row r="1" customHeight="1" spans="1:4">
      <c r="A1" s="53" t="s">
        <v>187</v>
      </c>
      <c r="B1" s="54"/>
      <c r="C1" s="54"/>
      <c r="D1" s="55"/>
    </row>
    <row r="2" customHeight="1" spans="1:4">
      <c r="A2" s="56" t="s">
        <v>63</v>
      </c>
      <c r="B2" s="56" t="s">
        <v>188</v>
      </c>
      <c r="C2" s="57" t="s">
        <v>189</v>
      </c>
      <c r="D2" s="61" t="s">
        <v>28</v>
      </c>
    </row>
    <row r="3" ht="285" customHeight="1" spans="1:4">
      <c r="A3" s="51" t="s">
        <v>190</v>
      </c>
      <c r="B3" s="51" t="s">
        <v>191</v>
      </c>
      <c r="C3" s="58" t="s">
        <v>192</v>
      </c>
      <c r="D3" s="62" t="s">
        <v>193</v>
      </c>
    </row>
    <row r="4" ht="39.6" spans="1:4">
      <c r="A4" s="49" t="s">
        <v>70</v>
      </c>
      <c r="B4" s="51" t="s">
        <v>194</v>
      </c>
      <c r="C4" s="58" t="s">
        <v>195</v>
      </c>
      <c r="D4" s="58" t="s">
        <v>196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8" sqref="B18"/>
    </sheetView>
  </sheetViews>
  <sheetFormatPr defaultColWidth="9" defaultRowHeight="14.4" outlineLevelRow="6" outlineLevelCol="2"/>
  <cols>
    <col min="1" max="1" width="13.5555555555556" customWidth="1"/>
    <col min="2" max="2" width="52" customWidth="1"/>
    <col min="3" max="3" width="53.1111111111111" customWidth="1"/>
  </cols>
  <sheetData>
    <row r="1" customHeight="1" spans="1:3">
      <c r="A1" s="53" t="s">
        <v>197</v>
      </c>
      <c r="B1" s="54"/>
      <c r="C1" s="55"/>
    </row>
    <row r="2" customHeight="1" spans="1:3">
      <c r="A2" s="56" t="s">
        <v>63</v>
      </c>
      <c r="B2" s="56" t="s">
        <v>198</v>
      </c>
      <c r="C2" s="57" t="s">
        <v>199</v>
      </c>
    </row>
    <row r="3" ht="105.6" spans="1:3">
      <c r="A3" s="51" t="s">
        <v>197</v>
      </c>
      <c r="B3" s="51" t="s">
        <v>200</v>
      </c>
      <c r="C3" s="58" t="s">
        <v>201</v>
      </c>
    </row>
    <row r="4" spans="1:3">
      <c r="A4" s="51" t="s">
        <v>202</v>
      </c>
      <c r="B4" s="59">
        <f>120*31+1000</f>
        <v>4720</v>
      </c>
      <c r="C4" s="59">
        <f>102*31+200+(245+90)*7.15</f>
        <v>5757.25</v>
      </c>
    </row>
    <row r="5" ht="26.4" spans="1:3">
      <c r="A5" s="49" t="s">
        <v>70</v>
      </c>
      <c r="B5" s="51" t="s">
        <v>203</v>
      </c>
      <c r="C5" s="51" t="s">
        <v>203</v>
      </c>
    </row>
    <row r="6" spans="1:3">
      <c r="A6" s="49" t="s">
        <v>72</v>
      </c>
      <c r="B6" s="51" t="s">
        <v>204</v>
      </c>
      <c r="C6" s="51" t="s">
        <v>205</v>
      </c>
    </row>
    <row r="7" customHeight="1" spans="1:3">
      <c r="A7" s="50" t="s">
        <v>206</v>
      </c>
      <c r="B7" s="49" t="s">
        <v>207</v>
      </c>
      <c r="C7" s="60" t="s">
        <v>2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3" sqref="B3"/>
    </sheetView>
  </sheetViews>
  <sheetFormatPr defaultColWidth="9" defaultRowHeight="14.4" outlineLevelRow="6" outlineLevelCol="2"/>
  <cols>
    <col min="1" max="1" width="20.1111111111111" customWidth="1"/>
    <col min="2" max="2" width="53.7777777777778" customWidth="1"/>
    <col min="3" max="3" width="52.5555555555556" customWidth="1"/>
  </cols>
  <sheetData>
    <row r="1" customHeight="1" spans="1:3">
      <c r="A1" s="53" t="s">
        <v>208</v>
      </c>
      <c r="B1" s="54"/>
      <c r="C1" s="55"/>
    </row>
    <row r="2" customHeight="1" spans="1:3">
      <c r="A2" s="56" t="s">
        <v>63</v>
      </c>
      <c r="B2" s="56" t="s">
        <v>209</v>
      </c>
      <c r="C2" s="57" t="s">
        <v>210</v>
      </c>
    </row>
    <row r="3" ht="66" spans="1:3">
      <c r="A3" s="51" t="s">
        <v>211</v>
      </c>
      <c r="B3" s="51" t="s">
        <v>212</v>
      </c>
      <c r="C3" s="58" t="s">
        <v>213</v>
      </c>
    </row>
    <row r="4" ht="26.4" spans="1:3">
      <c r="A4" s="51" t="s">
        <v>214</v>
      </c>
      <c r="B4" s="59">
        <f>45*42+220*7.15</f>
        <v>3463</v>
      </c>
      <c r="C4" s="59">
        <f>150+28*42+200+(220+80)*7.15</f>
        <v>3671</v>
      </c>
    </row>
    <row r="5" ht="26.4" spans="1:3">
      <c r="A5" s="49" t="s">
        <v>70</v>
      </c>
      <c r="B5" s="51" t="s">
        <v>215</v>
      </c>
      <c r="C5" s="51" t="s">
        <v>215</v>
      </c>
    </row>
    <row r="6" ht="26.4" spans="1:3">
      <c r="A6" s="49" t="s">
        <v>72</v>
      </c>
      <c r="B6" s="51" t="s">
        <v>216</v>
      </c>
      <c r="C6" s="58" t="s">
        <v>217</v>
      </c>
    </row>
    <row r="7" customHeight="1" spans="1:3">
      <c r="A7" s="50" t="s">
        <v>206</v>
      </c>
      <c r="B7" s="49" t="s">
        <v>207</v>
      </c>
      <c r="C7" s="60" t="s">
        <v>2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1" sqref="B11"/>
    </sheetView>
  </sheetViews>
  <sheetFormatPr defaultColWidth="8.88888888888889" defaultRowHeight="14.4" outlineLevelRow="5" outlineLevelCol="2"/>
  <cols>
    <col min="1" max="1" width="15.3333333333333" customWidth="1"/>
    <col min="2" max="2" width="59.4444444444444" customWidth="1"/>
    <col min="3" max="3" width="56.1111111111111" customWidth="1"/>
  </cols>
  <sheetData>
    <row r="1" customHeight="1" spans="1:3">
      <c r="A1" s="49" t="s">
        <v>218</v>
      </c>
      <c r="B1" s="49"/>
    </row>
    <row r="2" spans="1:3">
      <c r="A2" s="50" t="s">
        <v>63</v>
      </c>
      <c r="B2" s="51" t="s">
        <v>219</v>
      </c>
      <c r="C2" s="51" t="s">
        <v>28</v>
      </c>
    </row>
    <row r="3" ht="198" spans="1:3">
      <c r="A3" s="51" t="s">
        <v>220</v>
      </c>
      <c r="B3" s="51" t="s">
        <v>221</v>
      </c>
      <c r="C3" s="51" t="s">
        <v>222</v>
      </c>
    </row>
    <row r="4" ht="26.4" spans="1:3">
      <c r="A4" s="49" t="s">
        <v>70</v>
      </c>
      <c r="B4" s="51" t="s">
        <v>223</v>
      </c>
      <c r="C4" s="51" t="s">
        <v>224</v>
      </c>
    </row>
    <row r="5" spans="1:3">
      <c r="A5" s="49" t="s">
        <v>182</v>
      </c>
      <c r="B5" s="52" t="s">
        <v>225</v>
      </c>
      <c r="C5" s="52" t="s">
        <v>226</v>
      </c>
    </row>
    <row r="6" spans="1:3">
      <c r="A6" s="49" t="s">
        <v>72</v>
      </c>
      <c r="B6" s="51" t="s">
        <v>227</v>
      </c>
      <c r="C6" s="51" t="s">
        <v>227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5" sqref="F5"/>
    </sheetView>
  </sheetViews>
  <sheetFormatPr defaultColWidth="9" defaultRowHeight="14.4" outlineLevelCol="3"/>
  <cols>
    <col min="1" max="1" width="11.4444444444444" customWidth="1"/>
    <col min="2" max="2" width="53.7777777777778" customWidth="1"/>
    <col min="3" max="3" width="48.6666666666667" customWidth="1"/>
    <col min="4" max="4" width="49.1111111111111" hidden="1" customWidth="1"/>
  </cols>
  <sheetData>
    <row r="1" spans="1:4">
      <c r="A1" t="s">
        <v>228</v>
      </c>
    </row>
    <row r="4" spans="1:4">
      <c r="A4" s="45" t="s">
        <v>2</v>
      </c>
      <c r="B4" s="45" t="s">
        <v>28</v>
      </c>
      <c r="C4" s="45" t="s">
        <v>219</v>
      </c>
      <c r="D4" s="45" t="s">
        <v>229</v>
      </c>
    </row>
    <row r="5" ht="409" customHeight="1" spans="1:4">
      <c r="A5" s="45" t="s">
        <v>4</v>
      </c>
      <c r="B5" s="46" t="s">
        <v>230</v>
      </c>
      <c r="C5" s="46" t="s">
        <v>231</v>
      </c>
      <c r="D5" s="46" t="s">
        <v>232</v>
      </c>
    </row>
    <row r="6" spans="1:4">
      <c r="A6" s="45" t="s">
        <v>233</v>
      </c>
      <c r="B6" s="47">
        <f>2400*11*7.3+(314+980+15+50+20+100)*11+100+450+350+200+(330*11+135*11+180+1800*11+195+65)*7.3</f>
        <v>395180.5</v>
      </c>
      <c r="C6" s="47">
        <f>(2200*11*7.3)+2100*11+200+950*11+(2700*11+300+130)*7.3</f>
        <v>430359</v>
      </c>
      <c r="D6" s="45"/>
    </row>
    <row r="7" spans="1:4">
      <c r="A7" s="48" t="s">
        <v>234</v>
      </c>
      <c r="B7" t="s">
        <v>235</v>
      </c>
    </row>
    <row r="8" spans="1:4">
      <c r="A8" s="48"/>
    </row>
    <row r="9" spans="1:4">
      <c r="A9" t="s">
        <v>34</v>
      </c>
    </row>
    <row r="10" spans="1:4">
      <c r="A10" t="s">
        <v>236</v>
      </c>
    </row>
    <row r="11" spans="1:4">
      <c r="A11" t="s">
        <v>237</v>
      </c>
    </row>
    <row r="12" spans="1:4">
      <c r="A12" t="s">
        <v>238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K15" sqref="K15"/>
    </sheetView>
  </sheetViews>
  <sheetFormatPr defaultColWidth="9" defaultRowHeight="14.4" outlineLevelCol="7"/>
  <sheetData>
    <row r="1" spans="1:8">
      <c r="A1" t="s">
        <v>239</v>
      </c>
    </row>
    <row r="5" spans="1:8">
      <c r="A5" t="s">
        <v>240</v>
      </c>
    </row>
    <row r="7" ht="13.5" customHeight="1" spans="1:8">
      <c r="A7" t="s">
        <v>241</v>
      </c>
    </row>
    <row r="8" ht="15.15"/>
    <row r="9" ht="15.15" spans="1:8">
      <c r="A9" s="33" t="s">
        <v>242</v>
      </c>
      <c r="B9" s="33"/>
      <c r="C9" s="34" t="s">
        <v>243</v>
      </c>
      <c r="D9" s="34" t="s">
        <v>244</v>
      </c>
      <c r="E9" s="34" t="s">
        <v>245</v>
      </c>
      <c r="F9" s="34"/>
      <c r="G9" s="34"/>
      <c r="H9" s="34"/>
    </row>
    <row r="10" ht="28.8" spans="1:8">
      <c r="A10" s="35" t="s">
        <v>246</v>
      </c>
      <c r="B10" s="36" t="s">
        <v>247</v>
      </c>
      <c r="C10" s="34"/>
      <c r="D10" s="34"/>
      <c r="E10" s="36" t="s">
        <v>248</v>
      </c>
      <c r="F10" s="36" t="s">
        <v>249</v>
      </c>
      <c r="G10" s="36" t="s">
        <v>250</v>
      </c>
      <c r="H10" s="37" t="s">
        <v>251</v>
      </c>
    </row>
    <row r="11" ht="28.8" spans="1:8">
      <c r="A11" s="35" t="s">
        <v>252</v>
      </c>
      <c r="B11" s="36" t="s">
        <v>253</v>
      </c>
      <c r="C11" s="36" t="s">
        <v>254</v>
      </c>
      <c r="D11" s="36" t="s">
        <v>255</v>
      </c>
      <c r="E11" s="36" t="s">
        <v>255</v>
      </c>
      <c r="F11" s="36" t="s">
        <v>255</v>
      </c>
      <c r="G11" s="36" t="s">
        <v>255</v>
      </c>
      <c r="H11" s="37" t="s">
        <v>255</v>
      </c>
    </row>
    <row r="12" ht="28.8" spans="1:8">
      <c r="A12" s="35" t="s">
        <v>256</v>
      </c>
      <c r="B12" s="36" t="s">
        <v>257</v>
      </c>
      <c r="C12" s="36" t="s">
        <v>254</v>
      </c>
      <c r="D12" s="36" t="s">
        <v>255</v>
      </c>
      <c r="E12" s="36" t="s">
        <v>258</v>
      </c>
      <c r="F12" s="36" t="s">
        <v>258</v>
      </c>
      <c r="G12" s="36" t="s">
        <v>258</v>
      </c>
      <c r="H12" s="37" t="s">
        <v>258</v>
      </c>
    </row>
    <row r="13" ht="28.8" spans="1:8">
      <c r="A13" s="35" t="s">
        <v>259</v>
      </c>
      <c r="B13" s="36" t="s">
        <v>260</v>
      </c>
      <c r="C13" s="36" t="s">
        <v>261</v>
      </c>
      <c r="D13" s="36" t="s">
        <v>255</v>
      </c>
      <c r="E13" s="36" t="s">
        <v>262</v>
      </c>
      <c r="F13" s="36" t="s">
        <v>262</v>
      </c>
      <c r="G13" s="36" t="s">
        <v>262</v>
      </c>
      <c r="H13" s="37" t="s">
        <v>262</v>
      </c>
    </row>
    <row r="14" ht="28.8" spans="1:8">
      <c r="A14" s="35" t="s">
        <v>263</v>
      </c>
      <c r="B14" s="36" t="s">
        <v>264</v>
      </c>
      <c r="C14" s="36" t="s">
        <v>265</v>
      </c>
      <c r="D14" s="36" t="s">
        <v>255</v>
      </c>
      <c r="E14" s="36" t="s">
        <v>266</v>
      </c>
      <c r="F14" s="36" t="s">
        <v>267</v>
      </c>
      <c r="G14" s="36" t="s">
        <v>267</v>
      </c>
      <c r="H14" s="37" t="s">
        <v>266</v>
      </c>
    </row>
    <row r="15" ht="28.5" customHeight="1" spans="1:8">
      <c r="A15" s="38" t="s">
        <v>268</v>
      </c>
      <c r="B15" s="39" t="s">
        <v>269</v>
      </c>
      <c r="C15" s="39" t="s">
        <v>270</v>
      </c>
      <c r="D15" s="39" t="s">
        <v>255</v>
      </c>
      <c r="E15" s="39" t="s">
        <v>271</v>
      </c>
      <c r="F15" s="39" t="s">
        <v>272</v>
      </c>
      <c r="G15" s="39" t="s">
        <v>272</v>
      </c>
      <c r="H15" s="40" t="s">
        <v>271</v>
      </c>
    </row>
    <row r="16" ht="15.15" spans="1:8">
      <c r="A16" s="28"/>
      <c r="B16" s="28"/>
      <c r="C16" s="28"/>
      <c r="D16" s="28"/>
      <c r="E16" s="28"/>
      <c r="F16" s="28"/>
      <c r="G16" s="28"/>
      <c r="H16" s="28"/>
    </row>
    <row r="17" ht="29.55" spans="1:8">
      <c r="A17" s="41" t="s">
        <v>72</v>
      </c>
      <c r="B17" s="41"/>
      <c r="C17" s="42" t="s">
        <v>273</v>
      </c>
      <c r="D17" s="42"/>
      <c r="E17" s="43" t="s">
        <v>274</v>
      </c>
      <c r="F17" s="43" t="s">
        <v>274</v>
      </c>
      <c r="G17" s="43" t="s">
        <v>274</v>
      </c>
      <c r="H17" s="44" t="s">
        <v>274</v>
      </c>
    </row>
  </sheetData>
  <mergeCells count="6">
    <mergeCell ref="A9:B9"/>
    <mergeCell ref="E9:H9"/>
    <mergeCell ref="A17:B17"/>
    <mergeCell ref="C17:D17"/>
    <mergeCell ref="C9:C10"/>
    <mergeCell ref="D9:D10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J12" sqref="J12"/>
    </sheetView>
  </sheetViews>
  <sheetFormatPr defaultColWidth="9" defaultRowHeight="14.4" outlineLevelCol="5"/>
  <cols>
    <col min="1" max="6" width="15.6296296296296" customWidth="1"/>
  </cols>
  <sheetData>
    <row r="1" ht="15.15" spans="1:6">
      <c r="A1" t="s">
        <v>275</v>
      </c>
    </row>
    <row r="2" ht="30" customHeight="1" spans="1:6">
      <c r="A2" s="1" t="s">
        <v>4</v>
      </c>
      <c r="B2" s="1"/>
      <c r="C2" s="2" t="s">
        <v>276</v>
      </c>
      <c r="D2" s="2" t="s">
        <v>277</v>
      </c>
      <c r="E2" s="2" t="s">
        <v>278</v>
      </c>
      <c r="F2" s="3" t="s">
        <v>279</v>
      </c>
    </row>
    <row r="3" ht="13.5" customHeight="1" spans="1:6">
      <c r="A3" s="4" t="s">
        <v>280</v>
      </c>
      <c r="B3" s="4"/>
      <c r="C3" s="5" t="s">
        <v>281</v>
      </c>
      <c r="D3" s="5" t="s">
        <v>281</v>
      </c>
      <c r="E3" s="6" t="s">
        <v>281</v>
      </c>
      <c r="F3" s="7" t="s">
        <v>281</v>
      </c>
    </row>
    <row r="4" ht="15" customHeight="1" spans="1:6">
      <c r="A4" s="8" t="s">
        <v>282</v>
      </c>
      <c r="B4" s="8"/>
      <c r="C4" s="9" t="s">
        <v>283</v>
      </c>
      <c r="D4" s="9" t="s">
        <v>284</v>
      </c>
      <c r="E4" s="10" t="s">
        <v>284</v>
      </c>
      <c r="F4" s="11" t="s">
        <v>284</v>
      </c>
    </row>
    <row r="5" ht="15" customHeight="1" spans="1:6">
      <c r="A5" s="12" t="s">
        <v>285</v>
      </c>
      <c r="B5" s="13" t="s">
        <v>286</v>
      </c>
      <c r="C5" s="14" t="s">
        <v>287</v>
      </c>
      <c r="D5" s="15" t="s">
        <v>287</v>
      </c>
      <c r="E5" s="15" t="s">
        <v>288</v>
      </c>
      <c r="F5" s="7" t="s">
        <v>289</v>
      </c>
    </row>
    <row r="6" spans="1:6">
      <c r="A6" s="12"/>
      <c r="B6" s="16" t="s">
        <v>290</v>
      </c>
      <c r="C6" s="17" t="s">
        <v>291</v>
      </c>
      <c r="D6" s="18" t="s">
        <v>292</v>
      </c>
      <c r="E6" s="18" t="s">
        <v>293</v>
      </c>
      <c r="F6" s="19" t="s">
        <v>294</v>
      </c>
    </row>
    <row r="7" ht="25.5" customHeight="1" spans="1:6">
      <c r="A7" s="20" t="s">
        <v>295</v>
      </c>
      <c r="B7" s="20"/>
      <c r="C7" s="17" t="s">
        <v>287</v>
      </c>
      <c r="D7" s="18" t="s">
        <v>2</v>
      </c>
      <c r="E7" s="18" t="s">
        <v>2</v>
      </c>
      <c r="F7" s="19" t="s">
        <v>2</v>
      </c>
    </row>
    <row r="8" ht="13.5" customHeight="1" spans="1:6">
      <c r="A8" s="17" t="s">
        <v>296</v>
      </c>
      <c r="B8" s="17"/>
      <c r="C8" s="17" t="s">
        <v>288</v>
      </c>
      <c r="D8" s="18" t="s">
        <v>2</v>
      </c>
      <c r="E8" s="18" t="s">
        <v>2</v>
      </c>
      <c r="F8" s="19" t="s">
        <v>2</v>
      </c>
    </row>
    <row r="9" ht="38.25" customHeight="1" spans="1:6">
      <c r="A9" s="21" t="s">
        <v>297</v>
      </c>
      <c r="B9" s="22" t="s">
        <v>286</v>
      </c>
      <c r="C9" s="17" t="s">
        <v>298</v>
      </c>
      <c r="D9" s="18" t="s">
        <v>298</v>
      </c>
      <c r="E9" s="18" t="s">
        <v>288</v>
      </c>
      <c r="F9" s="19" t="s">
        <v>299</v>
      </c>
    </row>
    <row r="10" ht="66" spans="1:6">
      <c r="A10" s="21"/>
      <c r="B10" s="22" t="s">
        <v>300</v>
      </c>
      <c r="C10" s="20" t="s">
        <v>301</v>
      </c>
      <c r="D10" s="19" t="s">
        <v>302</v>
      </c>
      <c r="E10" s="19" t="s">
        <v>303</v>
      </c>
      <c r="F10" s="19" t="s">
        <v>304</v>
      </c>
    </row>
    <row r="11" ht="52.8" spans="1:6">
      <c r="A11" s="21"/>
      <c r="B11" s="23" t="s">
        <v>305</v>
      </c>
      <c r="C11" s="24" t="s">
        <v>306</v>
      </c>
      <c r="D11" s="24" t="s">
        <v>306</v>
      </c>
      <c r="E11" s="24" t="s">
        <v>306</v>
      </c>
      <c r="F11" s="24" t="s">
        <v>306</v>
      </c>
    </row>
    <row r="12" ht="55.5" customHeight="1" spans="1:6">
      <c r="A12" s="8" t="s">
        <v>307</v>
      </c>
      <c r="B12" s="8"/>
      <c r="C12" s="25" t="s">
        <v>308</v>
      </c>
      <c r="D12" s="26" t="s">
        <v>308</v>
      </c>
      <c r="E12" s="26" t="s">
        <v>308</v>
      </c>
      <c r="F12" s="27" t="s">
        <v>308</v>
      </c>
    </row>
    <row r="13" spans="1:6">
      <c r="A13" s="28"/>
      <c r="B13" s="28"/>
      <c r="C13" s="29"/>
      <c r="D13" s="29"/>
      <c r="E13" s="29"/>
      <c r="F13" s="29"/>
    </row>
    <row r="14" spans="1:6">
      <c r="A14" s="30" t="s">
        <v>34</v>
      </c>
      <c r="B14" s="31"/>
      <c r="C14" s="32"/>
      <c r="D14" s="32"/>
      <c r="E14" s="32"/>
      <c r="F14" s="32"/>
    </row>
    <row r="15" spans="1:6">
      <c r="A15" s="30" t="s">
        <v>309</v>
      </c>
      <c r="B15" s="31"/>
      <c r="C15" s="32"/>
      <c r="D15" s="32"/>
      <c r="E15" s="32"/>
      <c r="F15" s="32"/>
    </row>
    <row r="16" spans="1:6">
      <c r="A16" s="30" t="s">
        <v>310</v>
      </c>
      <c r="B16" s="31"/>
      <c r="C16" s="32"/>
      <c r="D16" s="32"/>
      <c r="E16" s="32"/>
      <c r="F16" s="32"/>
    </row>
    <row r="17" spans="1:6">
      <c r="A17" s="30" t="s">
        <v>311</v>
      </c>
      <c r="B17" s="31"/>
      <c r="C17" s="32"/>
      <c r="D17" s="32"/>
      <c r="E17" s="32"/>
      <c r="F17" s="32"/>
    </row>
    <row r="18" spans="1:6">
      <c r="A18" s="30" t="s">
        <v>312</v>
      </c>
      <c r="B18" s="31"/>
      <c r="C18" s="32"/>
      <c r="D18" s="32"/>
      <c r="E18" s="32"/>
      <c r="F18" s="32"/>
    </row>
  </sheetData>
  <mergeCells count="8">
    <mergeCell ref="A2:B2"/>
    <mergeCell ref="A3:B3"/>
    <mergeCell ref="A4:B4"/>
    <mergeCell ref="A7:B7"/>
    <mergeCell ref="A8:B8"/>
    <mergeCell ref="A12:B12"/>
    <mergeCell ref="A5:A6"/>
    <mergeCell ref="A9:A1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4" sqref="D4"/>
    </sheetView>
  </sheetViews>
  <sheetFormatPr defaultColWidth="9" defaultRowHeight="14.4" outlineLevelRow="3"/>
  <sheetData>
    <row r="1" spans="1:1">
      <c r="A1" t="s">
        <v>313</v>
      </c>
    </row>
    <row r="2" spans="1:1">
      <c r="A2" t="s">
        <v>314</v>
      </c>
    </row>
    <row r="3" spans="1:1">
      <c r="A3" t="s">
        <v>315</v>
      </c>
    </row>
    <row r="4" spans="1:1">
      <c r="A4" t="s">
        <v>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深圳-香港-圣何塞</vt:lpstr>
      <vt:lpstr>北京-新加坡-巴西</vt:lpstr>
      <vt:lpstr>香港-荷兰</vt:lpstr>
      <vt:lpstr>香港-德国</vt:lpstr>
      <vt:lpstr>香港-新加坡</vt:lpstr>
      <vt:lpstr>香港-马来</vt:lpstr>
      <vt:lpstr>达拉斯-迈阿密 -硬盘</vt:lpstr>
      <vt:lpstr>国内-印尼</vt:lpstr>
      <vt:lpstr>深圳-香港-迈阿密询价</vt:lpstr>
      <vt:lpstr>法兰克福-迈阿密预估</vt:lpstr>
      <vt:lpstr>深圳-墨西哥成本</vt:lpstr>
      <vt:lpstr>香港-柬埔寨正清&amp; 快递</vt:lpstr>
      <vt:lpstr>香港-泰国</vt:lpstr>
      <vt:lpstr>达拉斯-迈阿密</vt:lpstr>
      <vt:lpstr>国内-西班牙</vt:lpstr>
      <vt:lpstr>柔佛-迈阿密</vt:lpstr>
      <vt:lpstr>台中仓储</vt:lpstr>
      <vt:lpstr>国内-雅加达</vt:lpstr>
      <vt:lpstr>国内-胡志明</vt:lpstr>
      <vt:lpstr>首尔-北京</vt:lpstr>
      <vt:lpstr>天津-巴拿马</vt:lpstr>
      <vt:lpstr>广州-印尼询价</vt:lpstr>
      <vt:lpstr>上海-香港专线</vt:lpstr>
      <vt:lpstr>香港-印度快递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马玉华</dc:creator>
  <cp:lastModifiedBy>弑心</cp:lastModifiedBy>
  <dcterms:created xsi:type="dcterms:W3CDTF">2025-10-11T02:33:00Z</dcterms:created>
  <dcterms:modified xsi:type="dcterms:W3CDTF">2025-12-26T10:07:17Z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E91D53DFA7E94AB6AFEB569CB23D96A0_13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