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82\Desktop\IMS ProSchool\TERM 2\"/>
    </mc:Choice>
  </mc:AlternateContent>
  <xr:revisionPtr revIDLastSave="0" documentId="13_ncr:1_{7FF08515-7097-467A-8C27-99682354FCEE}" xr6:coauthVersionLast="47" xr6:coauthVersionMax="47" xr10:uidLastSave="{00000000-0000-0000-0000-000000000000}"/>
  <bookViews>
    <workbookView xWindow="-108" yWindow="-108" windowWidth="23256" windowHeight="12456" activeTab="1" xr2:uid="{6B9DDE2C-5180-49E4-8B6C-7384AFAF9CA0}"/>
  </bookViews>
  <sheets>
    <sheet name="SEM-EMA" sheetId="3" r:id="rId1"/>
    <sheet name="EMA perf Validtn" sheetId="9" r:id="rId2"/>
    <sheet name="SMA" sheetId="1" r:id="rId3"/>
    <sheet name="SA-Seas" sheetId="4" r:id="rId4"/>
    <sheet name="WMA" sheetId="8" r:id="rId5"/>
    <sheet name="Ratio2Trend" sheetId="5" r:id="rId6"/>
    <sheet name="Ratio2MA" sheetId="6" r:id="rId7"/>
    <sheet name="L-R Method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9" l="1"/>
  <c r="E34" i="9"/>
  <c r="E32" i="9"/>
  <c r="E31" i="9"/>
  <c r="E33" i="9"/>
  <c r="D27" i="9"/>
  <c r="E27" i="9"/>
  <c r="F27" i="9"/>
  <c r="G27" i="9"/>
  <c r="C27" i="9"/>
  <c r="U14" i="9"/>
  <c r="V14" i="9"/>
  <c r="W14" i="9"/>
  <c r="X14" i="9"/>
  <c r="Y14" i="9"/>
  <c r="U13" i="9"/>
  <c r="V13" i="9"/>
  <c r="W13" i="9"/>
  <c r="X13" i="9"/>
  <c r="Y13" i="9"/>
  <c r="Y3" i="9"/>
  <c r="Y4" i="9"/>
  <c r="Y5" i="9"/>
  <c r="Y6" i="9"/>
  <c r="Y7" i="9"/>
  <c r="Y8" i="9"/>
  <c r="Y9" i="9"/>
  <c r="Y10" i="9"/>
  <c r="Y11" i="9"/>
  <c r="Y2" i="9"/>
  <c r="X3" i="9"/>
  <c r="X4" i="9"/>
  <c r="X5" i="9"/>
  <c r="X6" i="9"/>
  <c r="X7" i="9"/>
  <c r="X8" i="9"/>
  <c r="X9" i="9"/>
  <c r="X10" i="9"/>
  <c r="X11" i="9"/>
  <c r="X2" i="9"/>
  <c r="W3" i="9"/>
  <c r="W4" i="9"/>
  <c r="W5" i="9"/>
  <c r="W6" i="9"/>
  <c r="W7" i="9"/>
  <c r="W8" i="9"/>
  <c r="W9" i="9"/>
  <c r="W10" i="9"/>
  <c r="W11" i="9"/>
  <c r="W2" i="9"/>
  <c r="V3" i="9"/>
  <c r="V4" i="9"/>
  <c r="V5" i="9"/>
  <c r="V6" i="9"/>
  <c r="V7" i="9"/>
  <c r="V8" i="9"/>
  <c r="V9" i="9"/>
  <c r="V10" i="9"/>
  <c r="V11" i="9"/>
  <c r="V2" i="9"/>
  <c r="U3" i="9"/>
  <c r="U4" i="9"/>
  <c r="U5" i="9"/>
  <c r="U6" i="9"/>
  <c r="U7" i="9"/>
  <c r="U8" i="9"/>
  <c r="U9" i="9"/>
  <c r="U10" i="9"/>
  <c r="U11" i="9"/>
  <c r="U2" i="9"/>
  <c r="P14" i="9"/>
  <c r="Q14" i="9"/>
  <c r="R14" i="9"/>
  <c r="S14" i="9"/>
  <c r="O14" i="9"/>
  <c r="P13" i="9"/>
  <c r="Q13" i="9"/>
  <c r="R13" i="9"/>
  <c r="S13" i="9"/>
  <c r="O13" i="9"/>
  <c r="S3" i="9"/>
  <c r="S4" i="9"/>
  <c r="S5" i="9"/>
  <c r="S6" i="9"/>
  <c r="S7" i="9"/>
  <c r="S8" i="9"/>
  <c r="S9" i="9"/>
  <c r="S10" i="9"/>
  <c r="S11" i="9"/>
  <c r="S2" i="9"/>
  <c r="R3" i="9"/>
  <c r="R4" i="9"/>
  <c r="R5" i="9"/>
  <c r="R6" i="9"/>
  <c r="R7" i="9"/>
  <c r="R8" i="9"/>
  <c r="R9" i="9"/>
  <c r="R10" i="9"/>
  <c r="R11" i="9"/>
  <c r="R2" i="9"/>
  <c r="Q3" i="9"/>
  <c r="Q4" i="9"/>
  <c r="Q5" i="9"/>
  <c r="Q6" i="9"/>
  <c r="Q7" i="9"/>
  <c r="Q8" i="9"/>
  <c r="Q9" i="9"/>
  <c r="Q10" i="9"/>
  <c r="Q11" i="9"/>
  <c r="Q2" i="9"/>
  <c r="P3" i="9"/>
  <c r="P4" i="9"/>
  <c r="P5" i="9"/>
  <c r="P6" i="9"/>
  <c r="P7" i="9"/>
  <c r="P8" i="9"/>
  <c r="P9" i="9"/>
  <c r="P10" i="9"/>
  <c r="P11" i="9"/>
  <c r="P2" i="9"/>
  <c r="O3" i="9"/>
  <c r="O4" i="9"/>
  <c r="O5" i="9"/>
  <c r="O6" i="9"/>
  <c r="O7" i="9"/>
  <c r="O8" i="9"/>
  <c r="O9" i="9"/>
  <c r="O10" i="9"/>
  <c r="O11" i="9"/>
  <c r="O2" i="9"/>
  <c r="M3" i="9"/>
  <c r="M4" i="9"/>
  <c r="M5" i="9"/>
  <c r="M6" i="9"/>
  <c r="M7" i="9"/>
  <c r="M8" i="9"/>
  <c r="M9" i="9"/>
  <c r="M10" i="9"/>
  <c r="M11" i="9"/>
  <c r="M2" i="9"/>
  <c r="L3" i="9"/>
  <c r="L4" i="9"/>
  <c r="L5" i="9"/>
  <c r="L6" i="9"/>
  <c r="L7" i="9"/>
  <c r="L8" i="9"/>
  <c r="L9" i="9"/>
  <c r="L10" i="9"/>
  <c r="L11" i="9"/>
  <c r="L2" i="9"/>
  <c r="K3" i="9"/>
  <c r="K4" i="9"/>
  <c r="K5" i="9"/>
  <c r="K6" i="9"/>
  <c r="K7" i="9"/>
  <c r="K8" i="9"/>
  <c r="K9" i="9"/>
  <c r="K10" i="9"/>
  <c r="K11" i="9"/>
  <c r="K2" i="9"/>
  <c r="J3" i="9"/>
  <c r="J4" i="9"/>
  <c r="J5" i="9"/>
  <c r="J6" i="9"/>
  <c r="J7" i="9"/>
  <c r="J8" i="9"/>
  <c r="J9" i="9"/>
  <c r="J10" i="9"/>
  <c r="J11" i="9"/>
  <c r="J2" i="9"/>
  <c r="I3" i="9"/>
  <c r="I4" i="9"/>
  <c r="I5" i="9"/>
  <c r="I6" i="9"/>
  <c r="I7" i="9"/>
  <c r="I8" i="9"/>
  <c r="I9" i="9"/>
  <c r="I10" i="9"/>
  <c r="I11" i="9"/>
  <c r="I2" i="9"/>
  <c r="G4" i="9"/>
  <c r="G5" i="9"/>
  <c r="G6" i="9"/>
  <c r="G7" i="9"/>
  <c r="G8" i="9" s="1"/>
  <c r="G9" i="9" s="1"/>
  <c r="G10" i="9" s="1"/>
  <c r="G11" i="9" s="1"/>
  <c r="G3" i="9"/>
  <c r="F4" i="9"/>
  <c r="F5" i="9"/>
  <c r="F6" i="9"/>
  <c r="F7" i="9"/>
  <c r="F8" i="9" s="1"/>
  <c r="F9" i="9" s="1"/>
  <c r="F10" i="9" s="1"/>
  <c r="F11" i="9" s="1"/>
  <c r="F3" i="9"/>
  <c r="E4" i="9"/>
  <c r="E5" i="9"/>
  <c r="E6" i="9"/>
  <c r="E7" i="9"/>
  <c r="E8" i="9" s="1"/>
  <c r="E9" i="9" s="1"/>
  <c r="E10" i="9" s="1"/>
  <c r="E11" i="9" s="1"/>
  <c r="E3" i="9"/>
  <c r="D4" i="9"/>
  <c r="D5" i="9" s="1"/>
  <c r="D6" i="9" s="1"/>
  <c r="D7" i="9" s="1"/>
  <c r="D8" i="9" s="1"/>
  <c r="D9" i="9" s="1"/>
  <c r="D10" i="9" s="1"/>
  <c r="D11" i="9" s="1"/>
  <c r="D3" i="9"/>
  <c r="C4" i="9"/>
  <c r="C5" i="9"/>
  <c r="C6" i="9"/>
  <c r="C7" i="9"/>
  <c r="C8" i="9" s="1"/>
  <c r="C9" i="9" s="1"/>
  <c r="C10" i="9" s="1"/>
  <c r="C11" i="9" s="1"/>
  <c r="C3" i="9"/>
  <c r="D18" i="9"/>
  <c r="E18" i="9"/>
  <c r="F18" i="9"/>
  <c r="G18" i="9"/>
  <c r="C18" i="9"/>
  <c r="K39" i="3"/>
  <c r="K40" i="3"/>
  <c r="K41" i="3"/>
  <c r="K42" i="3"/>
  <c r="K43" i="3"/>
  <c r="K44" i="3"/>
  <c r="K45" i="3"/>
  <c r="K46" i="3"/>
  <c r="K38" i="3"/>
  <c r="J39" i="3"/>
  <c r="J40" i="3"/>
  <c r="J41" i="3"/>
  <c r="J42" i="3"/>
  <c r="J43" i="3"/>
  <c r="J44" i="3"/>
  <c r="J45" i="3"/>
  <c r="J46" i="3"/>
  <c r="J38" i="3"/>
  <c r="I39" i="3"/>
  <c r="I40" i="3"/>
  <c r="I41" i="3"/>
  <c r="I42" i="3"/>
  <c r="I43" i="3"/>
  <c r="I44" i="3"/>
  <c r="I45" i="3"/>
  <c r="I46" i="3"/>
  <c r="I38" i="3"/>
  <c r="H39" i="3"/>
  <c r="H40" i="3"/>
  <c r="H41" i="3"/>
  <c r="H42" i="3"/>
  <c r="H43" i="3"/>
  <c r="H44" i="3"/>
  <c r="H45" i="3"/>
  <c r="H46" i="3"/>
  <c r="H38" i="3"/>
  <c r="G39" i="3"/>
  <c r="G40" i="3"/>
  <c r="G41" i="3"/>
  <c r="G42" i="3"/>
  <c r="G43" i="3"/>
  <c r="G44" i="3"/>
  <c r="G45" i="3"/>
  <c r="G46" i="3"/>
  <c r="G38" i="3"/>
  <c r="F40" i="3"/>
  <c r="F41" i="3"/>
  <c r="F42" i="3"/>
  <c r="F43" i="3"/>
  <c r="F44" i="3"/>
  <c r="F45" i="3"/>
  <c r="F46" i="3"/>
  <c r="F39" i="3"/>
  <c r="F38" i="3"/>
  <c r="C4" i="8" l="1"/>
  <c r="C5" i="8"/>
  <c r="C6" i="8"/>
  <c r="C7" i="8"/>
  <c r="C8" i="8"/>
  <c r="C9" i="8"/>
  <c r="C10" i="8"/>
  <c r="C11" i="8"/>
  <c r="C3" i="8"/>
  <c r="A18" i="8"/>
  <c r="I10" i="7"/>
  <c r="J5" i="7"/>
  <c r="K5" i="7"/>
  <c r="L5" i="7"/>
  <c r="J6" i="7"/>
  <c r="K6" i="7"/>
  <c r="L6" i="7"/>
  <c r="I5" i="7"/>
  <c r="I6" i="7"/>
  <c r="J4" i="7"/>
  <c r="K4" i="7"/>
  <c r="L4" i="7"/>
  <c r="I4" i="7"/>
  <c r="K3" i="7"/>
  <c r="K8" i="7" s="1"/>
  <c r="L3" i="7"/>
  <c r="J3" i="7"/>
  <c r="I3" i="7"/>
  <c r="I8" i="7" s="1"/>
  <c r="K2" i="7"/>
  <c r="L2" i="7"/>
  <c r="L7" i="7" s="1"/>
  <c r="J2" i="7"/>
  <c r="O13" i="6"/>
  <c r="N12" i="6"/>
  <c r="N13" i="6" s="1"/>
  <c r="O12" i="6"/>
  <c r="P12" i="6"/>
  <c r="P13" i="6" s="1"/>
  <c r="M12" i="6"/>
  <c r="M13" i="6" s="1"/>
  <c r="E4" i="6"/>
  <c r="F4" i="6" s="1"/>
  <c r="G4" i="6" s="1"/>
  <c r="D4" i="6"/>
  <c r="D5" i="6"/>
  <c r="E5" i="6" s="1"/>
  <c r="F5" i="6" s="1"/>
  <c r="G5" i="6" s="1"/>
  <c r="D6" i="6"/>
  <c r="E7" i="6" s="1"/>
  <c r="F7" i="6" s="1"/>
  <c r="G7" i="6" s="1"/>
  <c r="D7" i="6"/>
  <c r="D8" i="6"/>
  <c r="E8" i="6" s="1"/>
  <c r="F8" i="6" s="1"/>
  <c r="G8" i="6" s="1"/>
  <c r="D9" i="6"/>
  <c r="E9" i="6" s="1"/>
  <c r="F9" i="6" s="1"/>
  <c r="G9" i="6" s="1"/>
  <c r="D10" i="6"/>
  <c r="D11" i="6"/>
  <c r="E11" i="6" s="1"/>
  <c r="F11" i="6" s="1"/>
  <c r="G11" i="6" s="1"/>
  <c r="D12" i="6"/>
  <c r="E13" i="6" s="1"/>
  <c r="F13" i="6" s="1"/>
  <c r="G13" i="6" s="1"/>
  <c r="D13" i="6"/>
  <c r="D14" i="6"/>
  <c r="E14" i="6" s="1"/>
  <c r="F14" i="6" s="1"/>
  <c r="G14" i="6" s="1"/>
  <c r="D15" i="6"/>
  <c r="D3" i="6"/>
  <c r="H4" i="5"/>
  <c r="J4" i="5" s="1"/>
  <c r="H5" i="5"/>
  <c r="J5" i="5" s="1"/>
  <c r="H6" i="5"/>
  <c r="J6" i="5" s="1"/>
  <c r="H3" i="5"/>
  <c r="J3" i="5" s="1"/>
  <c r="G4" i="5"/>
  <c r="G5" i="5"/>
  <c r="G6" i="5"/>
  <c r="G3" i="5"/>
  <c r="O14" i="6" l="1"/>
  <c r="Q13" i="6"/>
  <c r="P14" i="6" s="1"/>
  <c r="M14" i="6"/>
  <c r="E6" i="6"/>
  <c r="F6" i="6" s="1"/>
  <c r="G6" i="6" s="1"/>
  <c r="J7" i="7"/>
  <c r="E10" i="6"/>
  <c r="F10" i="6" s="1"/>
  <c r="G10" i="6" s="1"/>
  <c r="E15" i="6"/>
  <c r="F15" i="6" s="1"/>
  <c r="G15" i="6" s="1"/>
  <c r="K7" i="7"/>
  <c r="L8" i="7"/>
  <c r="J8" i="7"/>
  <c r="J9" i="7" s="1"/>
  <c r="E12" i="6"/>
  <c r="F12" i="6" s="1"/>
  <c r="G12" i="6" s="1"/>
  <c r="I7" i="7"/>
  <c r="K9" i="7"/>
  <c r="J7" i="5"/>
  <c r="H7" i="5"/>
  <c r="G7" i="5"/>
  <c r="N14" i="6" l="1"/>
  <c r="Q14" i="6" s="1"/>
  <c r="M16" i="6" s="1"/>
  <c r="L9" i="7"/>
  <c r="I13" i="7" l="1"/>
  <c r="F4" i="5"/>
  <c r="I4" i="5" s="1"/>
  <c r="F5" i="5"/>
  <c r="I5" i="5" s="1"/>
  <c r="F6" i="5"/>
  <c r="I6" i="5" s="1"/>
  <c r="F3" i="5"/>
  <c r="I3" i="5" s="1"/>
  <c r="F7" i="4"/>
  <c r="G7" i="4" s="1"/>
  <c r="C7" i="4"/>
  <c r="D7" i="4"/>
  <c r="E7" i="4"/>
  <c r="B7" i="4"/>
  <c r="C6" i="4"/>
  <c r="D6" i="4"/>
  <c r="E6" i="4"/>
  <c r="B6" i="4"/>
  <c r="B16" i="3"/>
  <c r="E2" i="3"/>
  <c r="D3" i="3"/>
  <c r="D4" i="3" s="1"/>
  <c r="B8" i="4" l="1"/>
  <c r="D8" i="4"/>
  <c r="C8" i="4"/>
  <c r="I14" i="7"/>
  <c r="K10" i="7" s="1"/>
  <c r="I15" i="7"/>
  <c r="J10" i="7"/>
  <c r="I7" i="5"/>
  <c r="B10" i="5" s="1"/>
  <c r="C10" i="5" s="1"/>
  <c r="P22" i="5" s="1"/>
  <c r="F7" i="5"/>
  <c r="B9" i="5" s="1"/>
  <c r="C9" i="5" s="1"/>
  <c r="E8" i="4"/>
  <c r="F8" i="4"/>
  <c r="D5" i="3"/>
  <c r="E4" i="3"/>
  <c r="F4" i="3" s="1"/>
  <c r="E3" i="3"/>
  <c r="F3" i="3" s="1"/>
  <c r="L10" i="7" l="1"/>
  <c r="I17" i="7" s="1"/>
  <c r="P23" i="5"/>
  <c r="D6" i="3"/>
  <c r="E5" i="3"/>
  <c r="F5" i="3" s="1"/>
  <c r="I11" i="7" l="1"/>
  <c r="K11" i="7"/>
  <c r="J11" i="7"/>
  <c r="L11" i="7"/>
  <c r="E37" i="5"/>
  <c r="M37" i="5" s="1"/>
  <c r="F36" i="5"/>
  <c r="N36" i="5" s="1"/>
  <c r="E39" i="5"/>
  <c r="M39" i="5" s="1"/>
  <c r="E36" i="5"/>
  <c r="M36" i="5" s="1"/>
  <c r="F37" i="5"/>
  <c r="N37" i="5" s="1"/>
  <c r="G36" i="5"/>
  <c r="O36" i="5" s="1"/>
  <c r="D38" i="5"/>
  <c r="L38" i="5" s="1"/>
  <c r="E38" i="5"/>
  <c r="M38" i="5" s="1"/>
  <c r="D39" i="5"/>
  <c r="L39" i="5" s="1"/>
  <c r="G37" i="5"/>
  <c r="O37" i="5" s="1"/>
  <c r="D36" i="5"/>
  <c r="L36" i="5" s="1"/>
  <c r="F39" i="5"/>
  <c r="N39" i="5" s="1"/>
  <c r="G39" i="5"/>
  <c r="O39" i="5" s="1"/>
  <c r="F38" i="5"/>
  <c r="N38" i="5" s="1"/>
  <c r="G38" i="5"/>
  <c r="O38" i="5" s="1"/>
  <c r="D37" i="5"/>
  <c r="L37" i="5" s="1"/>
  <c r="D7" i="3"/>
  <c r="E6" i="3"/>
  <c r="F6" i="3" s="1"/>
  <c r="D4" i="1"/>
  <c r="D5" i="1"/>
  <c r="D6" i="1"/>
  <c r="D7" i="1"/>
  <c r="D8" i="1"/>
  <c r="D9" i="1"/>
  <c r="D10" i="1"/>
  <c r="D11" i="1"/>
  <c r="D3" i="1"/>
  <c r="E7" i="1"/>
  <c r="E8" i="1"/>
  <c r="E9" i="1"/>
  <c r="E10" i="1"/>
  <c r="E11" i="1"/>
  <c r="E6" i="1"/>
  <c r="B15" i="3"/>
  <c r="C3" i="3" s="1"/>
  <c r="L40" i="5" l="1"/>
  <c r="N40" i="5"/>
  <c r="O41" i="5"/>
  <c r="N41" i="5"/>
  <c r="L41" i="5"/>
  <c r="O40" i="5"/>
  <c r="M41" i="5"/>
  <c r="M40" i="5"/>
  <c r="D8" i="3"/>
  <c r="E7" i="3"/>
  <c r="F7" i="3" s="1"/>
  <c r="C4" i="3"/>
  <c r="C5" i="3" s="1"/>
  <c r="C6" i="3" s="1"/>
  <c r="C7" i="3" s="1"/>
  <c r="C8" i="3" s="1"/>
  <c r="C9" i="3" s="1"/>
  <c r="C10" i="3" s="1"/>
  <c r="C11" i="3" s="1"/>
  <c r="C11" i="1"/>
  <c r="C5" i="1"/>
  <c r="C6" i="1"/>
  <c r="C7" i="1"/>
  <c r="C8" i="1"/>
  <c r="C9" i="1"/>
  <c r="C10" i="1"/>
  <c r="C4" i="1"/>
  <c r="P41" i="5" l="1"/>
  <c r="R35" i="5" s="1"/>
  <c r="D9" i="3"/>
  <c r="E8" i="3"/>
  <c r="F8" i="3" s="1"/>
  <c r="D10" i="3" l="1"/>
  <c r="E9" i="3"/>
  <c r="F9" i="3" s="1"/>
  <c r="D11" i="3" l="1"/>
  <c r="E11" i="3" s="1"/>
  <c r="F11" i="3" s="1"/>
  <c r="E10" i="3"/>
  <c r="F10" i="3" s="1"/>
  <c r="F12" i="3" l="1"/>
  <c r="B18" i="3" s="1"/>
</calcChain>
</file>

<file path=xl/sharedStrings.xml><?xml version="1.0" encoding="utf-8"?>
<sst xmlns="http://schemas.openxmlformats.org/spreadsheetml/2006/main" count="234" uniqueCount="165">
  <si>
    <t>Year</t>
  </si>
  <si>
    <t>Sales</t>
  </si>
  <si>
    <t>MA(3)</t>
  </si>
  <si>
    <t>SIMPLE MOVING AVERAGE</t>
  </si>
  <si>
    <t>Forecast (SES)</t>
  </si>
  <si>
    <t>Alpha</t>
  </si>
  <si>
    <t>1-Alpha</t>
  </si>
  <si>
    <t>0 = Over smoothing</t>
  </si>
  <si>
    <t>1 = Under smoothing</t>
  </si>
  <si>
    <t>MSE</t>
  </si>
  <si>
    <t>MA(2)</t>
  </si>
  <si>
    <t>MA(5)</t>
  </si>
  <si>
    <t>Forecast</t>
  </si>
  <si>
    <t>Error</t>
  </si>
  <si>
    <t>Sq Error</t>
  </si>
  <si>
    <t>SUM TOTAL</t>
  </si>
  <si>
    <t>Obsertn</t>
  </si>
  <si>
    <t>SSE</t>
  </si>
  <si>
    <r>
      <rPr>
        <b/>
        <sz val="28"/>
        <color theme="1"/>
        <rFont val="Calibri"/>
        <family val="2"/>
        <scheme val="minor"/>
      </rPr>
      <t>L</t>
    </r>
    <r>
      <rPr>
        <b/>
        <vertAlign val="subscript"/>
        <sz val="28"/>
        <color theme="1"/>
        <rFont val="Calibri"/>
        <family val="2"/>
        <scheme val="minor"/>
      </rPr>
      <t>t</t>
    </r>
    <r>
      <rPr>
        <b/>
        <sz val="28"/>
        <color theme="1"/>
        <rFont val="Calibri"/>
        <family val="2"/>
        <scheme val="minor"/>
      </rPr>
      <t xml:space="preserve"> = </t>
    </r>
    <r>
      <rPr>
        <b/>
        <sz val="28"/>
        <color theme="1"/>
        <rFont val="Symbol"/>
        <family val="1"/>
        <charset val="2"/>
      </rPr>
      <t>a</t>
    </r>
    <r>
      <rPr>
        <b/>
        <sz val="28"/>
        <color theme="1"/>
        <rFont val="Calibri"/>
        <family val="2"/>
      </rPr>
      <t>Y</t>
    </r>
    <r>
      <rPr>
        <b/>
        <vertAlign val="subscript"/>
        <sz val="28"/>
        <color theme="1"/>
        <rFont val="Calibri"/>
        <family val="2"/>
      </rPr>
      <t>t</t>
    </r>
    <r>
      <rPr>
        <b/>
        <sz val="28"/>
        <color theme="1"/>
        <rFont val="Calibri"/>
        <family val="2"/>
        <scheme val="minor"/>
      </rPr>
      <t xml:space="preserve"> + (1 - </t>
    </r>
    <r>
      <rPr>
        <b/>
        <sz val="28"/>
        <color theme="1"/>
        <rFont val="Symbol"/>
        <family val="1"/>
        <charset val="2"/>
      </rPr>
      <t>a</t>
    </r>
    <r>
      <rPr>
        <b/>
        <sz val="28"/>
        <color theme="1"/>
        <rFont val="Calibri"/>
        <family val="2"/>
      </rPr>
      <t>)L</t>
    </r>
    <r>
      <rPr>
        <b/>
        <vertAlign val="subscript"/>
        <sz val="28"/>
        <color theme="1"/>
        <rFont val="Calibri"/>
        <family val="2"/>
      </rPr>
      <t>t-1</t>
    </r>
  </si>
  <si>
    <t>Predicted value of current period</t>
  </si>
  <si>
    <t>Actual value of current period</t>
  </si>
  <si>
    <t>Predicted value of previous period</t>
  </si>
  <si>
    <r>
      <t>L</t>
    </r>
    <r>
      <rPr>
        <b/>
        <vertAlign val="subscript"/>
        <sz val="20"/>
        <color theme="1"/>
        <rFont val="Calibri"/>
        <family val="2"/>
        <scheme val="minor"/>
      </rPr>
      <t>t</t>
    </r>
  </si>
  <si>
    <r>
      <t>Y</t>
    </r>
    <r>
      <rPr>
        <b/>
        <vertAlign val="subscript"/>
        <sz val="20"/>
        <color theme="1"/>
        <rFont val="Calibri"/>
        <family val="2"/>
        <scheme val="minor"/>
      </rPr>
      <t>t</t>
    </r>
  </si>
  <si>
    <r>
      <t>L</t>
    </r>
    <r>
      <rPr>
        <b/>
        <vertAlign val="subscript"/>
        <sz val="20"/>
        <color theme="1"/>
        <rFont val="Calibri"/>
        <family val="2"/>
        <scheme val="minor"/>
      </rPr>
      <t>t-1</t>
    </r>
  </si>
  <si>
    <t>20x1</t>
  </si>
  <si>
    <t>20x2</t>
  </si>
  <si>
    <t>20x3</t>
  </si>
  <si>
    <t>Q1</t>
  </si>
  <si>
    <t>Q2</t>
  </si>
  <si>
    <t>Q3</t>
  </si>
  <si>
    <t>Q4</t>
  </si>
  <si>
    <t>Average</t>
  </si>
  <si>
    <t>Total</t>
  </si>
  <si>
    <t>SI</t>
  </si>
  <si>
    <t>SI = Seasonal Index</t>
  </si>
  <si>
    <t>G</t>
  </si>
  <si>
    <t>= Sum of Averages / # of intervals i.e. 4 for Qtr</t>
  </si>
  <si>
    <t xml:space="preserve">SI </t>
  </si>
  <si>
    <t>= (Average / G)*100</t>
  </si>
  <si>
    <t>Adjust SI values if SI Total = 100 * # of Intervals (e.g. 4 for quarter)</t>
  </si>
  <si>
    <t>SIMPLE AVERAGE SEASONALITY</t>
  </si>
  <si>
    <t>RATIO TO TREND</t>
  </si>
  <si>
    <t>Y average</t>
  </si>
  <si>
    <t>STEPS</t>
  </si>
  <si>
    <t>X = 2(t - 2012.5)</t>
  </si>
  <si>
    <t>X*Y</t>
  </si>
  <si>
    <t>X square</t>
  </si>
  <si>
    <t>2. For calculation of X column, we took a random value midway into the X-series i.e 2012.5. We multiplied it by 2 to avoid decimal values</t>
  </si>
  <si>
    <t>1. We need to find a Linear Trend for the data for each Year. To do that we start from STEP 2 below</t>
  </si>
  <si>
    <r>
      <t>β</t>
    </r>
    <r>
      <rPr>
        <vertAlign val="subscript"/>
        <sz val="18"/>
        <color theme="1"/>
        <rFont val="Calibri"/>
        <family val="2"/>
      </rPr>
      <t>0</t>
    </r>
  </si>
  <si>
    <r>
      <t>β</t>
    </r>
    <r>
      <rPr>
        <vertAlign val="subscript"/>
        <sz val="18"/>
        <color theme="1"/>
        <rFont val="Calibri"/>
        <family val="2"/>
      </rPr>
      <t>1</t>
    </r>
  </si>
  <si>
    <t>This is because we took an assumed midpoint that was closer to 2013</t>
  </si>
  <si>
    <t>3. We have EQUATIONS eq.1 and eq.2</t>
  </si>
  <si>
    <t>5. When we consider eq.2, since SUM(X) = 0, we get BETA_0 and BETA_1 as above … substitute SUMX=0 in both eq. and eq.2</t>
  </si>
  <si>
    <t>4. By solving for above 2 equations, with the above procedure we are aiming to obtain Beta0 and Beta1 values</t>
  </si>
  <si>
    <t>6. Substitute to get the Trend line EQN. However, this is a HALF-YEARLY Trend Line and needs to be converted to Quarterly!!</t>
  </si>
  <si>
    <t>7. Half-Yearly Trend since we had multiplied by 2 earlier in X. If we don't do it we will get an ANNUAL trend line eqn.</t>
  </si>
  <si>
    <t>8. So, Quarterly trend will have BETA_0 divided by 4 and BETA_1 divided by 8</t>
  </si>
  <si>
    <t>9. Now, mid-value between a quarter (e.g. 1st quarter i.e. Jan-Mar 2013, will be 15th February 2013</t>
  </si>
  <si>
    <t>10. If we shift orgin of the quarter to 15th February 2013, then we have to divide X by 0.5</t>
  </si>
  <si>
    <t>12. Recalculate above TABLE with the new trend line equation in point 11 above</t>
  </si>
  <si>
    <t>Ratio to Trend Table</t>
  </si>
  <si>
    <t>Trend line eqn : Y = 240.8-0.86*X; Origin @ 1 Jan 2013, unit of 6 months</t>
  </si>
  <si>
    <t>New Trend line eqn : Y = (240.8/4)-(3.45/8)*X; Origin @ 1 Jan 2013, unit of 3 months</t>
  </si>
  <si>
    <t>New Trend line eqn : Y = 60.19-(0.43)*X; Origin @ 1 Jan 2013, unit of 3 months</t>
  </si>
  <si>
    <t>14. Ratio to Trend Table is calculated as (Original Y / Trend Y)*100</t>
  </si>
  <si>
    <t>Use below in # 13</t>
  </si>
  <si>
    <t>11. With that New Trend Line eqn : Y = 60.19-0.43*(X+1/2); Origin @ 15 Feb 2013, unit of 3 months OR 1 quarter</t>
  </si>
  <si>
    <t>13. New Trend line eqn. using eqn. in #12 : 59.97-0.43*X</t>
  </si>
  <si>
    <t>Use X - values for recalculation Table</t>
  </si>
  <si>
    <t>14. We use the grid for calculating Table; First we subtract and then we add values across time period</t>
  </si>
  <si>
    <t xml:space="preserve"> </t>
  </si>
  <si>
    <t>Trend Y Table</t>
  </si>
  <si>
    <t>15. Since G value is around 100, NO NEED to adjust averages</t>
  </si>
  <si>
    <t>Add Values</t>
  </si>
  <si>
    <t>Subtract Values</t>
  </si>
  <si>
    <t>ASSUMPTIONS</t>
  </si>
  <si>
    <t>1. Assumes Cyclicity is absent in data</t>
  </si>
  <si>
    <t>2. ONLY Trend, Seasonality and Random variation is present</t>
  </si>
  <si>
    <t>3. Asumption #1 is an unrealistic assumption -- DEMERIT OF THIS METHOD</t>
  </si>
  <si>
    <t>4. Method DOES NOT work with CYCLICAL variations in data</t>
  </si>
  <si>
    <t>&lt;-- No need to adjust SI</t>
  </si>
  <si>
    <t>Since there are 16 Quarters a mid-point is chosen</t>
  </si>
  <si>
    <t>Then, value are subtracted for older quarters and</t>
  </si>
  <si>
    <t>values are added for newer quarters</t>
  </si>
  <si>
    <t>16. THE METHOD WILL WORK EVEN WITHOUT MULTIPLYING BY 2 IN STEP2 AND JUMPING STEP9</t>
  </si>
  <si>
    <t>Quarter</t>
  </si>
  <si>
    <t>Centered Total</t>
  </si>
  <si>
    <t>MTotal(4)</t>
  </si>
  <si>
    <t>MA(4)</t>
  </si>
  <si>
    <t>Y/M * 100</t>
  </si>
  <si>
    <t>Original Table</t>
  </si>
  <si>
    <t>SI Table from Y/M</t>
  </si>
  <si>
    <t>-</t>
  </si>
  <si>
    <t>G =</t>
  </si>
  <si>
    <t>&lt;--- No need to adjust SI</t>
  </si>
  <si>
    <t>(Refer discussion on G and SI in SA-Seas Sheet)</t>
  </si>
  <si>
    <t>(See discussion in previous Sheet)</t>
  </si>
  <si>
    <t>Mean</t>
  </si>
  <si>
    <t>CR</t>
  </si>
  <si>
    <t>CR (Adj)</t>
  </si>
  <si>
    <t>CR (1st-4th)</t>
  </si>
  <si>
    <t>TR adj factor</t>
  </si>
  <si>
    <t>For Quarter divide by 4</t>
  </si>
  <si>
    <t>For Annual divide by 12</t>
  </si>
  <si>
    <t>Grand Avg of Adj. CR (G)</t>
  </si>
  <si>
    <t>ASSUMPTION</t>
  </si>
  <si>
    <t>1. Trend is linear</t>
  </si>
  <si>
    <t>3. Obviously above 2 are NOT always TRUE</t>
  </si>
  <si>
    <t>MORE PREFERRED METHOD CONSIDERING ALL METHODS</t>
  </si>
  <si>
    <t>2. Cyclical variations have uniform pattern</t>
  </si>
  <si>
    <t>Alpha: smoothing parameter</t>
  </si>
  <si>
    <t>weights</t>
  </si>
  <si>
    <t>ADVANTAGE</t>
  </si>
  <si>
    <t>smooths out the trend</t>
  </si>
  <si>
    <t>DISADVANTAGE</t>
  </si>
  <si>
    <t>oversmoothing can be possible</t>
  </si>
  <si>
    <t>lags the trend</t>
  </si>
  <si>
    <t>need a large amount of historical data</t>
  </si>
  <si>
    <t>need accurate historical data</t>
  </si>
  <si>
    <t>differential weights as per time-period possible</t>
  </si>
  <si>
    <t>1.SMA</t>
  </si>
  <si>
    <t>2.WMA</t>
  </si>
  <si>
    <t>3.SEM</t>
  </si>
  <si>
    <t>4.SES</t>
  </si>
  <si>
    <t>Wts-0.075</t>
  </si>
  <si>
    <t>wts2- 0.8</t>
  </si>
  <si>
    <t>wts3- 0.9</t>
  </si>
  <si>
    <t>wts4- 0.1</t>
  </si>
  <si>
    <t>wts5- 0.2</t>
  </si>
  <si>
    <t>wts6- 0.3</t>
  </si>
  <si>
    <t>SLOW DECAY ----&gt;</t>
  </si>
  <si>
    <t>FAST DECAY -----&gt;</t>
  </si>
  <si>
    <t>SIMPLE EXPONENTIAL METHOD</t>
  </si>
  <si>
    <t>SIMPLE EXPONENTIAL SMOOTHING</t>
  </si>
  <si>
    <t>Faster decay for older data with lower weights; Slower decay for older data with higher weights</t>
  </si>
  <si>
    <t>As a result, older values retain prevalence in current time-period for higher weights</t>
  </si>
  <si>
    <t>Smoothing co-efficient varlation DOES NOT get applied properly across all data points</t>
  </si>
  <si>
    <t>Faster decay for older values with higher weights; Gradual decay with lower weights on older data</t>
  </si>
  <si>
    <t>More current value retains prevalence in current time-period</t>
  </si>
  <si>
    <t>Smoothing co-efficient variation gets applied properly across all data points</t>
  </si>
  <si>
    <t>Forcast (0.5)</t>
  </si>
  <si>
    <t>Forcast (0.1)</t>
  </si>
  <si>
    <t>Forcast (0.3)</t>
  </si>
  <si>
    <t>Forcast (0.6)</t>
  </si>
  <si>
    <t>Forcast (0.9)</t>
  </si>
  <si>
    <t>Diff 0.5</t>
  </si>
  <si>
    <t>Diff 0.1</t>
  </si>
  <si>
    <t>Diff 0.3</t>
  </si>
  <si>
    <t>Diff 0.6</t>
  </si>
  <si>
    <t>Diff 0.9</t>
  </si>
  <si>
    <t>Sq 0.5</t>
  </si>
  <si>
    <t>Sq 0.1</t>
  </si>
  <si>
    <t>Sq 0.3</t>
  </si>
  <si>
    <t>Sq 0.6</t>
  </si>
  <si>
    <t>Sq 0.9</t>
  </si>
  <si>
    <t>MAPE 0.5</t>
  </si>
  <si>
    <t>MAPE 0.1</t>
  </si>
  <si>
    <t>MAPE 0.3</t>
  </si>
  <si>
    <t>MAPE 0.6</t>
  </si>
  <si>
    <t>MAPE 0.9</t>
  </si>
  <si>
    <t>MAPE</t>
  </si>
  <si>
    <t>RMSE</t>
  </si>
  <si>
    <t>`ALPHA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</si>
</sst>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24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vertAlign val="subscript"/>
      <sz val="28"/>
      <color theme="1"/>
      <name val="Calibri"/>
      <family val="2"/>
      <scheme val="minor"/>
    </font>
    <font>
      <b/>
      <sz val="28"/>
      <color theme="1"/>
      <name val="Symbol"/>
      <family val="1"/>
      <charset val="2"/>
    </font>
    <font>
      <b/>
      <sz val="28"/>
      <color theme="1"/>
      <name val="Calibri"/>
      <family val="2"/>
    </font>
    <font>
      <b/>
      <vertAlign val="subscript"/>
      <sz val="28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</font>
    <font>
      <vertAlign val="subscript"/>
      <sz val="18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74">
    <xf numFmtId="0" fontId="0" fillId="0" borderId="0" xfId="0"/>
    <xf numFmtId="2" fontId="0" fillId="0" borderId="0" xfId="0" applyNumberFormat="1"/>
    <xf numFmtId="0" fontId="0" fillId="3" borderId="0" xfId="0" applyFill="1"/>
    <xf numFmtId="0" fontId="2" fillId="0" borderId="0" xfId="0" applyFont="1"/>
    <xf numFmtId="0" fontId="2" fillId="4" borderId="0" xfId="0" applyFont="1" applyFill="1"/>
    <xf numFmtId="164" fontId="0" fillId="0" borderId="0" xfId="0" applyNumberFormat="1"/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quotePrefix="1" applyFont="1"/>
    <xf numFmtId="164" fontId="2" fillId="0" borderId="0" xfId="0" applyNumberFormat="1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2" borderId="0" xfId="0" applyFont="1" applyFill="1"/>
    <xf numFmtId="0" fontId="19" fillId="2" borderId="1" xfId="0" applyFont="1" applyFill="1" applyBorder="1"/>
    <xf numFmtId="2" fontId="19" fillId="2" borderId="13" xfId="0" applyNumberFormat="1" applyFont="1" applyFill="1" applyBorder="1"/>
    <xf numFmtId="2" fontId="19" fillId="3" borderId="12" xfId="0" applyNumberFormat="1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" fontId="0" fillId="2" borderId="3" xfId="0" applyNumberFormat="1" applyFill="1" applyBorder="1"/>
    <xf numFmtId="0" fontId="0" fillId="2" borderId="5" xfId="0" applyFill="1" applyBorder="1"/>
    <xf numFmtId="0" fontId="0" fillId="2" borderId="14" xfId="0" applyFill="1" applyBorder="1"/>
    <xf numFmtId="0" fontId="0" fillId="2" borderId="6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2" fillId="2" borderId="18" xfId="0" applyFont="1" applyFill="1" applyBorder="1" applyAlignment="1">
      <alignment horizontal="center"/>
    </xf>
    <xf numFmtId="0" fontId="2" fillId="2" borderId="20" xfId="0" applyFont="1" applyFill="1" applyBorder="1"/>
    <xf numFmtId="0" fontId="20" fillId="0" borderId="0" xfId="0" applyFont="1"/>
    <xf numFmtId="0" fontId="10" fillId="5" borderId="0" xfId="0" applyFont="1" applyFill="1"/>
    <xf numFmtId="0" fontId="10" fillId="5" borderId="22" xfId="0" applyFont="1" applyFill="1" applyBorder="1"/>
    <xf numFmtId="0" fontId="11" fillId="5" borderId="0" xfId="0" applyFont="1" applyFill="1"/>
    <xf numFmtId="0" fontId="11" fillId="5" borderId="23" xfId="0" applyFont="1" applyFill="1" applyBorder="1"/>
    <xf numFmtId="0" fontId="10" fillId="5" borderId="24" xfId="0" applyFont="1" applyFill="1" applyBorder="1"/>
    <xf numFmtId="0" fontId="0" fillId="5" borderId="21" xfId="0" applyFill="1" applyBorder="1"/>
    <xf numFmtId="0" fontId="0" fillId="5" borderId="25" xfId="0" applyFill="1" applyBorder="1"/>
    <xf numFmtId="0" fontId="10" fillId="0" borderId="0" xfId="0" applyFont="1"/>
    <xf numFmtId="2" fontId="19" fillId="0" borderId="0" xfId="0" applyNumberFormat="1" applyFont="1"/>
    <xf numFmtId="0" fontId="21" fillId="2" borderId="0" xfId="0" applyFont="1" applyFill="1"/>
    <xf numFmtId="0" fontId="0" fillId="0" borderId="0" xfId="0" quotePrefix="1" applyAlignment="1">
      <alignment horizontal="center"/>
    </xf>
    <xf numFmtId="0" fontId="21" fillId="2" borderId="22" xfId="0" applyFont="1" applyFill="1" applyBorder="1"/>
    <xf numFmtId="0" fontId="20" fillId="2" borderId="23" xfId="0" applyFont="1" applyFill="1" applyBorder="1"/>
    <xf numFmtId="0" fontId="21" fillId="2" borderId="24" xfId="0" applyFont="1" applyFill="1" applyBorder="1"/>
    <xf numFmtId="0" fontId="21" fillId="2" borderId="21" xfId="0" applyFont="1" applyFill="1" applyBorder="1"/>
    <xf numFmtId="0" fontId="20" fillId="2" borderId="25" xfId="0" applyFont="1" applyFill="1" applyBorder="1"/>
    <xf numFmtId="0" fontId="22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10" fillId="5" borderId="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0" fillId="0" borderId="0" xfId="0" applyAlignment="1">
      <alignment horizontal="center" vertical="top" wrapText="1"/>
    </xf>
    <xf numFmtId="0" fontId="18" fillId="2" borderId="7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/>
          </c:spPr>
          <c:val>
            <c:numRef>
              <c:f>'SEM-EMA'!$B$2:$B$11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4-4ED0-BF87-9D200EBC9101}"/>
            </c:ext>
          </c:extLst>
        </c:ser>
        <c:ser>
          <c:idx val="1"/>
          <c:order val="1"/>
          <c:tx>
            <c:v>Forecast</c:v>
          </c:tx>
          <c:spPr>
            <a:ln w="34925"/>
          </c:spPr>
          <c:val>
            <c:numRef>
              <c:f>'SEM-EMA'!$D$2:$D$11</c:f>
              <c:numCache>
                <c:formatCode>0.00</c:formatCode>
                <c:ptCount val="10"/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6.5</c:v>
                </c:pt>
                <c:pt idx="5">
                  <c:v>7.75</c:v>
                </c:pt>
                <c:pt idx="6">
                  <c:v>6.375</c:v>
                </c:pt>
                <c:pt idx="7">
                  <c:v>5.1875</c:v>
                </c:pt>
                <c:pt idx="8">
                  <c:v>4.09375</c:v>
                </c:pt>
                <c:pt idx="9">
                  <c:v>5.546875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4-4ED0-BF87-9D200EBC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738639"/>
        <c:axId val="1259738223"/>
      </c:lineChart>
      <c:catAx>
        <c:axId val="1259738639"/>
        <c:scaling>
          <c:orientation val="minMax"/>
        </c:scaling>
        <c:delete val="0"/>
        <c:axPos val="b"/>
        <c:majorTickMark val="out"/>
        <c:minorTickMark val="none"/>
        <c:tickLblPos val="nextTo"/>
        <c:crossAx val="1259738223"/>
        <c:crosses val="autoZero"/>
        <c:auto val="1"/>
        <c:lblAlgn val="ctr"/>
        <c:lblOffset val="100"/>
        <c:noMultiLvlLbl val="0"/>
      </c:catAx>
      <c:valAx>
        <c:axId val="12597382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9738639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'SEM-EMA'!$F$36</c:f>
              <c:strCache>
                <c:ptCount val="1"/>
                <c:pt idx="0">
                  <c:v>Wts-0.075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'SEM-EMA'!$E$37:$E$46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'SEM-EMA'!$F$37:$F$46</c:f>
              <c:numCache>
                <c:formatCode>General</c:formatCode>
                <c:ptCount val="10"/>
                <c:pt idx="0">
                  <c:v>0.75</c:v>
                </c:pt>
                <c:pt idx="1">
                  <c:v>0.5625</c:v>
                </c:pt>
                <c:pt idx="2">
                  <c:v>0.421875</c:v>
                </c:pt>
                <c:pt idx="3">
                  <c:v>0.31640625</c:v>
                </c:pt>
                <c:pt idx="4">
                  <c:v>0.2373046875</c:v>
                </c:pt>
                <c:pt idx="5">
                  <c:v>0.177978515625</c:v>
                </c:pt>
                <c:pt idx="6">
                  <c:v>0.13348388671875</c:v>
                </c:pt>
                <c:pt idx="7">
                  <c:v>0.1001129150390625</c:v>
                </c:pt>
                <c:pt idx="8">
                  <c:v>7.5084686279296875E-2</c:v>
                </c:pt>
                <c:pt idx="9">
                  <c:v>5.6313514709472656E-2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A-400A-8891-BDA0045CE5E3}"/>
            </c:ext>
          </c:extLst>
        </c:ser>
        <c:ser>
          <c:idx val="1"/>
          <c:order val="1"/>
          <c:tx>
            <c:strRef>
              <c:f>'SEM-EMA'!$G$36</c:f>
              <c:strCache>
                <c:ptCount val="1"/>
                <c:pt idx="0">
                  <c:v>wts2- 0.8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'SEM-EMA'!$E$37:$E$46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'SEM-EMA'!$G$37:$G$46</c:f>
              <c:numCache>
                <c:formatCode>General</c:formatCode>
                <c:ptCount val="10"/>
                <c:pt idx="0">
                  <c:v>0.8</c:v>
                </c:pt>
                <c:pt idx="1">
                  <c:v>0.64000000000000012</c:v>
                </c:pt>
                <c:pt idx="2">
                  <c:v>0.51200000000000012</c:v>
                </c:pt>
                <c:pt idx="3">
                  <c:v>0.40960000000000019</c:v>
                </c:pt>
                <c:pt idx="4">
                  <c:v>0.32768000000000019</c:v>
                </c:pt>
                <c:pt idx="5">
                  <c:v>0.26214400000000015</c:v>
                </c:pt>
                <c:pt idx="6">
                  <c:v>0.20971520000000016</c:v>
                </c:pt>
                <c:pt idx="7">
                  <c:v>0.16777216000000014</c:v>
                </c:pt>
                <c:pt idx="8">
                  <c:v>0.13421772800000012</c:v>
                </c:pt>
                <c:pt idx="9">
                  <c:v>0.10737418240000011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A-400A-8891-BDA0045CE5E3}"/>
            </c:ext>
          </c:extLst>
        </c:ser>
        <c:ser>
          <c:idx val="2"/>
          <c:order val="2"/>
          <c:tx>
            <c:strRef>
              <c:f>'SEM-EMA'!$H$36</c:f>
              <c:strCache>
                <c:ptCount val="1"/>
                <c:pt idx="0">
                  <c:v>wts3- 0.9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'SEM-EMA'!$E$37:$E$46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'SEM-EMA'!$H$37:$H$46</c:f>
              <c:numCache>
                <c:formatCode>General</c:formatCode>
                <c:ptCount val="10"/>
                <c:pt idx="0">
                  <c:v>0.9</c:v>
                </c:pt>
                <c:pt idx="1">
                  <c:v>0.81</c:v>
                </c:pt>
                <c:pt idx="2">
                  <c:v>0.72900000000000009</c:v>
                </c:pt>
                <c:pt idx="3">
                  <c:v>0.65610000000000013</c:v>
                </c:pt>
                <c:pt idx="4">
                  <c:v>0.59049000000000018</c:v>
                </c:pt>
                <c:pt idx="5">
                  <c:v>0.53144100000000016</c:v>
                </c:pt>
                <c:pt idx="6">
                  <c:v>0.47829690000000014</c:v>
                </c:pt>
                <c:pt idx="7">
                  <c:v>0.43046721000000016</c:v>
                </c:pt>
                <c:pt idx="8">
                  <c:v>0.38742048900000015</c:v>
                </c:pt>
                <c:pt idx="9">
                  <c:v>0.34867844010000015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A-400A-8891-BDA0045CE5E3}"/>
            </c:ext>
          </c:extLst>
        </c:ser>
        <c:ser>
          <c:idx val="3"/>
          <c:order val="3"/>
          <c:tx>
            <c:strRef>
              <c:f>'SEM-EMA'!$I$36</c:f>
              <c:strCache>
                <c:ptCount val="1"/>
                <c:pt idx="0">
                  <c:v>wts4- 0.1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'SEM-EMA'!$E$37:$E$46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'SEM-EMA'!$I$37:$I$46</c:f>
              <c:numCache>
                <c:formatCode>General</c:formatCode>
                <c:ptCount val="10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1.0000000000000005E-4</c:v>
                </c:pt>
                <c:pt idx="4">
                  <c:v>1.0000000000000006E-5</c:v>
                </c:pt>
                <c:pt idx="5">
                  <c:v>1.0000000000000006E-6</c:v>
                </c:pt>
                <c:pt idx="6">
                  <c:v>1.0000000000000007E-7</c:v>
                </c:pt>
                <c:pt idx="7">
                  <c:v>1.0000000000000008E-8</c:v>
                </c:pt>
                <c:pt idx="8">
                  <c:v>1.0000000000000009E-9</c:v>
                </c:pt>
                <c:pt idx="9">
                  <c:v>1.0000000000000011E-10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9A-400A-8891-BDA0045CE5E3}"/>
            </c:ext>
          </c:extLst>
        </c:ser>
        <c:ser>
          <c:idx val="4"/>
          <c:order val="4"/>
          <c:tx>
            <c:strRef>
              <c:f>'SEM-EMA'!$J$36</c:f>
              <c:strCache>
                <c:ptCount val="1"/>
                <c:pt idx="0">
                  <c:v>wts5- 0.2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'SEM-EMA'!$E$37:$E$46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'SEM-EMA'!$J$37:$J$46</c:f>
              <c:numCache>
                <c:formatCode>General</c:formatCode>
                <c:ptCount val="10"/>
                <c:pt idx="0">
                  <c:v>0.2</c:v>
                </c:pt>
                <c:pt idx="1">
                  <c:v>4.0000000000000008E-2</c:v>
                </c:pt>
                <c:pt idx="2">
                  <c:v>8.0000000000000019E-3</c:v>
                </c:pt>
                <c:pt idx="3">
                  <c:v>1.6000000000000007E-3</c:v>
                </c:pt>
                <c:pt idx="4">
                  <c:v>3.2000000000000019E-4</c:v>
                </c:pt>
                <c:pt idx="5">
                  <c:v>6.4000000000000038E-5</c:v>
                </c:pt>
                <c:pt idx="6">
                  <c:v>1.280000000000001E-5</c:v>
                </c:pt>
                <c:pt idx="7">
                  <c:v>2.5600000000000022E-6</c:v>
                </c:pt>
                <c:pt idx="8">
                  <c:v>5.1200000000000046E-7</c:v>
                </c:pt>
                <c:pt idx="9">
                  <c:v>1.0240000000000011E-7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9A-400A-8891-BDA0045CE5E3}"/>
            </c:ext>
          </c:extLst>
        </c:ser>
        <c:ser>
          <c:idx val="5"/>
          <c:order val="5"/>
          <c:tx>
            <c:strRef>
              <c:f>'SEM-EMA'!$K$36</c:f>
              <c:strCache>
                <c:ptCount val="1"/>
                <c:pt idx="0">
                  <c:v>wts6- 0.3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'SEM-EMA'!$E$37:$E$46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'SEM-EMA'!$K$37:$K$46</c:f>
              <c:numCache>
                <c:formatCode>General</c:formatCode>
                <c:ptCount val="10"/>
                <c:pt idx="0">
                  <c:v>0.3</c:v>
                </c:pt>
                <c:pt idx="1">
                  <c:v>0.09</c:v>
                </c:pt>
                <c:pt idx="2">
                  <c:v>2.7E-2</c:v>
                </c:pt>
                <c:pt idx="3">
                  <c:v>8.0999999999999996E-3</c:v>
                </c:pt>
                <c:pt idx="4">
                  <c:v>2.4299999999999999E-3</c:v>
                </c:pt>
                <c:pt idx="5">
                  <c:v>7.2899999999999994E-4</c:v>
                </c:pt>
                <c:pt idx="6">
                  <c:v>2.1869999999999998E-4</c:v>
                </c:pt>
                <c:pt idx="7">
                  <c:v>6.560999999999999E-5</c:v>
                </c:pt>
                <c:pt idx="8">
                  <c:v>1.9682999999999998E-5</c:v>
                </c:pt>
                <c:pt idx="9">
                  <c:v>5.9048999999999991E-6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9A-400A-8891-BDA0045CE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670320"/>
        <c:axId val="2065669360"/>
      </c:scatterChart>
      <c:valAx>
        <c:axId val="206567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69360"/>
        <c:crosses val="autoZero"/>
        <c:crossBetween val="midCat"/>
      </c:valAx>
      <c:valAx>
        <c:axId val="20656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7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'EMA perf Validtn'!$C$30</c:f>
              <c:strCache>
                <c:ptCount val="1"/>
                <c:pt idx="0">
                  <c:v>MAPE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'EMA perf Validtn'!$B$31:$B$35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0.9</c:v>
                </c:pt>
              </c:numCache>
            </c:numRef>
          </c:xVal>
          <c:yVal>
            <c:numRef>
              <c:f>'EMA perf Validtn'!$C$31:$C$35</c:f>
              <c:numCache>
                <c:formatCode>0.0%</c:formatCode>
                <c:ptCount val="5"/>
                <c:pt idx="0">
                  <c:v>0.30787133499206354</c:v>
                </c:pt>
                <c:pt idx="1">
                  <c:v>0.35560641003174603</c:v>
                </c:pt>
                <c:pt idx="2">
                  <c:v>0.35808469742063492</c:v>
                </c:pt>
                <c:pt idx="3">
                  <c:v>0.35525724241269846</c:v>
                </c:pt>
                <c:pt idx="4">
                  <c:v>0.32311261515079359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EE-40E1-88B9-75D60B17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09535"/>
        <c:axId val="317869711"/>
      </c:scatterChart>
      <c:valAx>
        <c:axId val="31830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9711"/>
        <c:crosses val="autoZero"/>
        <c:crossBetween val="midCat"/>
      </c:valAx>
      <c:valAx>
        <c:axId val="3178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0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'EMA perf Validtn'!$D$30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'EMA perf Validtn'!$B$31:$B$35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0.9</c:v>
                </c:pt>
              </c:numCache>
            </c:numRef>
          </c:xVal>
          <c:yVal>
            <c:numRef>
              <c:f>'EMA perf Validtn'!$D$31:$D$35</c:f>
              <c:numCache>
                <c:formatCode>General</c:formatCode>
                <c:ptCount val="5"/>
                <c:pt idx="0">
                  <c:v>5.6418108544016095</c:v>
                </c:pt>
                <c:pt idx="1">
                  <c:v>5.1346416412356195</c:v>
                </c:pt>
                <c:pt idx="2">
                  <c:v>5.1702392578124998</c:v>
                </c:pt>
                <c:pt idx="3">
                  <c:v>5.1537418074416745</c:v>
                </c:pt>
                <c:pt idx="4">
                  <c:v>5.0069649476347564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7-4673-BE72-DA206DA7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575167"/>
        <c:axId val="1728575647"/>
      </c:scatterChart>
      <c:valAx>
        <c:axId val="172857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75647"/>
        <c:crosses val="autoZero"/>
        <c:crossBetween val="midCat"/>
      </c:valAx>
      <c:valAx>
        <c:axId val="172857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7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83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'EMA perf Validtn'!$E$30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'EMA perf Validtn'!$B$31:$B$35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0.9</c:v>
                </c:pt>
              </c:numCache>
            </c:numRef>
          </c:xVal>
          <c:yVal>
            <c:numRef>
              <c:f>'EMA perf Validtn'!$E$31:$E$35</c:f>
              <c:numCache>
                <c:formatCode>0.00</c:formatCode>
                <c:ptCount val="5"/>
                <c:pt idx="0">
                  <c:v>2.3752496404381604</c:v>
                </c:pt>
                <c:pt idx="1">
                  <c:v>2.2659747662398226</c:v>
                </c:pt>
                <c:pt idx="2">
                  <c:v>2.2738160123045357</c:v>
                </c:pt>
                <c:pt idx="3">
                  <c:v>2.270185412569131</c:v>
                </c:pt>
                <c:pt idx="4">
                  <c:v>2.2376248451504903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2-409C-BAB5-DFB56879E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77823"/>
        <c:axId val="627679263"/>
      </c:scatterChart>
      <c:valAx>
        <c:axId val="62767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79263"/>
        <c:crosses val="autoZero"/>
        <c:crossBetween val="midCat"/>
      </c:valAx>
      <c:valAx>
        <c:axId val="62767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7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Sales ($ Mn)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SMA!$A$2:$A$11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SMA!$B$2:$B$11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44-494A-A653-F2292C73ABB5}"/>
            </c:ext>
          </c:extLst>
        </c:ser>
        <c:ser>
          <c:idx val="1"/>
          <c:order val="1"/>
          <c:tx>
            <c:v>MA (3)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SMA!$A$2:$A$11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SMA!$C$2:$C$11</c:f>
              <c:numCache>
                <c:formatCode>General</c:formatCode>
                <c:ptCount val="10"/>
                <c:pt idx="2" formatCode="0.00">
                  <c:v>5</c:v>
                </c:pt>
                <c:pt idx="3" formatCode="0.00">
                  <c:v>6.333333333333333</c:v>
                </c:pt>
                <c:pt idx="4" formatCode="0.00">
                  <c:v>7.333333333333333</c:v>
                </c:pt>
                <c:pt idx="5" formatCode="0.00">
                  <c:v>7.333333333333333</c:v>
                </c:pt>
                <c:pt idx="6" formatCode="0.00">
                  <c:v>6</c:v>
                </c:pt>
                <c:pt idx="7" formatCode="0.00">
                  <c:v>4</c:v>
                </c:pt>
                <c:pt idx="8" formatCode="0.00">
                  <c:v>4.666666666666667</c:v>
                </c:pt>
                <c:pt idx="9" formatCode="0.0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44-494A-A653-F2292C73A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486111"/>
        <c:axId val="1049492767"/>
      </c:scatterChart>
      <c:valAx>
        <c:axId val="1049486111"/>
        <c:scaling>
          <c:orientation val="minMax"/>
          <c:max val="2023"/>
          <c:min val="201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92767"/>
        <c:crosses val="autoZero"/>
        <c:crossBetween val="midCat"/>
      </c:valAx>
      <c:valAx>
        <c:axId val="104949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8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SMA!$B$1</c:f>
              <c:strCache>
                <c:ptCount val="1"/>
                <c:pt idx="0">
                  <c:v>Sales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SMA!$A$2:$A$11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SMA!$B$2:$B$11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4239-A51B-025FAF368B72}"/>
            </c:ext>
          </c:extLst>
        </c:ser>
        <c:ser>
          <c:idx val="1"/>
          <c:order val="1"/>
          <c:tx>
            <c:strRef>
              <c:f>SMA!$C$1</c:f>
              <c:strCache>
                <c:ptCount val="1"/>
                <c:pt idx="0">
                  <c:v>MA(3)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SMA!$A$2:$A$11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SMA!$C$2:$C$11</c:f>
              <c:numCache>
                <c:formatCode>General</c:formatCode>
                <c:ptCount val="10"/>
                <c:pt idx="2" formatCode="0.00">
                  <c:v>5</c:v>
                </c:pt>
                <c:pt idx="3" formatCode="0.00">
                  <c:v>6.333333333333333</c:v>
                </c:pt>
                <c:pt idx="4" formatCode="0.00">
                  <c:v>7.333333333333333</c:v>
                </c:pt>
                <c:pt idx="5" formatCode="0.00">
                  <c:v>7.333333333333333</c:v>
                </c:pt>
                <c:pt idx="6" formatCode="0.00">
                  <c:v>6</c:v>
                </c:pt>
                <c:pt idx="7" formatCode="0.00">
                  <c:v>4</c:v>
                </c:pt>
                <c:pt idx="8" formatCode="0.00">
                  <c:v>4.666666666666667</c:v>
                </c:pt>
                <c:pt idx="9" formatCode="0.0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4239-A51B-025FAF368B72}"/>
            </c:ext>
          </c:extLst>
        </c:ser>
        <c:ser>
          <c:idx val="2"/>
          <c:order val="2"/>
          <c:tx>
            <c:strRef>
              <c:f>SMA!$D$1</c:f>
              <c:strCache>
                <c:ptCount val="1"/>
                <c:pt idx="0">
                  <c:v>MA(2)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SMA!$A$2:$A$11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SMA!$D$2:$D$11</c:f>
              <c:numCache>
                <c:formatCode>General</c:formatCode>
                <c:ptCount val="10"/>
                <c:pt idx="1">
                  <c:v>5</c:v>
                </c:pt>
                <c:pt idx="2">
                  <c:v>5.5</c:v>
                </c:pt>
                <c:pt idx="3">
                  <c:v>6.5</c:v>
                </c:pt>
                <c:pt idx="4">
                  <c:v>8.5</c:v>
                </c:pt>
                <c:pt idx="5">
                  <c:v>7</c:v>
                </c:pt>
                <c:pt idx="6">
                  <c:v>4.5</c:v>
                </c:pt>
                <c:pt idx="7">
                  <c:v>3.5</c:v>
                </c:pt>
                <c:pt idx="8">
                  <c:v>5</c:v>
                </c:pt>
                <c:pt idx="9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4239-A51B-025FAF368B72}"/>
            </c:ext>
          </c:extLst>
        </c:ser>
        <c:ser>
          <c:idx val="3"/>
          <c:order val="3"/>
          <c:tx>
            <c:strRef>
              <c:f>SMA!$E$1</c:f>
              <c:strCache>
                <c:ptCount val="1"/>
                <c:pt idx="0">
                  <c:v>MA(5)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SMA!$A$2:$A$11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SMA!$E$2:$E$11</c:f>
              <c:numCache>
                <c:formatCode>General</c:formatCode>
                <c:ptCount val="10"/>
                <c:pt idx="4">
                  <c:v>6.4</c:v>
                </c:pt>
                <c:pt idx="5">
                  <c:v>6.6</c:v>
                </c:pt>
                <c:pt idx="6">
                  <c:v>6.2</c:v>
                </c:pt>
                <c:pt idx="7">
                  <c:v>5.8</c:v>
                </c:pt>
                <c:pt idx="8">
                  <c:v>5.6</c:v>
                </c:pt>
                <c:pt idx="9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4239-A51B-025FAF368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632304"/>
        <c:axId val="1837639792"/>
      </c:scatterChart>
      <c:valAx>
        <c:axId val="183763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39792"/>
        <c:crosses val="autoZero"/>
        <c:crossBetween val="midCat"/>
      </c:valAx>
      <c:valAx>
        <c:axId val="183763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3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WMA!$A$1:$A$11</c:f>
              <c:numCache>
                <c:formatCode>General</c:formatCode>
                <c:ptCount val="11"/>
                <c:pt idx="0">
                  <c:v>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00-4F9C-A9A4-460D4B662E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WMA!$B$1:$B$11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  <c:pt idx="1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00-4F9C-A9A4-460D4B662E4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WMA!$C$1:$C$11</c:f>
              <c:numCache>
                <c:formatCode>General</c:formatCode>
                <c:ptCount val="11"/>
                <c:pt idx="2">
                  <c:v>5.0999999999999996</c:v>
                </c:pt>
                <c:pt idx="3">
                  <c:v>6.45</c:v>
                </c:pt>
                <c:pt idx="4">
                  <c:v>7.65</c:v>
                </c:pt>
                <c:pt idx="5">
                  <c:v>7.15</c:v>
                </c:pt>
                <c:pt idx="6">
                  <c:v>5.6</c:v>
                </c:pt>
                <c:pt idx="7">
                  <c:v>3.85</c:v>
                </c:pt>
                <c:pt idx="8">
                  <c:v>4.8499999999999996</c:v>
                </c:pt>
                <c:pt idx="9">
                  <c:v>6.4</c:v>
                </c:pt>
                <c:pt idx="10">
                  <c:v>4.55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00-4F9C-A9A4-460D4B66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05952"/>
        <c:axId val="2067108832"/>
      </c:scatterChart>
      <c:valAx>
        <c:axId val="20671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08832"/>
        <c:crosses val="autoZero"/>
        <c:crossBetween val="midCat"/>
      </c:valAx>
      <c:valAx>
        <c:axId val="20671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7620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696B1-EDDD-9DA7-FCD5-21C460FFC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485820</xdr:colOff>
      <xdr:row>33</xdr:row>
      <xdr:rowOff>140137</xdr:rowOff>
    </xdr:from>
    <xdr:to>
      <xdr:col>20</xdr:col>
      <xdr:colOff>233584</xdr:colOff>
      <xdr:row>49</xdr:row>
      <xdr:rowOff>119968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7F0E3-F8F9-6C9B-9983-728BE1A42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25</xdr:row>
      <xdr:rowOff>148590</xdr:rowOff>
    </xdr:from>
    <xdr:to>
      <xdr:col>14</xdr:col>
      <xdr:colOff>548640</xdr:colOff>
      <xdr:row>40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E7289F-673E-281E-658A-870F6AE16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25</xdr:row>
      <xdr:rowOff>148590</xdr:rowOff>
    </xdr:from>
    <xdr:to>
      <xdr:col>23</xdr:col>
      <xdr:colOff>236220</xdr:colOff>
      <xdr:row>40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1C728E-2089-45DB-3C7B-B3D467AFA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327660</xdr:colOff>
      <xdr:row>42</xdr:row>
      <xdr:rowOff>110490</xdr:rowOff>
    </xdr:from>
    <xdr:to>
      <xdr:col>19</xdr:col>
      <xdr:colOff>22860</xdr:colOff>
      <xdr:row>57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BDF44D-B9A4-6431-187B-3B7810064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18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C8FAA2-C9AC-73CF-2536-B30D038A4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18</xdr:col>
      <xdr:colOff>0</xdr:colOff>
      <xdr:row>35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2F28A7-562F-EA6E-95FF-06A89FB22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198783</xdr:colOff>
      <xdr:row>3</xdr:row>
      <xdr:rowOff>122583</xdr:rowOff>
    </xdr:from>
    <xdr:to>
      <xdr:col>13</xdr:col>
      <xdr:colOff>503583</xdr:colOff>
      <xdr:row>18</xdr:row>
      <xdr:rowOff>82826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90C53-EF03-6BC0-7528-A08C7BC9E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600074</xdr:colOff>
      <xdr:row>1</xdr:row>
      <xdr:rowOff>106680</xdr:rowOff>
    </xdr:from>
    <xdr:ext cx="1236346" cy="632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54A34BE-BC58-F793-7D88-01CD89D288C3}"/>
                </a:ext>
              </a:extLst>
            </xdr:cNvPr>
            <xdr:cNvSpPr txBox="1"/>
          </xdr:nvSpPr>
          <xdr:spPr>
            <a:xfrm>
              <a:off x="9477374" y="373380"/>
              <a:ext cx="1236346" cy="63246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</m:nary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54A34BE-BC58-F793-7D88-01CD89D288C3}"/>
                </a:ext>
              </a:extLst>
            </xdr:cNvPr>
            <xdr:cNvSpPr txBox="1"/>
          </xdr:nvSpPr>
          <xdr:spPr>
            <a:xfrm>
              <a:off x="9477374" y="373380"/>
              <a:ext cx="1236346" cy="63246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0=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15</xdr:col>
      <xdr:colOff>7619</xdr:colOff>
      <xdr:row>8</xdr:row>
      <xdr:rowOff>22860</xdr:rowOff>
    </xdr:from>
    <xdr:ext cx="1828801" cy="655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150FF24-46E8-47F3-981F-DA12A8BA0886}"/>
                </a:ext>
              </a:extLst>
            </xdr:cNvPr>
            <xdr:cNvSpPr txBox="1"/>
          </xdr:nvSpPr>
          <xdr:spPr>
            <a:xfrm>
              <a:off x="9494519" y="1569720"/>
              <a:ext cx="1828801" cy="6553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p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150FF24-46E8-47F3-981F-DA12A8BA0886}"/>
                </a:ext>
              </a:extLst>
            </xdr:cNvPr>
            <xdr:cNvSpPr txBox="1"/>
          </xdr:nvSpPr>
          <xdr:spPr>
            <a:xfrm>
              <a:off x="9494519" y="1569720"/>
              <a:ext cx="1828801" cy="6553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1=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∑▒〖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∗𝑌)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)/(∑▒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𝑋^2 )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14</xdr:col>
      <xdr:colOff>601980</xdr:colOff>
      <xdr:row>0</xdr:row>
      <xdr:rowOff>0</xdr:rowOff>
    </xdr:from>
    <xdr:ext cx="3562129" cy="374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2ABE461-437A-A3C9-64F6-4C80D38112C0}"/>
                </a:ext>
              </a:extLst>
            </xdr:cNvPr>
            <xdr:cNvSpPr txBox="1"/>
          </xdr:nvSpPr>
          <xdr:spPr>
            <a:xfrm>
              <a:off x="9479280" y="0"/>
              <a:ext cx="3562129" cy="374141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</m:nary>
                  <m:r>
                    <a:rPr lang="en-US" sz="18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800" b="0" i="1">
                      <a:latin typeface="Cambria Math" panose="02040503050406030204" pitchFamily="18" charset="0"/>
                    </a:rPr>
                    <m:t>𝑛</m:t>
                  </m:r>
                  <m:r>
                    <a:rPr lang="en-US" sz="1800" b="0" i="1">
                      <a:latin typeface="Cambria Math" panose="02040503050406030204" pitchFamily="18" charset="0"/>
                    </a:rPr>
                    <m:t>∗ </m:t>
                  </m:r>
                  <m:sSub>
                    <m:sSub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l-GR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8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l-GR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US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</m:nary>
                </m:oMath>
              </a14:m>
              <a:r>
                <a:rPr lang="en-US" sz="1800"/>
                <a:t>  ... </a:t>
              </a:r>
              <a:r>
                <a:rPr lang="en-US" sz="1800" b="1">
                  <a:solidFill>
                    <a:srgbClr val="FF0000"/>
                  </a:solidFill>
                </a:rPr>
                <a:t>eqn. 1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2ABE461-437A-A3C9-64F6-4C80D38112C0}"/>
                </a:ext>
              </a:extLst>
            </xdr:cNvPr>
            <xdr:cNvSpPr txBox="1"/>
          </xdr:nvSpPr>
          <xdr:spPr>
            <a:xfrm>
              <a:off x="9479280" y="0"/>
              <a:ext cx="3562129" cy="374141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800" i="0">
                  <a:latin typeface="Cambria Math" panose="02040503050406030204" pitchFamily="18" charset="0"/>
                </a:rPr>
                <a:t>∑▒</a:t>
              </a:r>
              <a:r>
                <a:rPr lang="en-US" sz="1800" b="0" i="0">
                  <a:latin typeface="Cambria Math" panose="02040503050406030204" pitchFamily="18" charset="0"/>
                </a:rPr>
                <a:t>𝑌=𝑛∗ 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</a:rPr>
                <a:t>0+ 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1∗ 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en-US" sz="1800"/>
                <a:t>  ... </a:t>
              </a:r>
              <a:r>
                <a:rPr lang="en-US" sz="1800" b="1">
                  <a:solidFill>
                    <a:srgbClr val="FF0000"/>
                  </a:solidFill>
                </a:rPr>
                <a:t>eqn. 1</a:t>
              </a:r>
            </a:p>
          </xdr:txBody>
        </xdr:sp>
      </mc:Fallback>
    </mc:AlternateContent>
    <xdr:clientData/>
  </xdr:oneCellAnchor>
  <xdr:oneCellAnchor>
    <xdr:from>
      <xdr:col>15</xdr:col>
      <xdr:colOff>7620</xdr:colOff>
      <xdr:row>6</xdr:row>
      <xdr:rowOff>7620</xdr:rowOff>
    </xdr:from>
    <xdr:ext cx="4297680" cy="3792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126BA59-98AA-41CE-9638-004077FC79AD}"/>
                </a:ext>
              </a:extLst>
            </xdr:cNvPr>
            <xdr:cNvSpPr txBox="1"/>
          </xdr:nvSpPr>
          <xdr:spPr>
            <a:xfrm>
              <a:off x="9494520" y="1188720"/>
              <a:ext cx="4297680" cy="37920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8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</m:nary>
                  <m:r>
                    <a:rPr lang="en-US" sz="18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l-GR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800" b="0" i="1">
                      <a:latin typeface="Cambria Math" panose="02040503050406030204" pitchFamily="18" charset="0"/>
                    </a:rPr>
                    <m:t>∗ 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US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</m:nary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800" b="0" i="1">
                      <a:latin typeface="Cambria Math" panose="02040503050406030204" pitchFamily="18" charset="0"/>
                    </a:rPr>
                    <m:t>+  </m:t>
                  </m:r>
                  <m:sSub>
                    <m:sSub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l-GR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US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sSup>
                        <m:sSupPr>
                          <m:ctrlPr>
                            <a:rPr lang="en-US" sz="18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p>
                          <m:r>
                            <a:rPr lang="en-US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nary>
                </m:oMath>
              </a14:m>
              <a:r>
                <a:rPr lang="en-US" sz="1800"/>
                <a:t> ... </a:t>
              </a:r>
              <a:r>
                <a:rPr lang="en-US" sz="1800" b="1">
                  <a:solidFill>
                    <a:srgbClr val="FF0000"/>
                  </a:solidFill>
                </a:rPr>
                <a:t>eqn. 2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126BA59-98AA-41CE-9638-004077FC79AD}"/>
                </a:ext>
              </a:extLst>
            </xdr:cNvPr>
            <xdr:cNvSpPr txBox="1"/>
          </xdr:nvSpPr>
          <xdr:spPr>
            <a:xfrm>
              <a:off x="9494520" y="1188720"/>
              <a:ext cx="4297680" cy="37920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800" i="0">
                  <a:latin typeface="Cambria Math" panose="02040503050406030204" pitchFamily="18" charset="0"/>
                </a:rPr>
                <a:t>∑▒〖</a:t>
              </a:r>
              <a:r>
                <a:rPr lang="en-US" sz="1800" b="0" i="0">
                  <a:latin typeface="Cambria Math" panose="02040503050406030204" pitchFamily="18" charset="0"/>
                </a:rPr>
                <a:t>𝑋∗𝑌〗=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</a:rPr>
                <a:t>0∗ 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▒𝑋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800" b="0" i="0">
                  <a:latin typeface="Cambria Math" panose="02040503050406030204" pitchFamily="18" charset="0"/>
                </a:rPr>
                <a:t>+  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1∗ 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▒𝑋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800"/>
                <a:t> ... </a:t>
              </a:r>
              <a:r>
                <a:rPr lang="en-US" sz="1800" b="1">
                  <a:solidFill>
                    <a:srgbClr val="FF0000"/>
                  </a:solidFill>
                </a:rPr>
                <a:t>eqn. 2</a:t>
              </a:r>
            </a:p>
          </xdr:txBody>
        </xdr:sp>
      </mc:Fallback>
    </mc:AlternateContent>
    <xdr:clientData/>
  </xdr:oneCellAnchor>
  <xdr:twoCellAnchor>
    <xdr:from>
      <xdr:col>1</xdr:col>
      <xdr:colOff>563880</xdr:colOff>
      <xdr:row>35</xdr:row>
      <xdr:rowOff>38100</xdr:rowOff>
    </xdr:from>
    <xdr:to>
      <xdr:col>2</xdr:col>
      <xdr:colOff>205740</xdr:colOff>
      <xdr:row>37</xdr:row>
      <xdr:rowOff>7620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549AC7A9-8108-92EE-6E0C-BF202037F42F}"/>
            </a:ext>
          </a:extLst>
        </xdr:cNvPr>
        <xdr:cNvSpPr/>
      </xdr:nvSpPr>
      <xdr:spPr>
        <a:xfrm>
          <a:off x="1173480" y="7284720"/>
          <a:ext cx="251460" cy="335280"/>
        </a:xfrm>
        <a:prstGeom prst="leftBrace">
          <a:avLst>
            <a:gd name="adj1" fmla="val 8333"/>
            <a:gd name="adj2" fmla="val 45556"/>
          </a:avLst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571500</xdr:colOff>
      <xdr:row>37</xdr:row>
      <xdr:rowOff>15240</xdr:rowOff>
    </xdr:from>
    <xdr:to>
      <xdr:col>2</xdr:col>
      <xdr:colOff>213360</xdr:colOff>
      <xdr:row>38</xdr:row>
      <xdr:rowOff>175260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50FFAD0F-20C3-45DC-8496-245913D30A98}"/>
            </a:ext>
          </a:extLst>
        </xdr:cNvPr>
        <xdr:cNvSpPr/>
      </xdr:nvSpPr>
      <xdr:spPr>
        <a:xfrm>
          <a:off x="1181100" y="7627620"/>
          <a:ext cx="251460" cy="342900"/>
        </a:xfrm>
        <a:prstGeom prst="leftBrace">
          <a:avLst>
            <a:gd name="adj1" fmla="val 8333"/>
            <a:gd name="adj2" fmla="val 47778"/>
          </a:avLst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4E53-43FE-405E-99C9-BA2ECDD2FDFD}">
  <dimension ref="A1:K60"/>
  <sheetViews>
    <sheetView workbookViewId="0">
      <selection activeCell="E22" sqref="E22"/>
    </sheetView>
  </sheetViews>
  <sheetFormatPr defaultRowHeight="14.4" x14ac:dyDescent="0.3"/>
  <cols>
    <col min="2" max="2" width="8.88671875" customWidth="1"/>
    <col min="3" max="3" width="12.33203125" hidden="1" customWidth="1"/>
    <col min="4" max="4" width="9" bestFit="1" customWidth="1"/>
    <col min="5" max="5" width="11.6640625" customWidth="1"/>
    <col min="6" max="6" width="10.77734375" customWidth="1"/>
    <col min="7" max="8" width="9" bestFit="1" customWidth="1"/>
    <col min="9" max="11" width="12.109375" bestFit="1" customWidth="1"/>
  </cols>
  <sheetData>
    <row r="1" spans="1:7" ht="18" customHeight="1" x14ac:dyDescent="0.3">
      <c r="A1" s="3" t="s">
        <v>0</v>
      </c>
      <c r="B1" s="3" t="s">
        <v>1</v>
      </c>
      <c r="C1" s="3" t="s">
        <v>4</v>
      </c>
      <c r="D1" s="3" t="s">
        <v>12</v>
      </c>
      <c r="E1" s="3" t="s">
        <v>13</v>
      </c>
      <c r="F1" s="3" t="s">
        <v>14</v>
      </c>
    </row>
    <row r="2" spans="1:7" ht="18" customHeight="1" x14ac:dyDescent="0.3">
      <c r="A2">
        <v>2013</v>
      </c>
      <c r="B2">
        <v>4</v>
      </c>
      <c r="C2" s="4">
        <v>4</v>
      </c>
      <c r="E2" s="5">
        <f>B2-D2</f>
        <v>4</v>
      </c>
      <c r="F2" s="1"/>
    </row>
    <row r="3" spans="1:7" x14ac:dyDescent="0.3">
      <c r="A3">
        <v>2014</v>
      </c>
      <c r="B3">
        <v>6</v>
      </c>
      <c r="C3">
        <f>$B$14*B2+$B$15*C2</f>
        <v>4</v>
      </c>
      <c r="D3" s="1">
        <f>B2</f>
        <v>4</v>
      </c>
      <c r="E3" s="5">
        <f t="shared" ref="E3:E11" si="0">B3-D3</f>
        <v>2</v>
      </c>
      <c r="F3" s="1">
        <f t="shared" ref="F3:F11" si="1">E3*E3</f>
        <v>4</v>
      </c>
    </row>
    <row r="4" spans="1:7" x14ac:dyDescent="0.3">
      <c r="A4">
        <v>2015</v>
      </c>
      <c r="B4">
        <v>5</v>
      </c>
      <c r="C4">
        <f t="shared" ref="C4:C11" si="2">$B$14*B3+$B$15*C3</f>
        <v>5</v>
      </c>
      <c r="D4" s="1">
        <f t="shared" ref="D4:D11" si="3">0.5*B3+0.5*D3</f>
        <v>5</v>
      </c>
      <c r="E4" s="5">
        <f t="shared" si="0"/>
        <v>0</v>
      </c>
      <c r="F4" s="1">
        <f t="shared" si="1"/>
        <v>0</v>
      </c>
    </row>
    <row r="5" spans="1:7" x14ac:dyDescent="0.3">
      <c r="A5">
        <v>2016</v>
      </c>
      <c r="B5">
        <v>8</v>
      </c>
      <c r="C5">
        <f t="shared" si="2"/>
        <v>5</v>
      </c>
      <c r="D5" s="1">
        <f t="shared" si="3"/>
        <v>5</v>
      </c>
      <c r="E5" s="5">
        <f t="shared" si="0"/>
        <v>3</v>
      </c>
      <c r="F5" s="1">
        <f t="shared" si="1"/>
        <v>9</v>
      </c>
    </row>
    <row r="6" spans="1:7" x14ac:dyDescent="0.3">
      <c r="A6">
        <v>2017</v>
      </c>
      <c r="B6">
        <v>9</v>
      </c>
      <c r="C6">
        <f t="shared" si="2"/>
        <v>6.5</v>
      </c>
      <c r="D6" s="1">
        <f t="shared" si="3"/>
        <v>6.5</v>
      </c>
      <c r="E6" s="5">
        <f t="shared" si="0"/>
        <v>2.5</v>
      </c>
      <c r="F6" s="1">
        <f t="shared" si="1"/>
        <v>6.25</v>
      </c>
    </row>
    <row r="7" spans="1:7" x14ac:dyDescent="0.3">
      <c r="A7">
        <v>2018</v>
      </c>
      <c r="B7">
        <v>5</v>
      </c>
      <c r="C7">
        <f t="shared" si="2"/>
        <v>7.75</v>
      </c>
      <c r="D7" s="1">
        <f t="shared" si="3"/>
        <v>7.75</v>
      </c>
      <c r="E7" s="5">
        <f t="shared" si="0"/>
        <v>-2.75</v>
      </c>
      <c r="F7" s="1">
        <f t="shared" si="1"/>
        <v>7.5625</v>
      </c>
    </row>
    <row r="8" spans="1:7" x14ac:dyDescent="0.3">
      <c r="A8">
        <v>2019</v>
      </c>
      <c r="B8">
        <v>4</v>
      </c>
      <c r="C8">
        <f t="shared" si="2"/>
        <v>6.375</v>
      </c>
      <c r="D8" s="1">
        <f t="shared" si="3"/>
        <v>6.375</v>
      </c>
      <c r="E8" s="5">
        <f t="shared" si="0"/>
        <v>-2.375</v>
      </c>
      <c r="F8" s="1">
        <f t="shared" si="1"/>
        <v>5.640625</v>
      </c>
    </row>
    <row r="9" spans="1:7" x14ac:dyDescent="0.3">
      <c r="A9">
        <v>2020</v>
      </c>
      <c r="B9">
        <v>3</v>
      </c>
      <c r="C9">
        <f t="shared" si="2"/>
        <v>5.1875</v>
      </c>
      <c r="D9" s="1">
        <f t="shared" si="3"/>
        <v>5.1875</v>
      </c>
      <c r="E9" s="5">
        <f t="shared" si="0"/>
        <v>-2.1875</v>
      </c>
      <c r="F9" s="1">
        <f t="shared" si="1"/>
        <v>4.78515625</v>
      </c>
    </row>
    <row r="10" spans="1:7" x14ac:dyDescent="0.3">
      <c r="A10">
        <v>2021</v>
      </c>
      <c r="B10">
        <v>7</v>
      </c>
      <c r="C10">
        <f t="shared" si="2"/>
        <v>4.09375</v>
      </c>
      <c r="D10" s="1">
        <f t="shared" si="3"/>
        <v>4.09375</v>
      </c>
      <c r="E10" s="5">
        <f t="shared" si="0"/>
        <v>2.90625</v>
      </c>
      <c r="F10" s="1">
        <f t="shared" si="1"/>
        <v>8.4462890625</v>
      </c>
    </row>
    <row r="11" spans="1:7" x14ac:dyDescent="0.3">
      <c r="A11">
        <v>2022</v>
      </c>
      <c r="B11">
        <v>8</v>
      </c>
      <c r="C11">
        <f t="shared" si="2"/>
        <v>5.546875</v>
      </c>
      <c r="D11" s="1">
        <f t="shared" si="3"/>
        <v>5.546875</v>
      </c>
      <c r="E11" s="5">
        <f t="shared" si="0"/>
        <v>2.453125</v>
      </c>
      <c r="F11" s="1">
        <f t="shared" si="1"/>
        <v>6.017822265625</v>
      </c>
    </row>
    <row r="12" spans="1:7" x14ac:dyDescent="0.3">
      <c r="E12" s="3" t="s">
        <v>15</v>
      </c>
      <c r="F12" s="7">
        <f>SUM(F2:F11)</f>
        <v>51.702392578125</v>
      </c>
      <c r="G12" s="8" t="s">
        <v>17</v>
      </c>
    </row>
    <row r="14" spans="1:7" x14ac:dyDescent="0.3">
      <c r="A14" t="s">
        <v>5</v>
      </c>
      <c r="B14">
        <v>0.5</v>
      </c>
      <c r="D14" t="s">
        <v>7</v>
      </c>
    </row>
    <row r="15" spans="1:7" x14ac:dyDescent="0.3">
      <c r="A15" t="s">
        <v>6</v>
      </c>
      <c r="B15">
        <f>1-B14</f>
        <v>0.5</v>
      </c>
      <c r="D15" t="s">
        <v>8</v>
      </c>
    </row>
    <row r="16" spans="1:7" x14ac:dyDescent="0.3">
      <c r="A16" t="s">
        <v>16</v>
      </c>
      <c r="B16">
        <f>COUNTA(B2:B11)</f>
        <v>10</v>
      </c>
    </row>
    <row r="18" spans="1:10" x14ac:dyDescent="0.3">
      <c r="A18" s="6" t="s">
        <v>9</v>
      </c>
      <c r="B18" s="7">
        <f>F12/B16</f>
        <v>5.1702392578124998</v>
      </c>
    </row>
    <row r="20" spans="1:10" ht="41.4" x14ac:dyDescent="0.9">
      <c r="A20" s="9" t="s">
        <v>18</v>
      </c>
      <c r="B20" s="10"/>
      <c r="C20" s="10"/>
      <c r="D20" s="10"/>
      <c r="E20" s="10"/>
      <c r="F20" s="10"/>
    </row>
    <row r="21" spans="1:10" x14ac:dyDescent="0.3">
      <c r="J21" s="3" t="s">
        <v>112</v>
      </c>
    </row>
    <row r="22" spans="1:10" ht="29.4" x14ac:dyDescent="0.65">
      <c r="A22" s="11" t="s">
        <v>22</v>
      </c>
      <c r="B22" s="11" t="s">
        <v>19</v>
      </c>
    </row>
    <row r="23" spans="1:10" ht="29.4" x14ac:dyDescent="0.65">
      <c r="A23" s="11" t="s">
        <v>23</v>
      </c>
      <c r="B23" s="11" t="s">
        <v>20</v>
      </c>
    </row>
    <row r="24" spans="1:10" ht="29.4" x14ac:dyDescent="0.65">
      <c r="A24" s="11" t="s">
        <v>24</v>
      </c>
      <c r="B24" s="11" t="s">
        <v>21</v>
      </c>
    </row>
    <row r="27" spans="1:10" x14ac:dyDescent="0.3">
      <c r="D27" s="3" t="s">
        <v>122</v>
      </c>
    </row>
    <row r="28" spans="1:10" x14ac:dyDescent="0.3">
      <c r="D28" s="3" t="s">
        <v>123</v>
      </c>
    </row>
    <row r="29" spans="1:10" x14ac:dyDescent="0.3">
      <c r="D29" s="3" t="s">
        <v>124</v>
      </c>
    </row>
    <row r="30" spans="1:10" x14ac:dyDescent="0.3">
      <c r="D30" s="3" t="s">
        <v>125</v>
      </c>
    </row>
    <row r="31" spans="1:10" x14ac:dyDescent="0.3">
      <c r="D31" s="3"/>
    </row>
    <row r="36" spans="4:11" x14ac:dyDescent="0.3">
      <c r="E36" t="s">
        <v>0</v>
      </c>
      <c r="F36" t="s">
        <v>126</v>
      </c>
      <c r="G36" t="s">
        <v>127</v>
      </c>
      <c r="H36" t="s">
        <v>128</v>
      </c>
      <c r="I36" t="s">
        <v>129</v>
      </c>
      <c r="J36" t="s">
        <v>130</v>
      </c>
      <c r="K36" t="s">
        <v>131</v>
      </c>
    </row>
    <row r="37" spans="4:11" x14ac:dyDescent="0.3">
      <c r="D37">
        <v>1</v>
      </c>
      <c r="E37">
        <v>2013</v>
      </c>
      <c r="F37">
        <v>0.75</v>
      </c>
      <c r="G37">
        <v>0.8</v>
      </c>
      <c r="H37">
        <v>0.9</v>
      </c>
      <c r="I37">
        <v>0.1</v>
      </c>
      <c r="J37">
        <v>0.2</v>
      </c>
      <c r="K37">
        <v>0.3</v>
      </c>
    </row>
    <row r="38" spans="4:11" x14ac:dyDescent="0.3">
      <c r="D38">
        <v>2</v>
      </c>
      <c r="E38">
        <v>2014</v>
      </c>
      <c r="F38">
        <f>0.75^2</f>
        <v>0.5625</v>
      </c>
      <c r="G38">
        <f>$G$37^D38</f>
        <v>0.64000000000000012</v>
      </c>
      <c r="H38">
        <f>$H$37^D38</f>
        <v>0.81</v>
      </c>
      <c r="I38">
        <f>$I$37^D38</f>
        <v>1.0000000000000002E-2</v>
      </c>
      <c r="J38">
        <f>$J$37^D38</f>
        <v>4.0000000000000008E-2</v>
      </c>
      <c r="K38">
        <f>$K$37^D38</f>
        <v>0.09</v>
      </c>
    </row>
    <row r="39" spans="4:11" x14ac:dyDescent="0.3">
      <c r="D39">
        <v>3</v>
      </c>
      <c r="E39">
        <v>2015</v>
      </c>
      <c r="F39">
        <f>$F$37^D39</f>
        <v>0.421875</v>
      </c>
      <c r="G39">
        <f t="shared" ref="G39:G46" si="4">$G$37^D39</f>
        <v>0.51200000000000012</v>
      </c>
      <c r="H39">
        <f t="shared" ref="H39:H46" si="5">$H$37^D39</f>
        <v>0.72900000000000009</v>
      </c>
      <c r="I39">
        <f t="shared" ref="I39:I46" si="6">$I$37^D39</f>
        <v>1.0000000000000002E-3</v>
      </c>
      <c r="J39">
        <f t="shared" ref="J39:J46" si="7">$J$37^D39</f>
        <v>8.0000000000000019E-3</v>
      </c>
      <c r="K39">
        <f t="shared" ref="K39:K46" si="8">$K$37^D39</f>
        <v>2.7E-2</v>
      </c>
    </row>
    <row r="40" spans="4:11" x14ac:dyDescent="0.3">
      <c r="D40">
        <v>4</v>
      </c>
      <c r="E40">
        <v>2016</v>
      </c>
      <c r="F40">
        <f t="shared" ref="F40:F46" si="9">$F$37^D40</f>
        <v>0.31640625</v>
      </c>
      <c r="G40">
        <f t="shared" si="4"/>
        <v>0.40960000000000019</v>
      </c>
      <c r="H40">
        <f t="shared" si="5"/>
        <v>0.65610000000000013</v>
      </c>
      <c r="I40">
        <f t="shared" si="6"/>
        <v>1.0000000000000005E-4</v>
      </c>
      <c r="J40">
        <f t="shared" si="7"/>
        <v>1.6000000000000007E-3</v>
      </c>
      <c r="K40">
        <f t="shared" si="8"/>
        <v>8.0999999999999996E-3</v>
      </c>
    </row>
    <row r="41" spans="4:11" x14ac:dyDescent="0.3">
      <c r="D41">
        <v>5</v>
      </c>
      <c r="E41">
        <v>2017</v>
      </c>
      <c r="F41">
        <f t="shared" si="9"/>
        <v>0.2373046875</v>
      </c>
      <c r="G41">
        <f t="shared" si="4"/>
        <v>0.32768000000000019</v>
      </c>
      <c r="H41">
        <f t="shared" si="5"/>
        <v>0.59049000000000018</v>
      </c>
      <c r="I41">
        <f t="shared" si="6"/>
        <v>1.0000000000000006E-5</v>
      </c>
      <c r="J41">
        <f t="shared" si="7"/>
        <v>3.2000000000000019E-4</v>
      </c>
      <c r="K41">
        <f t="shared" si="8"/>
        <v>2.4299999999999999E-3</v>
      </c>
    </row>
    <row r="42" spans="4:11" x14ac:dyDescent="0.3">
      <c r="D42">
        <v>6</v>
      </c>
      <c r="E42">
        <v>2018</v>
      </c>
      <c r="F42">
        <f t="shared" si="9"/>
        <v>0.177978515625</v>
      </c>
      <c r="G42">
        <f t="shared" si="4"/>
        <v>0.26214400000000015</v>
      </c>
      <c r="H42">
        <f t="shared" si="5"/>
        <v>0.53144100000000016</v>
      </c>
      <c r="I42">
        <f t="shared" si="6"/>
        <v>1.0000000000000006E-6</v>
      </c>
      <c r="J42">
        <f t="shared" si="7"/>
        <v>6.4000000000000038E-5</v>
      </c>
      <c r="K42">
        <f t="shared" si="8"/>
        <v>7.2899999999999994E-4</v>
      </c>
    </row>
    <row r="43" spans="4:11" x14ac:dyDescent="0.3">
      <c r="D43">
        <v>7</v>
      </c>
      <c r="E43">
        <v>2019</v>
      </c>
      <c r="F43">
        <f t="shared" si="9"/>
        <v>0.13348388671875</v>
      </c>
      <c r="G43">
        <f t="shared" si="4"/>
        <v>0.20971520000000016</v>
      </c>
      <c r="H43">
        <f t="shared" si="5"/>
        <v>0.47829690000000014</v>
      </c>
      <c r="I43">
        <f t="shared" si="6"/>
        <v>1.0000000000000007E-7</v>
      </c>
      <c r="J43">
        <f t="shared" si="7"/>
        <v>1.280000000000001E-5</v>
      </c>
      <c r="K43">
        <f t="shared" si="8"/>
        <v>2.1869999999999998E-4</v>
      </c>
    </row>
    <row r="44" spans="4:11" x14ac:dyDescent="0.3">
      <c r="D44">
        <v>8</v>
      </c>
      <c r="E44">
        <v>2020</v>
      </c>
      <c r="F44">
        <f t="shared" si="9"/>
        <v>0.1001129150390625</v>
      </c>
      <c r="G44">
        <f t="shared" si="4"/>
        <v>0.16777216000000014</v>
      </c>
      <c r="H44">
        <f t="shared" si="5"/>
        <v>0.43046721000000016</v>
      </c>
      <c r="I44">
        <f t="shared" si="6"/>
        <v>1.0000000000000008E-8</v>
      </c>
      <c r="J44">
        <f t="shared" si="7"/>
        <v>2.5600000000000022E-6</v>
      </c>
      <c r="K44">
        <f t="shared" si="8"/>
        <v>6.560999999999999E-5</v>
      </c>
    </row>
    <row r="45" spans="4:11" x14ac:dyDescent="0.3">
      <c r="D45">
        <v>9</v>
      </c>
      <c r="E45">
        <v>2021</v>
      </c>
      <c r="F45">
        <f t="shared" si="9"/>
        <v>7.5084686279296875E-2</v>
      </c>
      <c r="G45">
        <f t="shared" si="4"/>
        <v>0.13421772800000012</v>
      </c>
      <c r="H45">
        <f t="shared" si="5"/>
        <v>0.38742048900000015</v>
      </c>
      <c r="I45">
        <f t="shared" si="6"/>
        <v>1.0000000000000009E-9</v>
      </c>
      <c r="J45">
        <f t="shared" si="7"/>
        <v>5.1200000000000046E-7</v>
      </c>
      <c r="K45">
        <f t="shared" si="8"/>
        <v>1.9682999999999998E-5</v>
      </c>
    </row>
    <row r="46" spans="4:11" x14ac:dyDescent="0.3">
      <c r="D46">
        <v>10</v>
      </c>
      <c r="E46">
        <v>2022</v>
      </c>
      <c r="F46">
        <f t="shared" si="9"/>
        <v>5.6313514709472656E-2</v>
      </c>
      <c r="G46">
        <f t="shared" si="4"/>
        <v>0.10737418240000011</v>
      </c>
      <c r="H46">
        <f t="shared" si="5"/>
        <v>0.34867844010000015</v>
      </c>
      <c r="I46">
        <f t="shared" si="6"/>
        <v>1.0000000000000011E-10</v>
      </c>
      <c r="J46">
        <f t="shared" si="7"/>
        <v>1.0240000000000011E-7</v>
      </c>
      <c r="K46">
        <f t="shared" si="8"/>
        <v>5.9048999999999991E-6</v>
      </c>
    </row>
    <row r="47" spans="4:11" x14ac:dyDescent="0.3">
      <c r="F47" s="10"/>
      <c r="G47" s="10" t="s">
        <v>132</v>
      </c>
      <c r="H47" s="10"/>
      <c r="I47" s="55"/>
      <c r="J47" s="55" t="s">
        <v>133</v>
      </c>
      <c r="K47" s="55"/>
    </row>
    <row r="49" spans="1:8" x14ac:dyDescent="0.3">
      <c r="G49" s="2"/>
      <c r="H49" s="2"/>
    </row>
    <row r="52" spans="1:8" x14ac:dyDescent="0.3">
      <c r="A52" s="3" t="s">
        <v>134</v>
      </c>
    </row>
    <row r="53" spans="1:8" x14ac:dyDescent="0.3">
      <c r="A53" t="s">
        <v>136</v>
      </c>
    </row>
    <row r="54" spans="1:8" x14ac:dyDescent="0.3">
      <c r="A54" t="s">
        <v>137</v>
      </c>
    </row>
    <row r="55" spans="1:8" x14ac:dyDescent="0.3">
      <c r="A55" t="s">
        <v>138</v>
      </c>
    </row>
    <row r="57" spans="1:8" x14ac:dyDescent="0.3">
      <c r="A57" s="3" t="s">
        <v>135</v>
      </c>
    </row>
    <row r="58" spans="1:8" x14ac:dyDescent="0.3">
      <c r="A58" t="s">
        <v>139</v>
      </c>
    </row>
    <row r="59" spans="1:8" x14ac:dyDescent="0.3">
      <c r="A59" t="s">
        <v>140</v>
      </c>
    </row>
    <row r="60" spans="1:8" x14ac:dyDescent="0.3">
      <c r="A60" t="s">
        <v>141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D57E-B90B-4741-B2DA-9A7F4BF38B80}">
  <dimension ref="A1:Y35"/>
  <sheetViews>
    <sheetView tabSelected="1" topLeftCell="A20" zoomScale="92" workbookViewId="0">
      <selection activeCell="K24" sqref="K24"/>
    </sheetView>
  </sheetViews>
  <sheetFormatPr defaultRowHeight="14.4" x14ac:dyDescent="0.3"/>
  <cols>
    <col min="3" max="3" width="13.88671875" customWidth="1"/>
    <col min="4" max="4" width="15.21875" customWidth="1"/>
    <col min="5" max="5" width="13.33203125" customWidth="1"/>
    <col min="6" max="6" width="11.5546875" customWidth="1"/>
    <col min="7" max="7" width="10.5546875" bestFit="1" customWidth="1"/>
  </cols>
  <sheetData>
    <row r="1" spans="1:25" x14ac:dyDescent="0.3">
      <c r="A1" t="s">
        <v>0</v>
      </c>
      <c r="B1" t="s">
        <v>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</row>
    <row r="2" spans="1:25" x14ac:dyDescent="0.3">
      <c r="A2">
        <v>2013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I2">
        <f>B2-C2</f>
        <v>0</v>
      </c>
      <c r="J2">
        <f>B2-D2</f>
        <v>0</v>
      </c>
      <c r="K2">
        <f>B2-E2</f>
        <v>0</v>
      </c>
      <c r="L2">
        <f>B2-F2</f>
        <v>0</v>
      </c>
      <c r="M2">
        <f>B2-G2</f>
        <v>0</v>
      </c>
      <c r="O2">
        <f>I2*I2</f>
        <v>0</v>
      </c>
      <c r="P2">
        <f>J2*J2</f>
        <v>0</v>
      </c>
      <c r="Q2">
        <f>K2*K2</f>
        <v>0</v>
      </c>
      <c r="R2">
        <f>L2*L2</f>
        <v>0</v>
      </c>
      <c r="S2">
        <f>M2*M2</f>
        <v>0</v>
      </c>
      <c r="U2">
        <f>ABS(I2/B2)</f>
        <v>0</v>
      </c>
      <c r="V2">
        <f>ABS(J2/B2)</f>
        <v>0</v>
      </c>
      <c r="W2">
        <f>ABS(K2/B2)</f>
        <v>0</v>
      </c>
      <c r="X2">
        <f>ABS(L2/B2)</f>
        <v>0</v>
      </c>
      <c r="Y2">
        <f>ABS(M2/B2)</f>
        <v>0</v>
      </c>
    </row>
    <row r="3" spans="1:25" x14ac:dyDescent="0.3">
      <c r="A3">
        <v>2014</v>
      </c>
      <c r="B3">
        <v>6</v>
      </c>
      <c r="C3">
        <f>$C$17*B2+$C$18*C2</f>
        <v>4</v>
      </c>
      <c r="D3">
        <f>$D$17*B2+$D$18*D2</f>
        <v>4</v>
      </c>
      <c r="E3">
        <f>$E$17*B2+$E$18*E2</f>
        <v>4</v>
      </c>
      <c r="F3">
        <f>$F$17*B2+$F$18*F2</f>
        <v>4</v>
      </c>
      <c r="G3">
        <f>$G$17*B2+$G$18*G2</f>
        <v>4</v>
      </c>
      <c r="I3">
        <f t="shared" ref="I3:I11" si="0">B3-C3</f>
        <v>2</v>
      </c>
      <c r="J3">
        <f t="shared" ref="J3:J11" si="1">B3-D3</f>
        <v>2</v>
      </c>
      <c r="K3">
        <f t="shared" ref="K3:K11" si="2">B3-E3</f>
        <v>2</v>
      </c>
      <c r="L3">
        <f t="shared" ref="L3:L11" si="3">B3-F3</f>
        <v>2</v>
      </c>
      <c r="M3">
        <f t="shared" ref="M3:M11" si="4">B3-G3</f>
        <v>2</v>
      </c>
      <c r="O3">
        <f t="shared" ref="O3:O11" si="5">I3*I3</f>
        <v>4</v>
      </c>
      <c r="P3">
        <f t="shared" ref="P3:P11" si="6">J3*J3</f>
        <v>4</v>
      </c>
      <c r="Q3">
        <f t="shared" ref="Q3:Q11" si="7">K3*K3</f>
        <v>4</v>
      </c>
      <c r="R3">
        <f t="shared" ref="R3:R11" si="8">L3*L3</f>
        <v>4</v>
      </c>
      <c r="S3">
        <f t="shared" ref="S3:S11" si="9">M3*M3</f>
        <v>4</v>
      </c>
      <c r="U3">
        <f t="shared" ref="U3:U11" si="10">ABS(I3/B3)</f>
        <v>0.33333333333333331</v>
      </c>
      <c r="V3">
        <f t="shared" ref="V3:V11" si="11">ABS(J3/B3)</f>
        <v>0.33333333333333331</v>
      </c>
      <c r="W3">
        <f t="shared" ref="W3:W11" si="12">ABS(K3/B3)</f>
        <v>0.33333333333333331</v>
      </c>
      <c r="X3">
        <f t="shared" ref="X3:X11" si="13">ABS(L3/B3)</f>
        <v>0.33333333333333331</v>
      </c>
      <c r="Y3">
        <f t="shared" ref="Y3:Y11" si="14">ABS(M3/B3)</f>
        <v>0.33333333333333331</v>
      </c>
    </row>
    <row r="4" spans="1:25" x14ac:dyDescent="0.3">
      <c r="A4">
        <v>2015</v>
      </c>
      <c r="B4">
        <v>5</v>
      </c>
      <c r="C4">
        <f t="shared" ref="C4:C11" si="15">$C$17*B3+$C$18*C3</f>
        <v>5</v>
      </c>
      <c r="D4">
        <f t="shared" ref="D4:D11" si="16">$D$17*B3+$D$18*D3</f>
        <v>4.2</v>
      </c>
      <c r="E4">
        <f t="shared" ref="E4:E11" si="17">$E$17*B3+$E$18*E3</f>
        <v>4.5999999999999996</v>
      </c>
      <c r="F4">
        <f t="shared" ref="F4:F11" si="18">$F$17*B3+$F$18*F3</f>
        <v>5.1999999999999993</v>
      </c>
      <c r="G4">
        <f t="shared" ref="G4:G11" si="19">$G$17*B3+$G$18*G3</f>
        <v>5.8000000000000007</v>
      </c>
      <c r="I4">
        <f t="shared" si="0"/>
        <v>0</v>
      </c>
      <c r="J4">
        <f t="shared" si="1"/>
        <v>0.79999999999999982</v>
      </c>
      <c r="K4">
        <f t="shared" si="2"/>
        <v>0.40000000000000036</v>
      </c>
      <c r="L4">
        <f t="shared" si="3"/>
        <v>-0.19999999999999929</v>
      </c>
      <c r="M4">
        <f t="shared" si="4"/>
        <v>-0.80000000000000071</v>
      </c>
      <c r="O4">
        <f t="shared" si="5"/>
        <v>0</v>
      </c>
      <c r="P4">
        <f t="shared" si="6"/>
        <v>0.63999999999999968</v>
      </c>
      <c r="Q4">
        <f t="shared" si="7"/>
        <v>0.16000000000000028</v>
      </c>
      <c r="R4">
        <f t="shared" si="8"/>
        <v>3.9999999999999716E-2</v>
      </c>
      <c r="S4">
        <f t="shared" si="9"/>
        <v>0.64000000000000112</v>
      </c>
      <c r="U4">
        <f t="shared" si="10"/>
        <v>0</v>
      </c>
      <c r="V4">
        <f t="shared" si="11"/>
        <v>0.15999999999999998</v>
      </c>
      <c r="W4">
        <f t="shared" si="12"/>
        <v>8.0000000000000071E-2</v>
      </c>
      <c r="X4">
        <f t="shared" si="13"/>
        <v>3.9999999999999855E-2</v>
      </c>
      <c r="Y4">
        <f t="shared" si="14"/>
        <v>0.16000000000000014</v>
      </c>
    </row>
    <row r="5" spans="1:25" x14ac:dyDescent="0.3">
      <c r="A5">
        <v>2016</v>
      </c>
      <c r="B5">
        <v>8</v>
      </c>
      <c r="C5">
        <f t="shared" si="15"/>
        <v>5</v>
      </c>
      <c r="D5">
        <f t="shared" si="16"/>
        <v>4.28</v>
      </c>
      <c r="E5">
        <f t="shared" si="17"/>
        <v>4.72</v>
      </c>
      <c r="F5">
        <f t="shared" si="18"/>
        <v>5.08</v>
      </c>
      <c r="G5">
        <f t="shared" si="19"/>
        <v>5.08</v>
      </c>
      <c r="I5">
        <f t="shared" si="0"/>
        <v>3</v>
      </c>
      <c r="J5">
        <f t="shared" si="1"/>
        <v>3.7199999999999998</v>
      </c>
      <c r="K5">
        <f t="shared" si="2"/>
        <v>3.2800000000000002</v>
      </c>
      <c r="L5">
        <f t="shared" si="3"/>
        <v>2.92</v>
      </c>
      <c r="M5">
        <f t="shared" si="4"/>
        <v>2.92</v>
      </c>
      <c r="O5">
        <f t="shared" si="5"/>
        <v>9</v>
      </c>
      <c r="P5">
        <f t="shared" si="6"/>
        <v>13.838399999999998</v>
      </c>
      <c r="Q5">
        <f t="shared" si="7"/>
        <v>10.758400000000002</v>
      </c>
      <c r="R5">
        <f t="shared" si="8"/>
        <v>8.5263999999999989</v>
      </c>
      <c r="S5">
        <f t="shared" si="9"/>
        <v>8.5263999999999989</v>
      </c>
      <c r="U5">
        <f t="shared" si="10"/>
        <v>0.375</v>
      </c>
      <c r="V5">
        <f t="shared" si="11"/>
        <v>0.46499999999999997</v>
      </c>
      <c r="W5">
        <f t="shared" si="12"/>
        <v>0.41000000000000003</v>
      </c>
      <c r="X5">
        <f t="shared" si="13"/>
        <v>0.36499999999999999</v>
      </c>
      <c r="Y5">
        <f t="shared" si="14"/>
        <v>0.36499999999999999</v>
      </c>
    </row>
    <row r="6" spans="1:25" x14ac:dyDescent="0.3">
      <c r="A6">
        <v>2017</v>
      </c>
      <c r="B6">
        <v>9</v>
      </c>
      <c r="C6">
        <f t="shared" si="15"/>
        <v>6.5</v>
      </c>
      <c r="D6">
        <f t="shared" si="16"/>
        <v>4.6520000000000001</v>
      </c>
      <c r="E6">
        <f t="shared" si="17"/>
        <v>5.7039999999999997</v>
      </c>
      <c r="F6">
        <f t="shared" si="18"/>
        <v>6.8319999999999999</v>
      </c>
      <c r="G6">
        <f t="shared" si="19"/>
        <v>7.7080000000000002</v>
      </c>
      <c r="I6">
        <f t="shared" si="0"/>
        <v>2.5</v>
      </c>
      <c r="J6">
        <f t="shared" si="1"/>
        <v>4.3479999999999999</v>
      </c>
      <c r="K6">
        <f t="shared" si="2"/>
        <v>3.2960000000000003</v>
      </c>
      <c r="L6">
        <f t="shared" si="3"/>
        <v>2.1680000000000001</v>
      </c>
      <c r="M6">
        <f t="shared" si="4"/>
        <v>1.2919999999999998</v>
      </c>
      <c r="O6">
        <f t="shared" si="5"/>
        <v>6.25</v>
      </c>
      <c r="P6">
        <f t="shared" si="6"/>
        <v>18.905103999999998</v>
      </c>
      <c r="Q6">
        <f t="shared" si="7"/>
        <v>10.863616000000002</v>
      </c>
      <c r="R6">
        <f t="shared" si="8"/>
        <v>4.7002240000000004</v>
      </c>
      <c r="S6">
        <f t="shared" si="9"/>
        <v>1.6692639999999994</v>
      </c>
      <c r="U6">
        <f t="shared" si="10"/>
        <v>0.27777777777777779</v>
      </c>
      <c r="V6">
        <f t="shared" si="11"/>
        <v>0.4831111111111111</v>
      </c>
      <c r="W6">
        <f t="shared" si="12"/>
        <v>0.36622222222222223</v>
      </c>
      <c r="X6">
        <f t="shared" si="13"/>
        <v>0.2408888888888889</v>
      </c>
      <c r="Y6">
        <f t="shared" si="14"/>
        <v>0.14355555555555555</v>
      </c>
    </row>
    <row r="7" spans="1:25" x14ac:dyDescent="0.3">
      <c r="A7">
        <v>2018</v>
      </c>
      <c r="B7">
        <v>5</v>
      </c>
      <c r="C7">
        <f t="shared" si="15"/>
        <v>7.75</v>
      </c>
      <c r="D7">
        <f t="shared" si="16"/>
        <v>5.0868000000000002</v>
      </c>
      <c r="E7">
        <f t="shared" si="17"/>
        <v>6.6927999999999992</v>
      </c>
      <c r="F7">
        <f t="shared" si="18"/>
        <v>8.1327999999999996</v>
      </c>
      <c r="G7">
        <f t="shared" si="19"/>
        <v>8.8707999999999991</v>
      </c>
      <c r="I7">
        <f t="shared" si="0"/>
        <v>-2.75</v>
      </c>
      <c r="J7">
        <f t="shared" si="1"/>
        <v>-8.680000000000021E-2</v>
      </c>
      <c r="K7">
        <f t="shared" si="2"/>
        <v>-1.6927999999999992</v>
      </c>
      <c r="L7">
        <f t="shared" si="3"/>
        <v>-3.1327999999999996</v>
      </c>
      <c r="M7">
        <f t="shared" si="4"/>
        <v>-3.8707999999999991</v>
      </c>
      <c r="O7">
        <f t="shared" si="5"/>
        <v>7.5625</v>
      </c>
      <c r="P7">
        <f t="shared" si="6"/>
        <v>7.5342400000000366E-3</v>
      </c>
      <c r="Q7">
        <f t="shared" si="7"/>
        <v>2.8655718399999972</v>
      </c>
      <c r="R7">
        <f t="shared" si="8"/>
        <v>9.814435839999998</v>
      </c>
      <c r="S7">
        <f t="shared" si="9"/>
        <v>14.983092639999994</v>
      </c>
      <c r="U7">
        <f t="shared" si="10"/>
        <v>0.55000000000000004</v>
      </c>
      <c r="V7">
        <f t="shared" si="11"/>
        <v>1.7360000000000042E-2</v>
      </c>
      <c r="W7">
        <f t="shared" si="12"/>
        <v>0.33855999999999986</v>
      </c>
      <c r="X7">
        <f t="shared" si="13"/>
        <v>0.62655999999999989</v>
      </c>
      <c r="Y7">
        <f t="shared" si="14"/>
        <v>0.77415999999999985</v>
      </c>
    </row>
    <row r="8" spans="1:25" x14ac:dyDescent="0.3">
      <c r="A8">
        <v>2019</v>
      </c>
      <c r="B8">
        <v>4</v>
      </c>
      <c r="C8">
        <f t="shared" si="15"/>
        <v>6.375</v>
      </c>
      <c r="D8">
        <f t="shared" si="16"/>
        <v>5.0781200000000002</v>
      </c>
      <c r="E8">
        <f t="shared" si="17"/>
        <v>6.1849599999999993</v>
      </c>
      <c r="F8">
        <f t="shared" si="18"/>
        <v>6.25312</v>
      </c>
      <c r="G8">
        <f t="shared" si="19"/>
        <v>5.3870800000000001</v>
      </c>
      <c r="I8">
        <f t="shared" si="0"/>
        <v>-2.375</v>
      </c>
      <c r="J8">
        <f t="shared" si="1"/>
        <v>-1.0781200000000002</v>
      </c>
      <c r="K8">
        <f t="shared" si="2"/>
        <v>-2.1849599999999993</v>
      </c>
      <c r="L8">
        <f t="shared" si="3"/>
        <v>-2.25312</v>
      </c>
      <c r="M8">
        <f t="shared" si="4"/>
        <v>-1.3870800000000001</v>
      </c>
      <c r="O8">
        <f t="shared" si="5"/>
        <v>5.640625</v>
      </c>
      <c r="P8">
        <f t="shared" si="6"/>
        <v>1.1623427344000004</v>
      </c>
      <c r="Q8">
        <f t="shared" si="7"/>
        <v>4.774050201599997</v>
      </c>
      <c r="R8">
        <f t="shared" si="8"/>
        <v>5.0765497344000003</v>
      </c>
      <c r="S8">
        <f t="shared" si="9"/>
        <v>1.9239909264000004</v>
      </c>
      <c r="U8">
        <f t="shared" si="10"/>
        <v>0.59375</v>
      </c>
      <c r="V8">
        <f t="shared" si="11"/>
        <v>0.26953000000000005</v>
      </c>
      <c r="W8">
        <f t="shared" si="12"/>
        <v>0.54623999999999984</v>
      </c>
      <c r="X8">
        <f t="shared" si="13"/>
        <v>0.56328</v>
      </c>
      <c r="Y8">
        <f t="shared" si="14"/>
        <v>0.34677000000000002</v>
      </c>
    </row>
    <row r="9" spans="1:25" x14ac:dyDescent="0.3">
      <c r="A9">
        <v>2020</v>
      </c>
      <c r="B9">
        <v>3</v>
      </c>
      <c r="C9">
        <f t="shared" si="15"/>
        <v>5.1875</v>
      </c>
      <c r="D9">
        <f t="shared" si="16"/>
        <v>4.9703080000000011</v>
      </c>
      <c r="E9">
        <f t="shared" si="17"/>
        <v>5.5294719999999993</v>
      </c>
      <c r="F9">
        <f t="shared" si="18"/>
        <v>4.9012480000000007</v>
      </c>
      <c r="G9">
        <f t="shared" si="19"/>
        <v>4.1387080000000003</v>
      </c>
      <c r="I9">
        <f t="shared" si="0"/>
        <v>-2.1875</v>
      </c>
      <c r="J9">
        <f t="shared" si="1"/>
        <v>-1.9703080000000011</v>
      </c>
      <c r="K9">
        <f t="shared" si="2"/>
        <v>-2.5294719999999993</v>
      </c>
      <c r="L9">
        <f t="shared" si="3"/>
        <v>-1.9012480000000007</v>
      </c>
      <c r="M9">
        <f t="shared" si="4"/>
        <v>-1.1387080000000003</v>
      </c>
      <c r="O9">
        <f t="shared" si="5"/>
        <v>4.78515625</v>
      </c>
      <c r="P9">
        <f t="shared" si="6"/>
        <v>3.8821136148640041</v>
      </c>
      <c r="Q9">
        <f t="shared" si="7"/>
        <v>6.3982285987839962</v>
      </c>
      <c r="R9">
        <f t="shared" si="8"/>
        <v>3.6147439575040026</v>
      </c>
      <c r="S9">
        <f t="shared" si="9"/>
        <v>1.2966559092640007</v>
      </c>
      <c r="U9">
        <f t="shared" si="10"/>
        <v>0.72916666666666663</v>
      </c>
      <c r="V9">
        <f t="shared" si="11"/>
        <v>0.65676933333333365</v>
      </c>
      <c r="W9">
        <f t="shared" si="12"/>
        <v>0.84315733333333309</v>
      </c>
      <c r="X9">
        <f t="shared" si="13"/>
        <v>0.63374933333333361</v>
      </c>
      <c r="Y9">
        <f t="shared" si="14"/>
        <v>0.37956933333333343</v>
      </c>
    </row>
    <row r="10" spans="1:25" x14ac:dyDescent="0.3">
      <c r="A10">
        <v>2021</v>
      </c>
      <c r="B10">
        <v>7</v>
      </c>
      <c r="C10">
        <f t="shared" si="15"/>
        <v>4.09375</v>
      </c>
      <c r="D10">
        <f t="shared" si="16"/>
        <v>4.7732772000000008</v>
      </c>
      <c r="E10">
        <f t="shared" si="17"/>
        <v>4.770630399999999</v>
      </c>
      <c r="F10">
        <f t="shared" si="18"/>
        <v>3.7604991999999999</v>
      </c>
      <c r="G10">
        <f t="shared" si="19"/>
        <v>3.1138707999999999</v>
      </c>
      <c r="I10">
        <f t="shared" si="0"/>
        <v>2.90625</v>
      </c>
      <c r="J10">
        <f t="shared" si="1"/>
        <v>2.2267227999999992</v>
      </c>
      <c r="K10">
        <f t="shared" si="2"/>
        <v>2.229369600000001</v>
      </c>
      <c r="L10">
        <f t="shared" si="3"/>
        <v>3.2395008000000001</v>
      </c>
      <c r="M10">
        <f t="shared" si="4"/>
        <v>3.8861292000000001</v>
      </c>
      <c r="O10">
        <f t="shared" si="5"/>
        <v>8.4462890625</v>
      </c>
      <c r="P10">
        <f t="shared" si="6"/>
        <v>4.9582944280398369</v>
      </c>
      <c r="Q10">
        <f t="shared" si="7"/>
        <v>4.9700888134041641</v>
      </c>
      <c r="R10">
        <f t="shared" si="8"/>
        <v>10.49436543320064</v>
      </c>
      <c r="S10">
        <f t="shared" si="9"/>
        <v>15.10200015909264</v>
      </c>
      <c r="U10">
        <f t="shared" si="10"/>
        <v>0.41517857142857145</v>
      </c>
      <c r="V10">
        <f t="shared" si="11"/>
        <v>0.31810325714285703</v>
      </c>
      <c r="W10">
        <f t="shared" si="12"/>
        <v>0.31848137142857158</v>
      </c>
      <c r="X10">
        <f t="shared" si="13"/>
        <v>0.46278582857142858</v>
      </c>
      <c r="Y10">
        <f t="shared" si="14"/>
        <v>0.55516131428571425</v>
      </c>
    </row>
    <row r="11" spans="1:25" x14ac:dyDescent="0.3">
      <c r="A11">
        <v>2022</v>
      </c>
      <c r="B11">
        <v>8</v>
      </c>
      <c r="C11">
        <f t="shared" si="15"/>
        <v>5.546875</v>
      </c>
      <c r="D11">
        <f t="shared" si="16"/>
        <v>4.9959494800000011</v>
      </c>
      <c r="E11">
        <f t="shared" si="17"/>
        <v>5.4394412799999987</v>
      </c>
      <c r="F11">
        <f t="shared" si="18"/>
        <v>5.7041996800000003</v>
      </c>
      <c r="G11">
        <f t="shared" si="19"/>
        <v>6.6113870800000001</v>
      </c>
      <c r="I11">
        <f t="shared" si="0"/>
        <v>2.453125</v>
      </c>
      <c r="J11">
        <f t="shared" si="1"/>
        <v>3.0040505199999989</v>
      </c>
      <c r="K11">
        <f t="shared" si="2"/>
        <v>2.5605587200000013</v>
      </c>
      <c r="L11">
        <f t="shared" si="3"/>
        <v>2.2958003199999997</v>
      </c>
      <c r="M11">
        <f t="shared" si="4"/>
        <v>1.3886129199999999</v>
      </c>
      <c r="O11">
        <f t="shared" si="5"/>
        <v>6.017822265625</v>
      </c>
      <c r="P11">
        <f t="shared" si="6"/>
        <v>9.0243195267122633</v>
      </c>
      <c r="Q11">
        <f t="shared" si="7"/>
        <v>6.5564609585680449</v>
      </c>
      <c r="R11">
        <f t="shared" si="8"/>
        <v>5.2706991093121012</v>
      </c>
      <c r="S11">
        <f t="shared" si="9"/>
        <v>1.9282458415909263</v>
      </c>
      <c r="U11">
        <f t="shared" si="10"/>
        <v>0.306640625</v>
      </c>
      <c r="V11">
        <f t="shared" si="11"/>
        <v>0.37550631499999987</v>
      </c>
      <c r="W11">
        <f t="shared" si="12"/>
        <v>0.32006984000000016</v>
      </c>
      <c r="X11">
        <f t="shared" si="13"/>
        <v>0.28697503999999996</v>
      </c>
      <c r="Y11">
        <f t="shared" si="14"/>
        <v>0.17357661499999999</v>
      </c>
    </row>
    <row r="13" spans="1:25" x14ac:dyDescent="0.3">
      <c r="N13" t="s">
        <v>33</v>
      </c>
      <c r="O13">
        <f>SUM(O2:O11)</f>
        <v>51.702392578125</v>
      </c>
      <c r="P13">
        <f t="shared" ref="P13:Y13" si="20">SUM(P2:P11)</f>
        <v>56.418108544016093</v>
      </c>
      <c r="Q13">
        <f t="shared" si="20"/>
        <v>51.346416412356199</v>
      </c>
      <c r="R13">
        <f t="shared" si="20"/>
        <v>51.537418074416749</v>
      </c>
      <c r="S13">
        <f t="shared" si="20"/>
        <v>50.069649476347564</v>
      </c>
      <c r="U13">
        <f t="shared" si="20"/>
        <v>3.5808469742063491</v>
      </c>
      <c r="V13">
        <f t="shared" si="20"/>
        <v>3.0787133499206352</v>
      </c>
      <c r="W13">
        <f t="shared" si="20"/>
        <v>3.5560641003174602</v>
      </c>
      <c r="X13">
        <f t="shared" si="20"/>
        <v>3.5525724241269847</v>
      </c>
      <c r="Y13">
        <f t="shared" si="20"/>
        <v>3.2311261515079361</v>
      </c>
    </row>
    <row r="14" spans="1:25" x14ac:dyDescent="0.3">
      <c r="N14" t="s">
        <v>32</v>
      </c>
      <c r="O14">
        <f>AVERAGE(O2:O11)</f>
        <v>5.1702392578124998</v>
      </c>
      <c r="P14">
        <f t="shared" ref="P14:Y14" si="21">AVERAGE(P2:P11)</f>
        <v>5.6418108544016095</v>
      </c>
      <c r="Q14">
        <f t="shared" si="21"/>
        <v>5.1346416412356195</v>
      </c>
      <c r="R14">
        <f t="shared" si="21"/>
        <v>5.1537418074416745</v>
      </c>
      <c r="S14">
        <f t="shared" si="21"/>
        <v>5.0069649476347564</v>
      </c>
      <c r="U14">
        <f t="shared" si="21"/>
        <v>0.35808469742063492</v>
      </c>
      <c r="V14">
        <f t="shared" si="21"/>
        <v>0.30787133499206354</v>
      </c>
      <c r="W14">
        <f t="shared" si="21"/>
        <v>0.35560641003174603</v>
      </c>
      <c r="X14">
        <f t="shared" si="21"/>
        <v>0.35525724241269846</v>
      </c>
      <c r="Y14">
        <f t="shared" si="21"/>
        <v>0.32311261515079359</v>
      </c>
    </row>
    <row r="15" spans="1:25" x14ac:dyDescent="0.3">
      <c r="U15" s="73">
        <v>0.35808469742063492</v>
      </c>
      <c r="V15" s="73">
        <v>0.30787133499206354</v>
      </c>
      <c r="W15" s="73">
        <v>0.35560641003174603</v>
      </c>
      <c r="X15" s="73">
        <v>0.35525724241269846</v>
      </c>
      <c r="Y15" s="73">
        <v>0.32311261515079359</v>
      </c>
    </row>
    <row r="17" spans="1:7" x14ac:dyDescent="0.3">
      <c r="A17" t="s">
        <v>5</v>
      </c>
      <c r="C17">
        <v>0.5</v>
      </c>
      <c r="D17">
        <v>0.1</v>
      </c>
      <c r="E17">
        <v>0.3</v>
      </c>
      <c r="F17">
        <v>0.6</v>
      </c>
      <c r="G17">
        <v>0.9</v>
      </c>
    </row>
    <row r="18" spans="1:7" x14ac:dyDescent="0.3">
      <c r="A18" t="s">
        <v>6</v>
      </c>
      <c r="C18">
        <f>1-C17</f>
        <v>0.5</v>
      </c>
      <c r="D18">
        <f t="shared" ref="D18:G18" si="22">1-D17</f>
        <v>0.9</v>
      </c>
      <c r="E18">
        <f t="shared" si="22"/>
        <v>0.7</v>
      </c>
      <c r="F18">
        <f t="shared" si="22"/>
        <v>0.4</v>
      </c>
      <c r="G18">
        <f t="shared" si="22"/>
        <v>9.9999999999999978E-2</v>
      </c>
    </row>
    <row r="22" spans="1:7" ht="41.4" x14ac:dyDescent="0.9">
      <c r="A22" s="9" t="s">
        <v>18</v>
      </c>
      <c r="B22" s="10"/>
      <c r="C22" s="10"/>
      <c r="D22" s="10"/>
      <c r="E22" s="10"/>
      <c r="F22" s="10"/>
    </row>
    <row r="24" spans="1:7" x14ac:dyDescent="0.3">
      <c r="E24" t="s">
        <v>72</v>
      </c>
    </row>
    <row r="25" spans="1:7" x14ac:dyDescent="0.3">
      <c r="A25" t="s">
        <v>162</v>
      </c>
      <c r="C25" s="73">
        <v>0.35808469742063492</v>
      </c>
      <c r="D25" s="73">
        <v>0.30787133499206354</v>
      </c>
      <c r="E25" s="73">
        <v>0.35560641003174603</v>
      </c>
      <c r="F25" s="73">
        <v>0.35525724241269846</v>
      </c>
      <c r="G25" s="73">
        <v>0.32311261515079359</v>
      </c>
    </row>
    <row r="26" spans="1:7" x14ac:dyDescent="0.3">
      <c r="A26" t="s">
        <v>9</v>
      </c>
      <c r="C26">
        <v>5.1702392578124998</v>
      </c>
      <c r="D26">
        <v>5.6418108544016095</v>
      </c>
      <c r="E26">
        <v>5.1346416412356195</v>
      </c>
      <c r="F26">
        <v>5.1537418074416745</v>
      </c>
      <c r="G26">
        <v>5.0069649476347564</v>
      </c>
    </row>
    <row r="27" spans="1:7" x14ac:dyDescent="0.3">
      <c r="A27" t="s">
        <v>163</v>
      </c>
      <c r="C27" s="1">
        <f>SQRT(C26)</f>
        <v>2.2738160123045357</v>
      </c>
      <c r="D27" s="1">
        <f t="shared" ref="D27:G27" si="23">SQRT(D26)</f>
        <v>2.3752496404381604</v>
      </c>
      <c r="E27" s="1">
        <f t="shared" si="23"/>
        <v>2.2659747662398226</v>
      </c>
      <c r="F27" s="1">
        <f t="shared" si="23"/>
        <v>2.270185412569131</v>
      </c>
      <c r="G27" s="1">
        <f t="shared" si="23"/>
        <v>2.2376248451504903</v>
      </c>
    </row>
    <row r="30" spans="1:7" x14ac:dyDescent="0.3">
      <c r="B30" t="s">
        <v>164</v>
      </c>
      <c r="C30" t="s">
        <v>162</v>
      </c>
      <c r="D30" t="s">
        <v>9</v>
      </c>
      <c r="E30" t="s">
        <v>163</v>
      </c>
    </row>
    <row r="31" spans="1:7" x14ac:dyDescent="0.3">
      <c r="B31">
        <v>0.1</v>
      </c>
      <c r="C31" s="73">
        <v>0.30787133499206354</v>
      </c>
      <c r="D31">
        <v>5.6418108544016095</v>
      </c>
      <c r="E31" s="1">
        <f>SQRT(D31)</f>
        <v>2.3752496404381604</v>
      </c>
    </row>
    <row r="32" spans="1:7" x14ac:dyDescent="0.3">
      <c r="B32">
        <v>0.3</v>
      </c>
      <c r="C32" s="73">
        <v>0.35560641003174603</v>
      </c>
      <c r="D32">
        <v>5.1346416412356195</v>
      </c>
      <c r="E32" s="1">
        <f>SQRT(D32)</f>
        <v>2.2659747662398226</v>
      </c>
    </row>
    <row r="33" spans="2:5" x14ac:dyDescent="0.3">
      <c r="B33">
        <v>0.5</v>
      </c>
      <c r="C33" s="73">
        <v>0.35808469742063492</v>
      </c>
      <c r="D33">
        <v>5.1702392578124998</v>
      </c>
      <c r="E33" s="1">
        <f>SQRT(D33)</f>
        <v>2.2738160123045357</v>
      </c>
    </row>
    <row r="34" spans="2:5" x14ac:dyDescent="0.3">
      <c r="B34">
        <v>0.6</v>
      </c>
      <c r="C34" s="73">
        <v>0.35525724241269846</v>
      </c>
      <c r="D34">
        <v>5.1537418074416745</v>
      </c>
      <c r="E34" s="1">
        <f>SQRT(D34)</f>
        <v>2.270185412569131</v>
      </c>
    </row>
    <row r="35" spans="2:5" x14ac:dyDescent="0.3">
      <c r="B35">
        <v>0.9</v>
      </c>
      <c r="C35" s="73">
        <v>0.32311261515079359</v>
      </c>
      <c r="D35">
        <v>5.0069649476347564</v>
      </c>
      <c r="E35" s="1">
        <f>SQRT(D35)</f>
        <v>2.2376248451504903</v>
      </c>
    </row>
  </sheetData>
  <sortState xmlns:xlrd2="http://schemas.microsoft.com/office/spreadsheetml/2017/richdata2" ref="B31:E35">
    <sortCondition ref="B31:B3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9683-CC9C-4F2E-AA37-DFA09D3024A6}">
  <dimension ref="A1:H29"/>
  <sheetViews>
    <sheetView zoomScale="85" zoomScaleNormal="145" workbookViewId="0">
      <selection activeCell="B11" sqref="A1:B11"/>
    </sheetView>
  </sheetViews>
  <sheetFormatPr defaultRowHeight="14.4" x14ac:dyDescent="0.3"/>
  <cols>
    <col min="3" max="5" width="8.88671875" customWidth="1"/>
    <col min="6" max="7" width="11.6640625" customWidth="1"/>
    <col min="8" max="8" width="10.77734375" customWidth="1"/>
  </cols>
  <sheetData>
    <row r="1" spans="1:8" ht="18" x14ac:dyDescent="0.35">
      <c r="A1" t="s">
        <v>0</v>
      </c>
      <c r="B1" t="s">
        <v>1</v>
      </c>
      <c r="C1" t="s">
        <v>2</v>
      </c>
      <c r="D1" t="s">
        <v>10</v>
      </c>
      <c r="E1" t="s">
        <v>11</v>
      </c>
      <c r="F1" s="56" t="s">
        <v>3</v>
      </c>
      <c r="G1" s="56"/>
      <c r="H1" s="56"/>
    </row>
    <row r="2" spans="1:8" x14ac:dyDescent="0.3">
      <c r="A2">
        <v>2013</v>
      </c>
      <c r="B2">
        <v>4</v>
      </c>
    </row>
    <row r="3" spans="1:8" x14ac:dyDescent="0.3">
      <c r="A3">
        <v>2014</v>
      </c>
      <c r="B3">
        <v>6</v>
      </c>
      <c r="D3">
        <f>AVERAGE(B2:B3)</f>
        <v>5</v>
      </c>
    </row>
    <row r="4" spans="1:8" x14ac:dyDescent="0.3">
      <c r="A4">
        <v>2015</v>
      </c>
      <c r="B4">
        <v>5</v>
      </c>
      <c r="C4" s="1">
        <f t="shared" ref="C4:C11" si="0">AVERAGE(B2:B4)</f>
        <v>5</v>
      </c>
      <c r="D4">
        <f t="shared" ref="D4:D11" si="1">AVERAGE(B3:B4)</f>
        <v>5.5</v>
      </c>
    </row>
    <row r="5" spans="1:8" x14ac:dyDescent="0.3">
      <c r="A5">
        <v>2016</v>
      </c>
      <c r="B5">
        <v>8</v>
      </c>
      <c r="C5" s="1">
        <f t="shared" si="0"/>
        <v>6.333333333333333</v>
      </c>
      <c r="D5">
        <f t="shared" si="1"/>
        <v>6.5</v>
      </c>
    </row>
    <row r="6" spans="1:8" x14ac:dyDescent="0.3">
      <c r="A6">
        <v>2017</v>
      </c>
      <c r="B6">
        <v>9</v>
      </c>
      <c r="C6" s="1">
        <f t="shared" si="0"/>
        <v>7.333333333333333</v>
      </c>
      <c r="D6">
        <f t="shared" si="1"/>
        <v>8.5</v>
      </c>
      <c r="E6">
        <f>AVERAGE(B2:B6)</f>
        <v>6.4</v>
      </c>
    </row>
    <row r="7" spans="1:8" x14ac:dyDescent="0.3">
      <c r="A7">
        <v>2018</v>
      </c>
      <c r="B7">
        <v>5</v>
      </c>
      <c r="C7" s="1">
        <f t="shared" si="0"/>
        <v>7.333333333333333</v>
      </c>
      <c r="D7">
        <f t="shared" si="1"/>
        <v>7</v>
      </c>
      <c r="E7">
        <f t="shared" ref="E7:E11" si="2">AVERAGE(B3:B7)</f>
        <v>6.6</v>
      </c>
    </row>
    <row r="8" spans="1:8" x14ac:dyDescent="0.3">
      <c r="A8">
        <v>2019</v>
      </c>
      <c r="B8">
        <v>4</v>
      </c>
      <c r="C8" s="1">
        <f t="shared" si="0"/>
        <v>6</v>
      </c>
      <c r="D8">
        <f t="shared" si="1"/>
        <v>4.5</v>
      </c>
      <c r="E8">
        <f t="shared" si="2"/>
        <v>6.2</v>
      </c>
    </row>
    <row r="9" spans="1:8" x14ac:dyDescent="0.3">
      <c r="A9">
        <v>2020</v>
      </c>
      <c r="B9">
        <v>3</v>
      </c>
      <c r="C9" s="1">
        <f t="shared" si="0"/>
        <v>4</v>
      </c>
      <c r="D9">
        <f t="shared" si="1"/>
        <v>3.5</v>
      </c>
      <c r="E9">
        <f t="shared" si="2"/>
        <v>5.8</v>
      </c>
    </row>
    <row r="10" spans="1:8" x14ac:dyDescent="0.3">
      <c r="A10">
        <v>2021</v>
      </c>
      <c r="B10">
        <v>7</v>
      </c>
      <c r="C10" s="1">
        <f t="shared" si="0"/>
        <v>4.666666666666667</v>
      </c>
      <c r="D10">
        <f t="shared" si="1"/>
        <v>5</v>
      </c>
      <c r="E10">
        <f t="shared" si="2"/>
        <v>5.6</v>
      </c>
    </row>
    <row r="11" spans="1:8" x14ac:dyDescent="0.3">
      <c r="A11">
        <v>2022</v>
      </c>
      <c r="B11">
        <v>8</v>
      </c>
      <c r="C11" s="1">
        <f t="shared" si="0"/>
        <v>6</v>
      </c>
      <c r="D11">
        <f t="shared" si="1"/>
        <v>7.5</v>
      </c>
      <c r="E11">
        <f t="shared" si="2"/>
        <v>5.4</v>
      </c>
    </row>
    <row r="14" spans="1:8" x14ac:dyDescent="0.3">
      <c r="B14" s="2"/>
      <c r="C14" s="2"/>
      <c r="D14" s="2"/>
      <c r="E14" s="2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</sheetData>
  <mergeCells count="1">
    <mergeCell ref="F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2408A-D73A-465E-93D7-1C95676EBBEE}">
  <dimension ref="A1:I10"/>
  <sheetViews>
    <sheetView workbookViewId="0">
      <selection activeCell="B8" sqref="B8"/>
    </sheetView>
  </sheetViews>
  <sheetFormatPr defaultRowHeight="14.4" x14ac:dyDescent="0.3"/>
  <sheetData>
    <row r="1" spans="1:9" ht="21" x14ac:dyDescent="0.4">
      <c r="A1" s="57" t="s">
        <v>41</v>
      </c>
      <c r="B1" s="57"/>
      <c r="C1" s="57"/>
      <c r="D1" s="57"/>
      <c r="E1" s="57"/>
    </row>
    <row r="2" spans="1:9" x14ac:dyDescent="0.3">
      <c r="A2" t="s">
        <v>0</v>
      </c>
      <c r="B2" s="12" t="s">
        <v>28</v>
      </c>
      <c r="C2" s="12" t="s">
        <v>29</v>
      </c>
      <c r="D2" s="12" t="s">
        <v>30</v>
      </c>
      <c r="E2" s="12" t="s">
        <v>31</v>
      </c>
    </row>
    <row r="3" spans="1:9" x14ac:dyDescent="0.3">
      <c r="A3" t="s">
        <v>25</v>
      </c>
      <c r="B3">
        <v>46</v>
      </c>
      <c r="C3">
        <v>45</v>
      </c>
      <c r="D3">
        <v>44</v>
      </c>
      <c r="E3">
        <v>46</v>
      </c>
    </row>
    <row r="4" spans="1:9" x14ac:dyDescent="0.3">
      <c r="A4" t="s">
        <v>26</v>
      </c>
      <c r="B4">
        <v>45</v>
      </c>
      <c r="C4">
        <v>44</v>
      </c>
      <c r="D4">
        <v>43</v>
      </c>
      <c r="E4">
        <v>46</v>
      </c>
    </row>
    <row r="5" spans="1:9" x14ac:dyDescent="0.3">
      <c r="A5" t="s">
        <v>27</v>
      </c>
      <c r="B5">
        <v>42</v>
      </c>
      <c r="C5">
        <v>41</v>
      </c>
      <c r="D5">
        <v>40</v>
      </c>
      <c r="E5">
        <v>45</v>
      </c>
    </row>
    <row r="6" spans="1:9" x14ac:dyDescent="0.3">
      <c r="A6" t="s">
        <v>33</v>
      </c>
      <c r="B6">
        <f>SUM(B3:B5)</f>
        <v>133</v>
      </c>
      <c r="C6">
        <f t="shared" ref="C6:E6" si="0">SUM(C3:C5)</f>
        <v>130</v>
      </c>
      <c r="D6">
        <f t="shared" si="0"/>
        <v>127</v>
      </c>
      <c r="E6">
        <f t="shared" si="0"/>
        <v>137</v>
      </c>
    </row>
    <row r="7" spans="1:9" x14ac:dyDescent="0.3">
      <c r="A7" t="s">
        <v>32</v>
      </c>
      <c r="B7" s="5">
        <f>AVERAGE(B3:B5)</f>
        <v>44.333333333333336</v>
      </c>
      <c r="C7" s="5">
        <f t="shared" ref="C7:E7" si="1">AVERAGE(C3:C5)</f>
        <v>43.333333333333336</v>
      </c>
      <c r="D7" s="5">
        <f t="shared" si="1"/>
        <v>42.333333333333336</v>
      </c>
      <c r="E7" s="5">
        <f t="shared" si="1"/>
        <v>45.666666666666664</v>
      </c>
      <c r="F7" s="5">
        <f>SUM(B7:E7)</f>
        <v>175.66666666666666</v>
      </c>
      <c r="G7" s="17">
        <f>F7/4</f>
        <v>43.916666666666664</v>
      </c>
      <c r="H7" s="15" t="s">
        <v>36</v>
      </c>
      <c r="I7" s="16" t="s">
        <v>37</v>
      </c>
    </row>
    <row r="8" spans="1:9" x14ac:dyDescent="0.3">
      <c r="A8" t="s">
        <v>34</v>
      </c>
      <c r="B8" s="14">
        <f>B7/$G$7*100</f>
        <v>100.94876660341556</v>
      </c>
      <c r="C8" s="5">
        <f t="shared" ref="C8:E8" si="2">C7/$G$7*100</f>
        <v>98.671726755218231</v>
      </c>
      <c r="D8" s="5">
        <f t="shared" si="2"/>
        <v>96.394686907020883</v>
      </c>
      <c r="E8" s="5">
        <f t="shared" si="2"/>
        <v>103.98481973434535</v>
      </c>
      <c r="F8" s="5">
        <f>SUM(B8:E8)</f>
        <v>400</v>
      </c>
      <c r="H8" s="15" t="s">
        <v>38</v>
      </c>
      <c r="I8" s="16" t="s">
        <v>39</v>
      </c>
    </row>
    <row r="9" spans="1:9" x14ac:dyDescent="0.3">
      <c r="I9" s="3" t="s">
        <v>40</v>
      </c>
    </row>
    <row r="10" spans="1:9" x14ac:dyDescent="0.3">
      <c r="A10" s="3" t="s">
        <v>35</v>
      </c>
    </row>
  </sheetData>
  <mergeCells count="1">
    <mergeCell ref="A1:E1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1B6F-D330-40DD-8FC0-557290BDB140}">
  <dimension ref="A1:C29"/>
  <sheetViews>
    <sheetView topLeftCell="A14" zoomScale="115" workbookViewId="0">
      <selection activeCell="A23" sqref="A23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2013</v>
      </c>
      <c r="B2">
        <v>4</v>
      </c>
    </row>
    <row r="3" spans="1:3" x14ac:dyDescent="0.3">
      <c r="A3">
        <v>2014</v>
      </c>
      <c r="B3">
        <v>6</v>
      </c>
      <c r="C3">
        <f>B2*$A$15+B3*$A$16+B4*$A$17</f>
        <v>5.0999999999999996</v>
      </c>
    </row>
    <row r="4" spans="1:3" x14ac:dyDescent="0.3">
      <c r="A4">
        <v>2015</v>
      </c>
      <c r="B4">
        <v>5</v>
      </c>
      <c r="C4">
        <f t="shared" ref="C4:C11" si="0">B3*$A$15+B4*$A$16+B5*$A$17</f>
        <v>6.45</v>
      </c>
    </row>
    <row r="5" spans="1:3" x14ac:dyDescent="0.3">
      <c r="A5">
        <v>2016</v>
      </c>
      <c r="B5">
        <v>8</v>
      </c>
      <c r="C5">
        <f t="shared" si="0"/>
        <v>7.65</v>
      </c>
    </row>
    <row r="6" spans="1:3" x14ac:dyDescent="0.3">
      <c r="A6">
        <v>2017</v>
      </c>
      <c r="B6">
        <v>9</v>
      </c>
      <c r="C6">
        <f t="shared" si="0"/>
        <v>7.15</v>
      </c>
    </row>
    <row r="7" spans="1:3" x14ac:dyDescent="0.3">
      <c r="A7">
        <v>2018</v>
      </c>
      <c r="B7">
        <v>5</v>
      </c>
      <c r="C7">
        <f t="shared" si="0"/>
        <v>5.6</v>
      </c>
    </row>
    <row r="8" spans="1:3" x14ac:dyDescent="0.3">
      <c r="A8">
        <v>2019</v>
      </c>
      <c r="B8">
        <v>4</v>
      </c>
      <c r="C8">
        <f t="shared" si="0"/>
        <v>3.85</v>
      </c>
    </row>
    <row r="9" spans="1:3" x14ac:dyDescent="0.3">
      <c r="A9">
        <v>2020</v>
      </c>
      <c r="B9">
        <v>3</v>
      </c>
      <c r="C9">
        <f t="shared" si="0"/>
        <v>4.8499999999999996</v>
      </c>
    </row>
    <row r="10" spans="1:3" x14ac:dyDescent="0.3">
      <c r="A10">
        <v>2021</v>
      </c>
      <c r="B10">
        <v>7</v>
      </c>
      <c r="C10">
        <f t="shared" si="0"/>
        <v>6.4</v>
      </c>
    </row>
    <row r="11" spans="1:3" x14ac:dyDescent="0.3">
      <c r="A11">
        <v>2022</v>
      </c>
      <c r="B11">
        <v>8</v>
      </c>
      <c r="C11">
        <f t="shared" si="0"/>
        <v>4.55</v>
      </c>
    </row>
    <row r="14" spans="1:3" x14ac:dyDescent="0.3">
      <c r="A14" t="s">
        <v>113</v>
      </c>
    </row>
    <row r="15" spans="1:3" x14ac:dyDescent="0.3">
      <c r="A15">
        <v>0.25</v>
      </c>
    </row>
    <row r="16" spans="1:3" x14ac:dyDescent="0.3">
      <c r="A16">
        <v>0.35</v>
      </c>
    </row>
    <row r="17" spans="1:1" x14ac:dyDescent="0.3">
      <c r="A17">
        <v>0.4</v>
      </c>
    </row>
    <row r="18" spans="1:1" x14ac:dyDescent="0.3">
      <c r="A18">
        <f>SUM(A15:A17)</f>
        <v>1</v>
      </c>
    </row>
    <row r="21" spans="1:1" x14ac:dyDescent="0.3">
      <c r="A21" t="s">
        <v>114</v>
      </c>
    </row>
    <row r="22" spans="1:1" x14ac:dyDescent="0.3">
      <c r="A22" t="s">
        <v>115</v>
      </c>
    </row>
    <row r="23" spans="1:1" x14ac:dyDescent="0.3">
      <c r="A23" t="s">
        <v>121</v>
      </c>
    </row>
    <row r="25" spans="1:1" x14ac:dyDescent="0.3">
      <c r="A25" t="s">
        <v>116</v>
      </c>
    </row>
    <row r="26" spans="1:1" x14ac:dyDescent="0.3">
      <c r="A26" t="s">
        <v>117</v>
      </c>
    </row>
    <row r="27" spans="1:1" x14ac:dyDescent="0.3">
      <c r="A27" t="s">
        <v>118</v>
      </c>
    </row>
    <row r="28" spans="1:1" x14ac:dyDescent="0.3">
      <c r="A28" t="s">
        <v>119</v>
      </c>
    </row>
    <row r="29" spans="1:1" x14ac:dyDescent="0.3">
      <c r="A29" t="s">
        <v>120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BD44-8867-44C9-A0F7-D137E28DB740}">
  <dimension ref="A1:T48"/>
  <sheetViews>
    <sheetView topLeftCell="A23" zoomScale="87" workbookViewId="0">
      <selection sqref="A1:E1"/>
    </sheetView>
  </sheetViews>
  <sheetFormatPr defaultRowHeight="14.4" x14ac:dyDescent="0.3"/>
  <cols>
    <col min="8" max="8" width="13.88671875" bestFit="1" customWidth="1"/>
  </cols>
  <sheetData>
    <row r="1" spans="1:14" ht="21" x14ac:dyDescent="0.4">
      <c r="A1" s="57" t="s">
        <v>42</v>
      </c>
      <c r="B1" s="57"/>
      <c r="C1" s="57"/>
      <c r="D1" s="57"/>
      <c r="E1" s="57"/>
    </row>
    <row r="2" spans="1:14" x14ac:dyDescent="0.3">
      <c r="A2" t="s">
        <v>0</v>
      </c>
      <c r="B2" s="12" t="s">
        <v>28</v>
      </c>
      <c r="C2" s="12" t="s">
        <v>29</v>
      </c>
      <c r="D2" s="12" t="s">
        <v>30</v>
      </c>
      <c r="E2" s="12" t="s">
        <v>31</v>
      </c>
      <c r="F2" s="12" t="s">
        <v>33</v>
      </c>
      <c r="G2" s="12" t="s">
        <v>43</v>
      </c>
      <c r="H2" s="12" t="s">
        <v>45</v>
      </c>
      <c r="I2" s="12" t="s">
        <v>46</v>
      </c>
      <c r="J2" s="12" t="s">
        <v>47</v>
      </c>
    </row>
    <row r="3" spans="1:14" x14ac:dyDescent="0.3">
      <c r="A3">
        <v>2011</v>
      </c>
      <c r="B3">
        <v>65</v>
      </c>
      <c r="C3">
        <v>58</v>
      </c>
      <c r="D3">
        <v>56</v>
      </c>
      <c r="E3">
        <v>61</v>
      </c>
      <c r="F3">
        <f>SUM(B3:E3)</f>
        <v>240</v>
      </c>
      <c r="G3" s="1">
        <f>AVERAGE(B3:E3)</f>
        <v>60</v>
      </c>
      <c r="H3">
        <f>2*(A3-2012.5)</f>
        <v>-3</v>
      </c>
      <c r="I3" s="1">
        <f>F3*H3</f>
        <v>-720</v>
      </c>
      <c r="J3">
        <f>H3*H3</f>
        <v>9</v>
      </c>
    </row>
    <row r="4" spans="1:14" x14ac:dyDescent="0.3">
      <c r="A4">
        <v>2012</v>
      </c>
      <c r="B4">
        <v>68</v>
      </c>
      <c r="C4">
        <v>63</v>
      </c>
      <c r="D4">
        <v>63</v>
      </c>
      <c r="E4">
        <v>67</v>
      </c>
      <c r="F4">
        <f t="shared" ref="F4:F6" si="0">SUM(B4:E4)</f>
        <v>261</v>
      </c>
      <c r="G4" s="1">
        <f t="shared" ref="G4:G6" si="1">AVERAGE(B4:E4)</f>
        <v>65.25</v>
      </c>
      <c r="H4">
        <f t="shared" ref="H4:H6" si="2">2*(A4-2012.5)</f>
        <v>-1</v>
      </c>
      <c r="I4" s="1">
        <f t="shared" ref="I4:I6" si="3">F4*H4</f>
        <v>-261</v>
      </c>
      <c r="J4">
        <f t="shared" ref="J4:J6" si="4">H4*H4</f>
        <v>1</v>
      </c>
    </row>
    <row r="5" spans="1:14" x14ac:dyDescent="0.3">
      <c r="A5">
        <v>2013</v>
      </c>
      <c r="B5">
        <v>70</v>
      </c>
      <c r="C5">
        <v>59</v>
      </c>
      <c r="D5">
        <v>56</v>
      </c>
      <c r="E5">
        <v>52</v>
      </c>
      <c r="F5">
        <f t="shared" si="0"/>
        <v>237</v>
      </c>
      <c r="G5" s="1">
        <f t="shared" si="1"/>
        <v>59.25</v>
      </c>
      <c r="H5">
        <f t="shared" si="2"/>
        <v>1</v>
      </c>
      <c r="I5" s="1">
        <f t="shared" si="3"/>
        <v>237</v>
      </c>
      <c r="J5">
        <f t="shared" si="4"/>
        <v>1</v>
      </c>
    </row>
    <row r="6" spans="1:14" x14ac:dyDescent="0.3">
      <c r="A6">
        <v>2014</v>
      </c>
      <c r="B6">
        <v>60</v>
      </c>
      <c r="C6">
        <v>55</v>
      </c>
      <c r="D6">
        <v>51</v>
      </c>
      <c r="E6">
        <v>59</v>
      </c>
      <c r="F6">
        <f t="shared" si="0"/>
        <v>225</v>
      </c>
      <c r="G6" s="1">
        <f t="shared" si="1"/>
        <v>56.25</v>
      </c>
      <c r="H6">
        <f t="shared" si="2"/>
        <v>3</v>
      </c>
      <c r="I6" s="1">
        <f t="shared" si="3"/>
        <v>675</v>
      </c>
      <c r="J6">
        <f t="shared" si="4"/>
        <v>9</v>
      </c>
    </row>
    <row r="7" spans="1:14" x14ac:dyDescent="0.3">
      <c r="A7" t="s">
        <v>33</v>
      </c>
      <c r="E7" t="s">
        <v>33</v>
      </c>
      <c r="F7">
        <f>SUM(F3:F6)</f>
        <v>963</v>
      </c>
      <c r="G7">
        <f>SUM(G3:G6)</f>
        <v>240.75</v>
      </c>
      <c r="H7" s="1">
        <f>SUM(H3:H6)</f>
        <v>0</v>
      </c>
      <c r="I7" s="1">
        <f>SUM(I3:I6)</f>
        <v>-69</v>
      </c>
      <c r="J7" s="1">
        <f>SUM(J3:J6)</f>
        <v>20</v>
      </c>
    </row>
    <row r="8" spans="1:14" x14ac:dyDescent="0.3">
      <c r="H8" s="1"/>
      <c r="I8" s="1"/>
      <c r="J8" s="1"/>
    </row>
    <row r="9" spans="1:14" ht="27" x14ac:dyDescent="0.6">
      <c r="A9" s="18" t="s">
        <v>50</v>
      </c>
      <c r="B9" s="19">
        <f>F7/COUNTA(F3:F6)</f>
        <v>240.75</v>
      </c>
      <c r="C9">
        <f>B9/4</f>
        <v>60.1875</v>
      </c>
      <c r="E9" s="20" t="s">
        <v>63</v>
      </c>
    </row>
    <row r="10" spans="1:14" ht="27" x14ac:dyDescent="0.6">
      <c r="A10" s="18" t="s">
        <v>51</v>
      </c>
      <c r="B10" s="19">
        <f>I7/J7</f>
        <v>-3.45</v>
      </c>
      <c r="C10" s="13">
        <f>B10/8</f>
        <v>-0.43125000000000002</v>
      </c>
      <c r="E10" s="20" t="s">
        <v>52</v>
      </c>
    </row>
    <row r="11" spans="1:14" ht="15" thickBot="1" x14ac:dyDescent="0.35"/>
    <row r="12" spans="1:14" ht="18.600000000000001" thickBot="1" x14ac:dyDescent="0.4">
      <c r="A12" s="22" t="s">
        <v>44</v>
      </c>
    </row>
    <row r="13" spans="1:14" ht="15.6" x14ac:dyDescent="0.3">
      <c r="A13" s="21" t="s">
        <v>49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15.6" x14ac:dyDescent="0.3">
      <c r="A14" s="21" t="s">
        <v>48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5.6" x14ac:dyDescent="0.3">
      <c r="A15" s="21" t="s">
        <v>53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5.6" x14ac:dyDescent="0.3">
      <c r="A16" s="21" t="s">
        <v>55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20" ht="15.6" x14ac:dyDescent="0.3">
      <c r="A17" s="21" t="s">
        <v>54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20" ht="15.6" x14ac:dyDescent="0.3">
      <c r="A18" s="21" t="s">
        <v>56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20" ht="15.6" x14ac:dyDescent="0.3">
      <c r="A19" s="21" t="s">
        <v>57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20" ht="16.2" thickBot="1" x14ac:dyDescent="0.35">
      <c r="A20" s="21" t="s">
        <v>58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20" ht="16.2" thickBot="1" x14ac:dyDescent="0.35">
      <c r="P21" s="58" t="s">
        <v>67</v>
      </c>
      <c r="Q21" s="59"/>
    </row>
    <row r="22" spans="1:20" ht="23.4" x14ac:dyDescent="0.45">
      <c r="B22" s="20" t="s">
        <v>64</v>
      </c>
      <c r="P22" s="24">
        <f>C10/2</f>
        <v>-0.21562500000000001</v>
      </c>
      <c r="Q22" s="46"/>
    </row>
    <row r="23" spans="1:20" ht="24" thickBot="1" x14ac:dyDescent="0.5">
      <c r="B23" s="20" t="s">
        <v>65</v>
      </c>
      <c r="P23" s="23">
        <f>C9+P22</f>
        <v>59.971874999999997</v>
      </c>
      <c r="Q23" s="46"/>
    </row>
    <row r="24" spans="1:20" ht="15" thickBot="1" x14ac:dyDescent="0.35"/>
    <row r="25" spans="1:20" ht="16.2" thickBot="1" x14ac:dyDescent="0.35">
      <c r="A25" s="21" t="s">
        <v>59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P25" s="65" t="s">
        <v>70</v>
      </c>
      <c r="Q25" s="66"/>
      <c r="R25" s="66"/>
      <c r="S25" s="67"/>
      <c r="T25" t="s">
        <v>72</v>
      </c>
    </row>
    <row r="26" spans="1:20" ht="15.6" x14ac:dyDescent="0.3">
      <c r="A26" s="21" t="s">
        <v>60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P26" s="32">
        <v>8</v>
      </c>
      <c r="Q26" s="33">
        <v>7</v>
      </c>
      <c r="R26" s="33">
        <v>6</v>
      </c>
      <c r="S26" s="34">
        <v>5</v>
      </c>
    </row>
    <row r="27" spans="1:20" ht="15.6" x14ac:dyDescent="0.3">
      <c r="A27" s="21" t="s">
        <v>68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P27" s="26">
        <v>4</v>
      </c>
      <c r="Q27" s="25">
        <v>3</v>
      </c>
      <c r="R27" s="25">
        <v>2</v>
      </c>
      <c r="S27" s="27">
        <v>1</v>
      </c>
    </row>
    <row r="28" spans="1:20" ht="15.6" x14ac:dyDescent="0.3">
      <c r="A28" s="21" t="s">
        <v>61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P28" s="28">
        <v>0</v>
      </c>
      <c r="Q28" s="25">
        <v>1</v>
      </c>
      <c r="R28" s="25">
        <v>2</v>
      </c>
      <c r="S28" s="27">
        <v>3</v>
      </c>
    </row>
    <row r="29" spans="1:20" ht="16.2" thickBot="1" x14ac:dyDescent="0.35">
      <c r="A29" s="21" t="s">
        <v>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P29" s="29">
        <v>4</v>
      </c>
      <c r="Q29" s="30">
        <v>5</v>
      </c>
      <c r="R29" s="30">
        <v>6</v>
      </c>
      <c r="S29" s="31">
        <v>7</v>
      </c>
    </row>
    <row r="30" spans="1:20" ht="15.6" x14ac:dyDescent="0.3">
      <c r="A30" s="21" t="s">
        <v>71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P30" s="38" t="s">
        <v>83</v>
      </c>
      <c r="Q30" s="38"/>
      <c r="R30" s="38"/>
      <c r="S30" s="38"/>
      <c r="T30" s="38"/>
    </row>
    <row r="31" spans="1:20" ht="15.6" x14ac:dyDescent="0.3">
      <c r="A31" s="21" t="s">
        <v>66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P31" s="38" t="s">
        <v>84</v>
      </c>
      <c r="Q31" s="38"/>
      <c r="R31" s="38"/>
      <c r="S31" s="38"/>
      <c r="T31" s="38"/>
    </row>
    <row r="32" spans="1:20" ht="15.6" x14ac:dyDescent="0.3">
      <c r="A32" s="21" t="s">
        <v>74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P32" s="38" t="s">
        <v>85</v>
      </c>
      <c r="Q32" s="38"/>
      <c r="R32" s="38"/>
      <c r="S32" s="38"/>
      <c r="T32" s="38"/>
    </row>
    <row r="33" spans="1:20" ht="15.6" x14ac:dyDescent="0.3">
      <c r="A33" s="47" t="s">
        <v>86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P33" s="45"/>
      <c r="Q33" s="45"/>
      <c r="R33" s="45"/>
      <c r="S33" s="45"/>
      <c r="T33" s="45"/>
    </row>
    <row r="34" spans="1:20" ht="15" thickBot="1" x14ac:dyDescent="0.35"/>
    <row r="35" spans="1:20" ht="16.2" thickBot="1" x14ac:dyDescent="0.35">
      <c r="A35" s="69" t="s">
        <v>73</v>
      </c>
      <c r="B35" s="69"/>
      <c r="C35" t="s">
        <v>0</v>
      </c>
      <c r="D35" s="12" t="s">
        <v>28</v>
      </c>
      <c r="E35" s="12" t="s">
        <v>29</v>
      </c>
      <c r="F35" s="12" t="s">
        <v>30</v>
      </c>
      <c r="G35" s="12" t="s">
        <v>31</v>
      </c>
      <c r="I35" s="68" t="s">
        <v>62</v>
      </c>
      <c r="J35" s="68"/>
      <c r="K35" t="s">
        <v>0</v>
      </c>
      <c r="L35" s="12" t="s">
        <v>28</v>
      </c>
      <c r="M35" s="12" t="s">
        <v>29</v>
      </c>
      <c r="N35" s="12" t="s">
        <v>30</v>
      </c>
      <c r="O35" s="12" t="s">
        <v>31</v>
      </c>
      <c r="Q35" s="35" t="s">
        <v>36</v>
      </c>
      <c r="R35" s="36">
        <f>P41/4</f>
        <v>103.3083474974562</v>
      </c>
      <c r="S35" s="37" t="s">
        <v>82</v>
      </c>
    </row>
    <row r="36" spans="1:20" x14ac:dyDescent="0.3">
      <c r="B36" s="60" t="s">
        <v>76</v>
      </c>
      <c r="C36">
        <v>2011</v>
      </c>
      <c r="D36" s="1">
        <f t="shared" ref="D36:G39" si="5">$P$23+($C$10*P26)</f>
        <v>56.521874999999994</v>
      </c>
      <c r="E36" s="1">
        <f t="shared" si="5"/>
        <v>56.953125</v>
      </c>
      <c r="F36" s="1">
        <f t="shared" si="5"/>
        <v>57.384374999999999</v>
      </c>
      <c r="G36" s="1">
        <f t="shared" si="5"/>
        <v>57.815624999999997</v>
      </c>
      <c r="K36">
        <v>2011</v>
      </c>
      <c r="L36" s="1">
        <f t="shared" ref="L36:O39" si="6">B3/D36*100</f>
        <v>114.99972355835683</v>
      </c>
      <c r="M36" s="1">
        <f t="shared" si="6"/>
        <v>101.83813443072702</v>
      </c>
      <c r="N36" s="1">
        <f t="shared" si="6"/>
        <v>97.587540162282849</v>
      </c>
      <c r="O36" s="1">
        <f t="shared" si="6"/>
        <v>105.50781038862765</v>
      </c>
      <c r="S36" s="3" t="s">
        <v>98</v>
      </c>
    </row>
    <row r="37" spans="1:20" ht="15" thickBot="1" x14ac:dyDescent="0.35">
      <c r="B37" s="61"/>
      <c r="C37">
        <v>2012</v>
      </c>
      <c r="D37" s="1">
        <f t="shared" si="5"/>
        <v>58.246874999999996</v>
      </c>
      <c r="E37" s="1">
        <f t="shared" si="5"/>
        <v>58.678124999999994</v>
      </c>
      <c r="F37" s="1">
        <f t="shared" si="5"/>
        <v>59.109375</v>
      </c>
      <c r="G37" s="1">
        <f t="shared" si="5"/>
        <v>59.540624999999999</v>
      </c>
      <c r="K37">
        <v>2012</v>
      </c>
      <c r="L37" s="1">
        <f t="shared" si="6"/>
        <v>116.74446053972854</v>
      </c>
      <c r="M37" s="1">
        <f t="shared" si="6"/>
        <v>107.36539383288066</v>
      </c>
      <c r="N37" s="1">
        <f t="shared" si="6"/>
        <v>106.58207771609834</v>
      </c>
      <c r="O37" s="1">
        <f t="shared" si="6"/>
        <v>112.52821078045451</v>
      </c>
    </row>
    <row r="38" spans="1:20" x14ac:dyDescent="0.3">
      <c r="B38" s="60" t="s">
        <v>75</v>
      </c>
      <c r="C38">
        <v>2013</v>
      </c>
      <c r="D38" s="1">
        <f t="shared" si="5"/>
        <v>59.971874999999997</v>
      </c>
      <c r="E38" s="1">
        <f t="shared" si="5"/>
        <v>59.540624999999999</v>
      </c>
      <c r="F38" s="1">
        <f t="shared" si="5"/>
        <v>59.109375</v>
      </c>
      <c r="G38" s="1">
        <f t="shared" si="5"/>
        <v>58.678124999999994</v>
      </c>
      <c r="K38">
        <v>2013</v>
      </c>
      <c r="L38" s="1">
        <f t="shared" si="6"/>
        <v>116.72137981345423</v>
      </c>
      <c r="M38" s="1">
        <f t="shared" si="6"/>
        <v>99.092006508161447</v>
      </c>
      <c r="N38" s="1">
        <f t="shared" si="6"/>
        <v>94.739624636531843</v>
      </c>
      <c r="O38" s="1">
        <f t="shared" si="6"/>
        <v>88.619055227139597</v>
      </c>
    </row>
    <row r="39" spans="1:20" ht="15" thickBot="1" x14ac:dyDescent="0.35">
      <c r="B39" s="61"/>
      <c r="C39">
        <v>2014</v>
      </c>
      <c r="D39" s="1">
        <f t="shared" si="5"/>
        <v>58.246874999999996</v>
      </c>
      <c r="E39" s="1">
        <f t="shared" si="5"/>
        <v>57.815624999999997</v>
      </c>
      <c r="F39" s="1">
        <f t="shared" si="5"/>
        <v>57.384374999999999</v>
      </c>
      <c r="G39" s="1">
        <f t="shared" si="5"/>
        <v>56.953125</v>
      </c>
      <c r="K39">
        <v>2014</v>
      </c>
      <c r="L39" s="1">
        <f t="shared" si="6"/>
        <v>103.00981812328989</v>
      </c>
      <c r="M39" s="1">
        <f t="shared" si="6"/>
        <v>95.129992973352799</v>
      </c>
      <c r="N39" s="1">
        <f t="shared" si="6"/>
        <v>88.874366933507602</v>
      </c>
      <c r="O39" s="1">
        <f t="shared" si="6"/>
        <v>103.59396433470506</v>
      </c>
    </row>
    <row r="40" spans="1:20" x14ac:dyDescent="0.3">
      <c r="K40" t="s">
        <v>33</v>
      </c>
      <c r="L40" s="1">
        <f>SUM(L36:L39)</f>
        <v>451.47538203482952</v>
      </c>
      <c r="M40" s="1">
        <f t="shared" ref="M40:O40" si="7">SUM(M36:M39)</f>
        <v>403.42552774512188</v>
      </c>
      <c r="N40" s="1">
        <f t="shared" si="7"/>
        <v>387.78360944842063</v>
      </c>
      <c r="O40" s="1">
        <f t="shared" si="7"/>
        <v>410.24904073092682</v>
      </c>
    </row>
    <row r="41" spans="1:20" x14ac:dyDescent="0.3">
      <c r="K41" t="s">
        <v>32</v>
      </c>
      <c r="L41" s="1">
        <f>AVERAGE(L36:L39)</f>
        <v>112.86884550870738</v>
      </c>
      <c r="M41" s="1">
        <f t="shared" ref="M41:O41" si="8">AVERAGE(M36:M39)</f>
        <v>100.85638193628047</v>
      </c>
      <c r="N41" s="1">
        <f t="shared" si="8"/>
        <v>96.945902362105159</v>
      </c>
      <c r="O41" s="1">
        <f t="shared" si="8"/>
        <v>102.56226018273171</v>
      </c>
      <c r="P41" s="1">
        <f>SUM(L41:O41)</f>
        <v>413.23338998982479</v>
      </c>
    </row>
    <row r="43" spans="1:20" ht="15" thickBot="1" x14ac:dyDescent="0.35"/>
    <row r="44" spans="1:20" ht="15" thickBot="1" x14ac:dyDescent="0.35">
      <c r="A44" s="62" t="s">
        <v>77</v>
      </c>
      <c r="B44" s="63"/>
      <c r="C44" s="63"/>
      <c r="D44" s="63"/>
      <c r="E44" s="63"/>
      <c r="F44" s="63"/>
      <c r="G44" s="64"/>
    </row>
    <row r="45" spans="1:20" x14ac:dyDescent="0.3">
      <c r="A45" s="39" t="s">
        <v>78</v>
      </c>
      <c r="B45" s="40"/>
      <c r="C45" s="40"/>
      <c r="D45" s="40"/>
      <c r="E45" s="40"/>
      <c r="F45" s="40"/>
      <c r="G45" s="41"/>
    </row>
    <row r="46" spans="1:20" x14ac:dyDescent="0.3">
      <c r="A46" s="39" t="s">
        <v>79</v>
      </c>
      <c r="B46" s="40"/>
      <c r="C46" s="40"/>
      <c r="D46" s="40"/>
      <c r="E46" s="40"/>
      <c r="F46" s="40"/>
      <c r="G46" s="41"/>
    </row>
    <row r="47" spans="1:20" x14ac:dyDescent="0.3">
      <c r="A47" s="39" t="s">
        <v>80</v>
      </c>
      <c r="B47" s="40"/>
      <c r="C47" s="40"/>
      <c r="D47" s="40"/>
      <c r="E47" s="40"/>
      <c r="F47" s="40"/>
      <c r="G47" s="41"/>
    </row>
    <row r="48" spans="1:20" ht="15" thickBot="1" x14ac:dyDescent="0.35">
      <c r="A48" s="42" t="s">
        <v>81</v>
      </c>
      <c r="B48" s="43"/>
      <c r="C48" s="43"/>
      <c r="D48" s="43"/>
      <c r="E48" s="43"/>
      <c r="F48" s="43"/>
      <c r="G48" s="44"/>
    </row>
  </sheetData>
  <mergeCells count="8">
    <mergeCell ref="A1:E1"/>
    <mergeCell ref="P21:Q21"/>
    <mergeCell ref="B38:B39"/>
    <mergeCell ref="B36:B37"/>
    <mergeCell ref="A44:G44"/>
    <mergeCell ref="P25:S25"/>
    <mergeCell ref="I35:J35"/>
    <mergeCell ref="A35:B35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E11A5-274C-462F-A21A-0007FC626107}">
  <dimension ref="A1:Q20"/>
  <sheetViews>
    <sheetView workbookViewId="0"/>
  </sheetViews>
  <sheetFormatPr defaultRowHeight="14.4" x14ac:dyDescent="0.3"/>
  <cols>
    <col min="1" max="1" width="8.88671875" customWidth="1"/>
    <col min="5" max="5" width="13.21875" bestFit="1" customWidth="1"/>
    <col min="7" max="7" width="9.33203125" bestFit="1" customWidth="1"/>
  </cols>
  <sheetData>
    <row r="1" spans="1:17" x14ac:dyDescent="0.3">
      <c r="A1" s="3" t="s">
        <v>0</v>
      </c>
      <c r="B1" s="3" t="s">
        <v>87</v>
      </c>
      <c r="C1" s="3" t="s">
        <v>1</v>
      </c>
      <c r="D1" s="3" t="s">
        <v>89</v>
      </c>
      <c r="E1" s="3" t="s">
        <v>88</v>
      </c>
      <c r="F1" s="3" t="s">
        <v>90</v>
      </c>
      <c r="G1" s="3" t="s">
        <v>91</v>
      </c>
      <c r="J1" s="3" t="s">
        <v>92</v>
      </c>
      <c r="L1" t="s">
        <v>0</v>
      </c>
      <c r="M1" s="12" t="s">
        <v>28</v>
      </c>
      <c r="N1" s="12" t="s">
        <v>29</v>
      </c>
      <c r="O1" s="12" t="s">
        <v>30</v>
      </c>
      <c r="P1" s="12" t="s">
        <v>31</v>
      </c>
    </row>
    <row r="2" spans="1:17" x14ac:dyDescent="0.3">
      <c r="A2">
        <v>1986</v>
      </c>
      <c r="B2">
        <v>1</v>
      </c>
      <c r="C2">
        <v>34</v>
      </c>
      <c r="L2">
        <v>1986</v>
      </c>
      <c r="M2">
        <v>34</v>
      </c>
      <c r="N2">
        <v>33</v>
      </c>
      <c r="O2">
        <v>34</v>
      </c>
      <c r="P2">
        <v>37</v>
      </c>
    </row>
    <row r="3" spans="1:17" x14ac:dyDescent="0.3">
      <c r="B3">
        <v>2</v>
      </c>
      <c r="C3">
        <v>33</v>
      </c>
      <c r="D3">
        <f>SUM(C2:C5)</f>
        <v>138</v>
      </c>
      <c r="L3">
        <v>1987</v>
      </c>
      <c r="M3">
        <v>37</v>
      </c>
      <c r="N3">
        <v>35</v>
      </c>
      <c r="O3">
        <v>37</v>
      </c>
      <c r="P3">
        <v>39</v>
      </c>
    </row>
    <row r="4" spans="1:17" x14ac:dyDescent="0.3">
      <c r="B4">
        <v>3</v>
      </c>
      <c r="C4">
        <v>34</v>
      </c>
      <c r="D4">
        <f t="shared" ref="D4:D15" si="0">SUM(C3:C6)</f>
        <v>141</v>
      </c>
      <c r="E4">
        <f>SUM(D3:D4)</f>
        <v>279</v>
      </c>
      <c r="F4" s="5">
        <f>E4/8</f>
        <v>34.875</v>
      </c>
      <c r="G4" s="5">
        <f>C4/F4*100</f>
        <v>97.491039426523301</v>
      </c>
      <c r="L4">
        <v>1988</v>
      </c>
      <c r="M4">
        <v>39</v>
      </c>
      <c r="N4">
        <v>37</v>
      </c>
      <c r="O4">
        <v>38</v>
      </c>
      <c r="P4">
        <v>40</v>
      </c>
    </row>
    <row r="5" spans="1:17" x14ac:dyDescent="0.3">
      <c r="B5">
        <v>4</v>
      </c>
      <c r="C5">
        <v>37</v>
      </c>
      <c r="D5">
        <f t="shared" si="0"/>
        <v>143</v>
      </c>
      <c r="E5">
        <f t="shared" ref="E5:E14" si="1">SUM(D4:D5)</f>
        <v>284</v>
      </c>
      <c r="F5" s="5">
        <f t="shared" ref="F5:F15" si="2">E5/8</f>
        <v>35.5</v>
      </c>
      <c r="G5" s="5">
        <f t="shared" ref="G5:G15" si="3">C5/F5*100</f>
        <v>104.22535211267605</v>
      </c>
      <c r="L5">
        <v>1989</v>
      </c>
      <c r="M5">
        <v>42</v>
      </c>
      <c r="N5">
        <v>41</v>
      </c>
      <c r="O5">
        <v>42</v>
      </c>
      <c r="P5">
        <v>44</v>
      </c>
    </row>
    <row r="6" spans="1:17" x14ac:dyDescent="0.3">
      <c r="A6">
        <v>1987</v>
      </c>
      <c r="B6">
        <v>1</v>
      </c>
      <c r="C6">
        <v>37</v>
      </c>
      <c r="D6">
        <f t="shared" si="0"/>
        <v>146</v>
      </c>
      <c r="E6">
        <f t="shared" si="1"/>
        <v>289</v>
      </c>
      <c r="F6" s="5">
        <f t="shared" si="2"/>
        <v>36.125</v>
      </c>
      <c r="G6" s="5">
        <f t="shared" si="3"/>
        <v>102.42214532871972</v>
      </c>
    </row>
    <row r="7" spans="1:17" x14ac:dyDescent="0.3">
      <c r="B7">
        <v>2</v>
      </c>
      <c r="C7">
        <v>35</v>
      </c>
      <c r="D7">
        <f t="shared" si="0"/>
        <v>148</v>
      </c>
      <c r="E7">
        <f t="shared" si="1"/>
        <v>294</v>
      </c>
      <c r="F7" s="5">
        <f t="shared" si="2"/>
        <v>36.75</v>
      </c>
      <c r="G7" s="5">
        <f t="shared" si="3"/>
        <v>95.238095238095227</v>
      </c>
      <c r="J7" s="3" t="s">
        <v>93</v>
      </c>
      <c r="L7" t="s">
        <v>0</v>
      </c>
      <c r="M7" s="12" t="s">
        <v>28</v>
      </c>
      <c r="N7" s="12" t="s">
        <v>29</v>
      </c>
      <c r="O7" s="12" t="s">
        <v>30</v>
      </c>
      <c r="P7" s="12" t="s">
        <v>31</v>
      </c>
    </row>
    <row r="8" spans="1:17" x14ac:dyDescent="0.3">
      <c r="B8">
        <v>3</v>
      </c>
      <c r="C8">
        <v>37</v>
      </c>
      <c r="D8">
        <f t="shared" si="0"/>
        <v>150</v>
      </c>
      <c r="E8">
        <f t="shared" si="1"/>
        <v>298</v>
      </c>
      <c r="F8" s="5">
        <f t="shared" si="2"/>
        <v>37.25</v>
      </c>
      <c r="G8" s="5">
        <f t="shared" si="3"/>
        <v>99.328859060402692</v>
      </c>
      <c r="L8">
        <v>1986</v>
      </c>
      <c r="M8" s="48" t="s">
        <v>94</v>
      </c>
      <c r="N8" s="48" t="s">
        <v>94</v>
      </c>
      <c r="O8" s="5">
        <v>97.491039426523301</v>
      </c>
      <c r="P8" s="5">
        <v>104.22535211267605</v>
      </c>
    </row>
    <row r="9" spans="1:17" x14ac:dyDescent="0.3">
      <c r="B9">
        <v>4</v>
      </c>
      <c r="C9">
        <v>39</v>
      </c>
      <c r="D9">
        <f t="shared" si="0"/>
        <v>152</v>
      </c>
      <c r="E9">
        <f t="shared" si="1"/>
        <v>302</v>
      </c>
      <c r="F9" s="5">
        <f t="shared" si="2"/>
        <v>37.75</v>
      </c>
      <c r="G9" s="5">
        <f t="shared" si="3"/>
        <v>103.31125827814569</v>
      </c>
      <c r="L9">
        <v>1987</v>
      </c>
      <c r="M9" s="5">
        <v>102.42214532871972</v>
      </c>
      <c r="N9" s="5">
        <v>95.238095238095227</v>
      </c>
      <c r="O9" s="5">
        <v>99.328859060402692</v>
      </c>
      <c r="P9" s="5">
        <v>103.31125827814569</v>
      </c>
    </row>
    <row r="10" spans="1:17" x14ac:dyDescent="0.3">
      <c r="A10">
        <v>1988</v>
      </c>
      <c r="B10">
        <v>1</v>
      </c>
      <c r="C10">
        <v>39</v>
      </c>
      <c r="D10">
        <f t="shared" si="0"/>
        <v>153</v>
      </c>
      <c r="E10">
        <f t="shared" si="1"/>
        <v>305</v>
      </c>
      <c r="F10" s="5">
        <f t="shared" si="2"/>
        <v>38.125</v>
      </c>
      <c r="G10" s="5">
        <f t="shared" si="3"/>
        <v>102.29508196721311</v>
      </c>
      <c r="L10">
        <v>1988</v>
      </c>
      <c r="M10" s="5">
        <v>102.29508196721311</v>
      </c>
      <c r="N10" s="5">
        <v>96.416938110749186</v>
      </c>
      <c r="O10" s="5">
        <v>97.749196141479104</v>
      </c>
      <c r="P10" s="5">
        <v>100.62893081761007</v>
      </c>
    </row>
    <row r="11" spans="1:17" x14ac:dyDescent="0.3">
      <c r="B11">
        <v>2</v>
      </c>
      <c r="C11">
        <v>37</v>
      </c>
      <c r="D11">
        <f t="shared" si="0"/>
        <v>154</v>
      </c>
      <c r="E11">
        <f t="shared" si="1"/>
        <v>307</v>
      </c>
      <c r="F11" s="5">
        <f t="shared" si="2"/>
        <v>38.375</v>
      </c>
      <c r="G11" s="5">
        <f t="shared" si="3"/>
        <v>96.416938110749186</v>
      </c>
      <c r="L11">
        <v>1989</v>
      </c>
      <c r="M11" s="5">
        <v>103.06748466257669</v>
      </c>
      <c r="N11" s="5">
        <v>98.203592814371248</v>
      </c>
      <c r="O11" s="48" t="s">
        <v>94</v>
      </c>
      <c r="P11" s="48" t="s">
        <v>94</v>
      </c>
    </row>
    <row r="12" spans="1:17" x14ac:dyDescent="0.3">
      <c r="B12">
        <v>3</v>
      </c>
      <c r="C12">
        <v>38</v>
      </c>
      <c r="D12">
        <f t="shared" si="0"/>
        <v>157</v>
      </c>
      <c r="E12">
        <f t="shared" si="1"/>
        <v>311</v>
      </c>
      <c r="F12" s="5">
        <f t="shared" si="2"/>
        <v>38.875</v>
      </c>
      <c r="G12" s="5">
        <f t="shared" si="3"/>
        <v>97.749196141479104</v>
      </c>
      <c r="L12" t="s">
        <v>33</v>
      </c>
      <c r="M12" s="5">
        <f>SUM(M8:M11)</f>
        <v>307.78471195850955</v>
      </c>
      <c r="N12" s="5">
        <f t="shared" ref="N12:P12" si="4">SUM(N8:N11)</f>
        <v>289.85862616321566</v>
      </c>
      <c r="O12" s="5">
        <f t="shared" si="4"/>
        <v>294.56909462840508</v>
      </c>
      <c r="P12" s="5">
        <f t="shared" si="4"/>
        <v>308.16554120843182</v>
      </c>
    </row>
    <row r="13" spans="1:17" x14ac:dyDescent="0.3">
      <c r="B13">
        <v>4</v>
      </c>
      <c r="C13">
        <v>40</v>
      </c>
      <c r="D13">
        <f t="shared" si="0"/>
        <v>161</v>
      </c>
      <c r="E13">
        <f t="shared" si="1"/>
        <v>318</v>
      </c>
      <c r="F13" s="5">
        <f t="shared" si="2"/>
        <v>39.75</v>
      </c>
      <c r="G13" s="5">
        <f t="shared" si="3"/>
        <v>100.62893081761007</v>
      </c>
      <c r="L13" t="s">
        <v>32</v>
      </c>
      <c r="M13" s="5">
        <f>M12/3</f>
        <v>102.59490398616985</v>
      </c>
      <c r="N13" s="5">
        <f>N12/3</f>
        <v>96.619542054405215</v>
      </c>
      <c r="O13" s="5">
        <f>O12/3</f>
        <v>98.189698209468361</v>
      </c>
      <c r="P13" s="5">
        <f>P12/3</f>
        <v>102.72184706947728</v>
      </c>
      <c r="Q13" s="5">
        <f>AVERAGE(M13:P13)</f>
        <v>100.03149782988018</v>
      </c>
    </row>
    <row r="14" spans="1:17" x14ac:dyDescent="0.3">
      <c r="A14">
        <v>1989</v>
      </c>
      <c r="B14">
        <v>1</v>
      </c>
      <c r="C14">
        <v>42</v>
      </c>
      <c r="D14">
        <f t="shared" si="0"/>
        <v>165</v>
      </c>
      <c r="E14">
        <f t="shared" si="1"/>
        <v>326</v>
      </c>
      <c r="F14" s="5">
        <f t="shared" si="2"/>
        <v>40.75</v>
      </c>
      <c r="G14" s="5">
        <f t="shared" si="3"/>
        <v>103.06748466257669</v>
      </c>
      <c r="L14" t="s">
        <v>34</v>
      </c>
      <c r="M14" s="5">
        <f>M13/$Q$13*100</f>
        <v>102.56259899321827</v>
      </c>
      <c r="N14" s="5">
        <f t="shared" ref="N14:P14" si="5">N13/$Q$13*100</f>
        <v>96.589118578152693</v>
      </c>
      <c r="O14" s="5">
        <f t="shared" si="5"/>
        <v>98.158780323829504</v>
      </c>
      <c r="P14" s="5">
        <f t="shared" si="5"/>
        <v>102.6895021047995</v>
      </c>
      <c r="Q14" s="5">
        <f>SUM(M14:P14)</f>
        <v>399.99999999999994</v>
      </c>
    </row>
    <row r="15" spans="1:17" x14ac:dyDescent="0.3">
      <c r="B15">
        <v>2</v>
      </c>
      <c r="C15">
        <v>41</v>
      </c>
      <c r="D15">
        <f t="shared" si="0"/>
        <v>169</v>
      </c>
      <c r="E15">
        <f>SUM(D14:D15)</f>
        <v>334</v>
      </c>
      <c r="F15" s="5">
        <f t="shared" si="2"/>
        <v>41.75</v>
      </c>
      <c r="G15" s="5">
        <f t="shared" si="3"/>
        <v>98.203592814371248</v>
      </c>
    </row>
    <row r="16" spans="1:17" x14ac:dyDescent="0.3">
      <c r="B16">
        <v>3</v>
      </c>
      <c r="C16">
        <v>42</v>
      </c>
      <c r="L16" s="8" t="s">
        <v>95</v>
      </c>
      <c r="M16" s="8">
        <f>Q14/4</f>
        <v>99.999999999999986</v>
      </c>
      <c r="N16" s="37" t="s">
        <v>96</v>
      </c>
    </row>
    <row r="17" spans="1:14" x14ac:dyDescent="0.3">
      <c r="B17">
        <v>4</v>
      </c>
      <c r="C17">
        <v>44</v>
      </c>
      <c r="N17" s="3" t="s">
        <v>97</v>
      </c>
    </row>
    <row r="20" spans="1:14" ht="28.8" x14ac:dyDescent="0.55000000000000004">
      <c r="A20" s="54" t="s">
        <v>110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22E2-A4C4-421C-89EC-170D5B3EA7C4}">
  <dimension ref="A1:L23"/>
  <sheetViews>
    <sheetView workbookViewId="0"/>
  </sheetViews>
  <sheetFormatPr defaultRowHeight="14.4" x14ac:dyDescent="0.3"/>
  <cols>
    <col min="8" max="8" width="11.44140625" bestFit="1" customWidth="1"/>
    <col min="10" max="10" width="8.88671875" customWidth="1"/>
  </cols>
  <sheetData>
    <row r="1" spans="1:12" x14ac:dyDescent="0.3">
      <c r="A1" t="s">
        <v>0</v>
      </c>
      <c r="B1" s="12" t="s">
        <v>28</v>
      </c>
      <c r="C1" s="12" t="s">
        <v>29</v>
      </c>
      <c r="D1" s="12" t="s">
        <v>30</v>
      </c>
      <c r="E1" s="12" t="s">
        <v>31</v>
      </c>
      <c r="H1" t="s">
        <v>0</v>
      </c>
      <c r="I1" s="12" t="s">
        <v>28</v>
      </c>
      <c r="J1" s="12" t="s">
        <v>29</v>
      </c>
      <c r="K1" s="12" t="s">
        <v>30</v>
      </c>
      <c r="L1" s="12" t="s">
        <v>31</v>
      </c>
    </row>
    <row r="2" spans="1:12" x14ac:dyDescent="0.3">
      <c r="A2">
        <v>1985</v>
      </c>
      <c r="B2">
        <v>26</v>
      </c>
      <c r="C2">
        <v>19</v>
      </c>
      <c r="D2">
        <v>15</v>
      </c>
      <c r="E2">
        <v>10</v>
      </c>
      <c r="H2">
        <v>1985</v>
      </c>
      <c r="J2" s="5">
        <f>C2/B2*100</f>
        <v>73.076923076923066</v>
      </c>
      <c r="K2" s="5">
        <f t="shared" ref="K2:L3" si="0">D2/C2*100</f>
        <v>78.94736842105263</v>
      </c>
      <c r="L2" s="5">
        <f t="shared" si="0"/>
        <v>66.666666666666657</v>
      </c>
    </row>
    <row r="3" spans="1:12" x14ac:dyDescent="0.3">
      <c r="A3">
        <v>1986</v>
      </c>
      <c r="B3">
        <v>36</v>
      </c>
      <c r="C3">
        <v>29</v>
      </c>
      <c r="D3">
        <v>23</v>
      </c>
      <c r="E3">
        <v>22</v>
      </c>
      <c r="H3">
        <v>1986</v>
      </c>
      <c r="I3">
        <f>B3/E2*100</f>
        <v>360</v>
      </c>
      <c r="J3" s="5">
        <f>C3/B3*100</f>
        <v>80.555555555555557</v>
      </c>
      <c r="K3" s="5">
        <f t="shared" si="0"/>
        <v>79.310344827586206</v>
      </c>
      <c r="L3" s="5">
        <f t="shared" si="0"/>
        <v>95.652173913043484</v>
      </c>
    </row>
    <row r="4" spans="1:12" x14ac:dyDescent="0.3">
      <c r="A4">
        <v>1987</v>
      </c>
      <c r="B4">
        <v>40</v>
      </c>
      <c r="C4">
        <v>25</v>
      </c>
      <c r="D4">
        <v>20</v>
      </c>
      <c r="E4">
        <v>15</v>
      </c>
      <c r="H4">
        <v>1987</v>
      </c>
      <c r="I4" s="5">
        <f>B4/E3*100</f>
        <v>181.81818181818181</v>
      </c>
      <c r="J4" s="5">
        <f>C4/B4*100</f>
        <v>62.5</v>
      </c>
      <c r="K4" s="5">
        <f t="shared" ref="K4" si="1">D4/C4*100</f>
        <v>80</v>
      </c>
      <c r="L4" s="5">
        <f t="shared" ref="L4" si="2">E4/D4*100</f>
        <v>75</v>
      </c>
    </row>
    <row r="5" spans="1:12" x14ac:dyDescent="0.3">
      <c r="A5">
        <v>1988</v>
      </c>
      <c r="B5">
        <v>46</v>
      </c>
      <c r="C5">
        <v>26</v>
      </c>
      <c r="D5">
        <v>20</v>
      </c>
      <c r="E5">
        <v>18</v>
      </c>
      <c r="H5">
        <v>1988</v>
      </c>
      <c r="I5" s="5">
        <f t="shared" ref="I5:I6" si="3">B5/E4*100</f>
        <v>306.66666666666669</v>
      </c>
      <c r="J5" s="5">
        <f t="shared" ref="J5:J6" si="4">C5/B5*100</f>
        <v>56.521739130434781</v>
      </c>
      <c r="K5" s="5">
        <f t="shared" ref="K5:K6" si="5">D5/C5*100</f>
        <v>76.923076923076934</v>
      </c>
      <c r="L5" s="5">
        <f t="shared" ref="L5:L6" si="6">E5/D5*100</f>
        <v>90</v>
      </c>
    </row>
    <row r="6" spans="1:12" x14ac:dyDescent="0.3">
      <c r="A6">
        <v>1989</v>
      </c>
      <c r="B6">
        <v>42</v>
      </c>
      <c r="C6">
        <v>28</v>
      </c>
      <c r="D6">
        <v>24</v>
      </c>
      <c r="E6">
        <v>21</v>
      </c>
      <c r="H6">
        <v>1989</v>
      </c>
      <c r="I6" s="5">
        <f t="shared" si="3"/>
        <v>233.33333333333334</v>
      </c>
      <c r="J6" s="5">
        <f t="shared" si="4"/>
        <v>66.666666666666657</v>
      </c>
      <c r="K6" s="5">
        <f t="shared" si="5"/>
        <v>85.714285714285708</v>
      </c>
      <c r="L6" s="5">
        <f t="shared" si="6"/>
        <v>87.5</v>
      </c>
    </row>
    <row r="7" spans="1:12" x14ac:dyDescent="0.3">
      <c r="H7" t="s">
        <v>33</v>
      </c>
      <c r="I7" s="5">
        <f>SUM(I2:I6)</f>
        <v>1081.8181818181818</v>
      </c>
      <c r="J7" s="5">
        <f t="shared" ref="J7:L7" si="7">SUM(J2:J6)</f>
        <v>339.32088442958002</v>
      </c>
      <c r="K7" s="5">
        <f t="shared" si="7"/>
        <v>400.89507588600151</v>
      </c>
      <c r="L7" s="5">
        <f t="shared" si="7"/>
        <v>414.81884057971013</v>
      </c>
    </row>
    <row r="8" spans="1:12" x14ac:dyDescent="0.3">
      <c r="H8" t="s">
        <v>99</v>
      </c>
      <c r="I8" s="5">
        <f>AVERAGE(I2:I6)</f>
        <v>270.45454545454544</v>
      </c>
      <c r="J8" s="5">
        <f t="shared" ref="J8:L8" si="8">AVERAGE(J2:J6)</f>
        <v>67.864176885916009</v>
      </c>
      <c r="K8" s="5">
        <f t="shared" si="8"/>
        <v>80.179015177200299</v>
      </c>
      <c r="L8" s="5">
        <f t="shared" si="8"/>
        <v>82.963768115942031</v>
      </c>
    </row>
    <row r="9" spans="1:12" x14ac:dyDescent="0.3">
      <c r="H9" t="s">
        <v>100</v>
      </c>
      <c r="I9">
        <v>100</v>
      </c>
      <c r="J9" s="5">
        <f>I9*J8/100</f>
        <v>67.864176885916009</v>
      </c>
      <c r="K9" s="5">
        <f t="shared" ref="K9:L9" si="9">J9*K8/100</f>
        <v>54.412828685240655</v>
      </c>
      <c r="L9" s="5">
        <f t="shared" si="9"/>
        <v>45.14293301574785</v>
      </c>
    </row>
    <row r="10" spans="1:12" x14ac:dyDescent="0.3">
      <c r="H10" t="s">
        <v>101</v>
      </c>
      <c r="I10">
        <f>100</f>
        <v>100</v>
      </c>
      <c r="J10" s="5">
        <f>J9-$I$14</f>
        <v>62.34139831276832</v>
      </c>
      <c r="K10" s="5">
        <f>K9-2*$I$14</f>
        <v>43.367271538945268</v>
      </c>
      <c r="L10" s="5">
        <f>L9-3*$I$14</f>
        <v>28.57459729630477</v>
      </c>
    </row>
    <row r="11" spans="1:12" x14ac:dyDescent="0.3">
      <c r="H11" t="s">
        <v>34</v>
      </c>
      <c r="I11" s="5">
        <f>I10/$I$17*100</f>
        <v>170.73349064544294</v>
      </c>
      <c r="J11" s="5">
        <f t="shared" ref="J11:L11" si="10">J10/$I$17*100</f>
        <v>106.43764545656862</v>
      </c>
      <c r="K11" s="5">
        <f t="shared" si="10"/>
        <v>74.042456496128963</v>
      </c>
      <c r="L11" s="5">
        <f t="shared" si="10"/>
        <v>48.786407401859492</v>
      </c>
    </row>
    <row r="13" spans="1:12" x14ac:dyDescent="0.3">
      <c r="H13" t="s">
        <v>102</v>
      </c>
      <c r="I13" s="5">
        <f>I8*L9/100</f>
        <v>122.09111429259077</v>
      </c>
    </row>
    <row r="14" spans="1:12" x14ac:dyDescent="0.3">
      <c r="H14" t="s">
        <v>103</v>
      </c>
      <c r="I14" s="1">
        <f>(I13-I9)/4</f>
        <v>5.5227785731476935</v>
      </c>
      <c r="J14" t="s">
        <v>104</v>
      </c>
    </row>
    <row r="15" spans="1:12" x14ac:dyDescent="0.3">
      <c r="I15" s="1">
        <f>(I13-I9)/12</f>
        <v>1.8409261910492312</v>
      </c>
      <c r="J15" t="s">
        <v>105</v>
      </c>
    </row>
    <row r="17" spans="1:9" x14ac:dyDescent="0.3">
      <c r="H17" s="70" t="s">
        <v>106</v>
      </c>
      <c r="I17" s="5">
        <f>SUM(I10:L10)/4</f>
        <v>58.570816787004588</v>
      </c>
    </row>
    <row r="18" spans="1:9" x14ac:dyDescent="0.3">
      <c r="H18" s="70"/>
    </row>
    <row r="19" spans="1:9" ht="15" thickBot="1" x14ac:dyDescent="0.35"/>
    <row r="20" spans="1:9" ht="16.2" thickBot="1" x14ac:dyDescent="0.35">
      <c r="A20" s="71" t="s">
        <v>107</v>
      </c>
      <c r="B20" s="72"/>
      <c r="C20" s="72"/>
      <c r="D20" s="72"/>
      <c r="E20" s="59"/>
    </row>
    <row r="21" spans="1:9" ht="15.6" x14ac:dyDescent="0.3">
      <c r="A21" s="49" t="s">
        <v>108</v>
      </c>
      <c r="B21" s="47"/>
      <c r="C21" s="47"/>
      <c r="D21" s="47"/>
      <c r="E21" s="50"/>
    </row>
    <row r="22" spans="1:9" ht="15.6" x14ac:dyDescent="0.3">
      <c r="A22" s="49" t="s">
        <v>111</v>
      </c>
      <c r="B22" s="47"/>
      <c r="C22" s="47"/>
      <c r="D22" s="47"/>
      <c r="E22" s="50"/>
    </row>
    <row r="23" spans="1:9" ht="16.2" thickBot="1" x14ac:dyDescent="0.35">
      <c r="A23" s="51" t="s">
        <v>109</v>
      </c>
      <c r="B23" s="52"/>
      <c r="C23" s="52"/>
      <c r="D23" s="52"/>
      <c r="E23" s="53"/>
    </row>
  </sheetData>
  <mergeCells count="2">
    <mergeCell ref="H17:H18"/>
    <mergeCell ref="A20:E20"/>
  </mergeCells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SEM-EMA</vt:lpstr>
      <vt:lpstr>EMA perf Validtn</vt:lpstr>
      <vt:lpstr>SMA</vt:lpstr>
      <vt:lpstr>SA-Seas</vt:lpstr>
      <vt:lpstr>WMA</vt:lpstr>
      <vt:lpstr>Ratio2Trend</vt:lpstr>
      <vt:lpstr>Ratio2MA</vt:lpstr>
      <vt:lpstr>L-R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WyzMan</dc:creator>
  <cp:lastModifiedBy>91882</cp:lastModifiedBy>
  <dcterms:created xsi:type="dcterms:W3CDTF">2022-10-13T13:51:23Z</dcterms:created>
  <dcterms:modified xsi:type="dcterms:W3CDTF">2023-05-05T10:09:10Z</dcterms:modified>
</cp:coreProperties>
</file>