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zizhengcheng/Downloads/"/>
    </mc:Choice>
  </mc:AlternateContent>
  <xr:revisionPtr revIDLastSave="0" documentId="13_ncr:1_{4F349F26-B313-7A4D-865A-63A17F6AE72E}" xr6:coauthVersionLast="47" xr6:coauthVersionMax="47" xr10:uidLastSave="{00000000-0000-0000-0000-000000000000}"/>
  <workbookProtection lockStructure="1"/>
  <bookViews>
    <workbookView xWindow="36920" yWindow="6380" windowWidth="30240" windowHeight="18880" xr2:uid="{00000000-000D-0000-FFFF-FFFF00000000}"/>
  </bookViews>
  <sheets>
    <sheet name="Box packing information" sheetId="1" r:id="rId1"/>
    <sheet name="Instructions" sheetId="2" r:id="rId2"/>
    <sheet name="Meta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N17" i="1" l="1"/>
  <c r="FM17" i="1"/>
  <c r="FL17" i="1"/>
  <c r="FK17" i="1"/>
  <c r="FJ17" i="1"/>
  <c r="FI17" i="1"/>
  <c r="FH17" i="1"/>
  <c r="FG17" i="1"/>
  <c r="FF17" i="1"/>
  <c r="FE17" i="1"/>
  <c r="FD17" i="1"/>
  <c r="FC17" i="1"/>
  <c r="FB17" i="1"/>
  <c r="FA17" i="1"/>
  <c r="EZ17" i="1"/>
  <c r="EY17" i="1"/>
  <c r="EX17" i="1"/>
  <c r="EW17" i="1"/>
  <c r="EV17" i="1"/>
  <c r="EU17" i="1"/>
  <c r="ET17" i="1"/>
  <c r="ES17" i="1"/>
  <c r="ER17"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K15" i="1"/>
  <c r="K14" i="1"/>
  <c r="K13" i="1"/>
  <c r="K12" i="1"/>
  <c r="K11" i="1"/>
  <c r="K10" i="1"/>
  <c r="K9" i="1"/>
  <c r="K8" i="1"/>
  <c r="K7" i="1"/>
  <c r="K6" i="1"/>
  <c r="FN5" i="1"/>
  <c r="FM5" i="1"/>
  <c r="FL5" i="1"/>
  <c r="FK5" i="1"/>
  <c r="FJ5" i="1"/>
  <c r="FI5" i="1"/>
  <c r="FH5" i="1"/>
  <c r="FG5" i="1"/>
  <c r="FF5" i="1"/>
  <c r="FE5" i="1"/>
  <c r="FD5" i="1"/>
  <c r="FC5" i="1"/>
  <c r="FB5" i="1"/>
  <c r="FA5" i="1"/>
  <c r="EZ5" i="1"/>
  <c r="EY5" i="1"/>
  <c r="EX5" i="1"/>
  <c r="EW5" i="1"/>
  <c r="EV5" i="1"/>
  <c r="EU5" i="1"/>
  <c r="ET5" i="1"/>
  <c r="ES5" i="1"/>
  <c r="ER5" i="1"/>
  <c r="EQ5" i="1"/>
  <c r="EP5" i="1"/>
  <c r="EO5" i="1"/>
  <c r="EN5" i="1"/>
  <c r="EM5" i="1"/>
  <c r="EL5" i="1"/>
  <c r="EK5" i="1"/>
  <c r="EJ5" i="1"/>
  <c r="EI5" i="1"/>
  <c r="EH5" i="1"/>
  <c r="EG5"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alcChain>
</file>

<file path=xl/sharedStrings.xml><?xml version="1.0" encoding="utf-8"?>
<sst xmlns="http://schemas.openxmlformats.org/spreadsheetml/2006/main" count="141" uniqueCount="80">
  <si>
    <t>Provide the box details for this pack group below. See the instructions sheet if you have questions.</t>
  </si>
  <si>
    <t>Pack group: 1</t>
  </si>
  <si>
    <t>Total SKUs: 10 (148 units)</t>
  </si>
  <si>
    <t>Total box count:</t>
  </si>
  <si>
    <t/>
  </si>
  <si>
    <t>SKU</t>
  </si>
  <si>
    <t xml:space="preserve">Product title </t>
  </si>
  <si>
    <t>Id</t>
  </si>
  <si>
    <t>ASIN</t>
  </si>
  <si>
    <t>FNSKU</t>
  </si>
  <si>
    <t>Condition</t>
  </si>
  <si>
    <t>Prep type</t>
  </si>
  <si>
    <t>Who preps units?</t>
  </si>
  <si>
    <t>Who labels units?</t>
  </si>
  <si>
    <t>Expected quantity</t>
  </si>
  <si>
    <t>Boxed quantity</t>
  </si>
  <si>
    <t>101BRWP 10LB Pair</t>
  </si>
  <si>
    <t>DX Grandway Fitness Black Rubber Barbell Weight Plate (10LB PAIR)</t>
  </si>
  <si>
    <t>pkc0765507-45e9-4931-8a02-10b6adbd42da</t>
  </si>
  <si>
    <t>B09KZH36RM</t>
  </si>
  <si>
    <t>NewItem</t>
  </si>
  <si>
    <t>NONE</t>
  </si>
  <si>
    <t>101BRWP 25LB Single</t>
  </si>
  <si>
    <t>DX Grandway Fitness Black Rubber Barbell Weight Plate (25LB SINGLE)</t>
  </si>
  <si>
    <t>pka200dee3-e0dd-4446-a136-6a839a740632</t>
  </si>
  <si>
    <t>B09PD4V614</t>
  </si>
  <si>
    <t>101BRWP 35LB Single</t>
  </si>
  <si>
    <t>DX Grandway Fitness Black Rubber Barbell Weight Plate (35LB SINGLE)</t>
  </si>
  <si>
    <t>pk0d9ef9bd-a045-4deb-95ee-ab8f622185e1</t>
  </si>
  <si>
    <t>B09PD5CMJZ</t>
  </si>
  <si>
    <t>101BRWP 45LB Single</t>
  </si>
  <si>
    <t>DX Grandway Fitness Black Rubber Barbell Weight Plate (45LB SINGLE)</t>
  </si>
  <si>
    <t>pk7c26c7b5-f1ca-49a0-b516-f815be6c4c99</t>
  </si>
  <si>
    <t>B09PDHXR38</t>
  </si>
  <si>
    <t>BRWP 15LB Pair</t>
  </si>
  <si>
    <t>DX Grandway Fitness Black Rubber Weight Plate (15LB pair)</t>
  </si>
  <si>
    <t>pk85f37df9-de1a-4800-885d-653d4ced2a12</t>
  </si>
  <si>
    <t>B0BNTJH2VQ</t>
  </si>
  <si>
    <t>CRWP 10LB Pair</t>
  </si>
  <si>
    <t>DX Grandway Fitness Color Rubber Weight Plate (10LB pair)</t>
  </si>
  <si>
    <t>pkd71b8bde-5078-491f-bc60-298228008b5a</t>
  </si>
  <si>
    <t>B0BN1DVYYC</t>
  </si>
  <si>
    <t>CRWP 15LB Pair</t>
  </si>
  <si>
    <t>DX Grandway Fitness Color Rubber Weight Plate (15LB pair)</t>
  </si>
  <si>
    <t>pk7d2e27ed-c476-4fe6-b24f-a5b5c6b659ee</t>
  </si>
  <si>
    <t>B0BNTBGMPM</t>
  </si>
  <si>
    <t>CRWP 25LB Single</t>
  </si>
  <si>
    <t>DX Grandway Fitness Color Rubber Weight Plate (25LB single)</t>
  </si>
  <si>
    <t>pka52419f0-c2e0-4750-b3d1-3551a26e0eea</t>
  </si>
  <si>
    <t>B0BN1PJJ9R</t>
  </si>
  <si>
    <t>CRWP 35LB Single</t>
  </si>
  <si>
    <t>DX Grandway Fitness Color Rubber Weight Plate (35LB single)</t>
  </si>
  <si>
    <t>pk94b82a60-579a-4199-830d-a18550b06983</t>
  </si>
  <si>
    <t>B0BN1DHKKD</t>
  </si>
  <si>
    <t>CRWP 45LB Single</t>
  </si>
  <si>
    <t>DX Grandway Fitness Color Rubber Weight Plate (45LB single)</t>
  </si>
  <si>
    <t>pk539523c1-0ab8-4996-b5d8-21af0fa4ad2b</t>
  </si>
  <si>
    <t>B0BN1FXD9R</t>
  </si>
  <si>
    <t>Name of box</t>
  </si>
  <si>
    <t>Box weight (lb):</t>
  </si>
  <si>
    <t>Box width (inch):</t>
  </si>
  <si>
    <t>Box length (inch):</t>
  </si>
  <si>
    <t>Box height (inch):</t>
  </si>
  <si>
    <t>How to upload box content information using an Excel file</t>
  </si>
  <si>
    <t>Step 1 – Review total box count</t>
  </si>
  <si>
    <t xml:space="preserve">The Total box count field in the Excel file is automatically populated with the number you entered in Send to Amazon for the respective pack group. This number is only an estimate, and you can modify it by up to 10 boxes at any time before you upload this file. 
Each box in the shipment is identified with a number (box 1, box 2, etc.) and appears in a column in the workflow. If you update the total box count, the number of columns will update automatically. </t>
  </si>
  <si>
    <t>Step 2 – Provide box content information</t>
  </si>
  <si>
    <t>Each SKU in the pack group will appear in a row in the workflow. For each box, enter the number of units of each SKU that will be packed in that box. The "Boxed quantity" field shows the current number of units that you have entered. It will remain red until the units that you have entered match the expected unit quantity of this shipment.</t>
  </si>
  <si>
    <t>Step 3 – Provide box weights and dimensions</t>
  </si>
  <si>
    <t>For each box in the pack group, enter the weight and dimensions</t>
  </si>
  <si>
    <t>Step 4 – Save and upload</t>
  </si>
  <si>
    <t>Once you have filled out the Excel spreadsheet, you can upload it to Seller Central as an .xlsx file</t>
  </si>
  <si>
    <t>Locale</t>
  </si>
  <si>
    <t>en_US</t>
  </si>
  <si>
    <t>Weight unit</t>
  </si>
  <si>
    <t>lb</t>
  </si>
  <si>
    <t>Length unit</t>
  </si>
  <si>
    <t>in</t>
  </si>
  <si>
    <t>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</si>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</sst>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0">
    <font>
      <sz val="11"/>
      <color indexed="8"/>
      <name val="Calibri"/>
      <family val="2"/>
      <scheme val="minor"/>
    </font>
    <font>
      <sz val="14"/>
      <color indexed="53"/>
      <name val="Calibri"/>
    </font>
    <font>
      <sz val="24"/>
      <name val="Calibri"/>
    </font>
    <font>
      <sz val="18"/>
      <name val="Calibri"/>
    </font>
    <font>
      <sz val="18"/>
      <name val="Calibri"/>
    </font>
    <font>
      <b/>
      <sz val="18"/>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20"/>
      <name val="Calibri"/>
    </font>
    <font>
      <b/>
      <sz val="14"/>
      <name val="Calibri"/>
    </font>
    <font>
      <sz val="13"/>
      <name val="Calibri"/>
    </font>
    <font>
      <b/>
      <sz val="14"/>
      <name val="Calibri"/>
    </font>
    <font>
      <sz val="13"/>
      <name val="Calibri"/>
    </font>
    <font>
      <b/>
      <sz val="14"/>
      <name val="Calibri"/>
    </font>
    <font>
      <sz val="13"/>
      <name val="Calibri"/>
    </font>
    <font>
      <b/>
      <sz val="14"/>
      <name val="Calibri"/>
    </font>
    <font>
      <sz val="13"/>
      <name val="Calibri"/>
    </font>
    <font>
      <sz val="11"/>
      <color rgb="FF000000"/>
      <name val="Calibri"/>
      <family val="2"/>
      <scheme val="minor"/>
    </font>
  </fonts>
  <fills count="5">
    <fill>
      <patternFill patternType="none"/>
    </fill>
    <fill>
      <patternFill patternType="gray125"/>
    </fill>
    <fill>
      <patternFill patternType="solid">
        <fgColor indexed="13"/>
      </patternFill>
    </fill>
    <fill>
      <patternFill patternType="solid">
        <fgColor indexed="23"/>
      </patternFill>
    </fill>
    <fill>
      <patternFill patternType="solid">
        <fgColor indexed="22"/>
      </patternFill>
    </fill>
  </fills>
  <borders count="4">
    <border>
      <left/>
      <right/>
      <top/>
      <bottom/>
      <diagonal/>
    </border>
    <border>
      <left style="double">
        <color indexed="63"/>
      </left>
      <right style="double">
        <color indexed="63"/>
      </right>
      <top style="thin">
        <color indexed="63"/>
      </top>
      <bottom style="thin">
        <color indexed="63"/>
      </bottom>
      <diagonal/>
    </border>
    <border>
      <left style="double">
        <color indexed="63"/>
      </left>
      <right style="double">
        <color indexed="63"/>
      </right>
      <top style="double">
        <color indexed="63"/>
      </top>
      <bottom style="thin">
        <color indexed="63"/>
      </bottom>
      <diagonal/>
    </border>
    <border>
      <left style="double">
        <color indexed="63"/>
      </left>
      <right style="double">
        <color indexed="63"/>
      </right>
      <top style="thin">
        <color indexed="63"/>
      </top>
      <bottom style="double">
        <color indexed="63"/>
      </bottom>
      <diagonal/>
    </border>
  </borders>
  <cellStyleXfs count="1">
    <xf numFmtId="0" fontId="0" fillId="0" borderId="0"/>
  </cellStyleXfs>
  <cellXfs count="185">
    <xf numFmtId="0" fontId="0" fillId="0" borderId="0" xfId="0"/>
    <xf numFmtId="0" fontId="5" fillId="2" borderId="0" xfId="0" applyFont="1" applyFill="1" applyAlignment="1" applyProtection="1">
      <alignment horizontal="center"/>
      <protection locked="0"/>
    </xf>
    <xf numFmtId="0" fontId="0" fillId="3" borderId="0" xfId="0" applyFill="1"/>
    <xf numFmtId="0" fontId="6" fillId="4" borderId="0" xfId="0" applyFont="1" applyFill="1"/>
    <xf numFmtId="0" fontId="0" fillId="0" borderId="0" xfId="0" applyProtection="1">
      <protection locked="0"/>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0" borderId="0" xfId="0" applyFont="1"/>
    <xf numFmtId="0" fontId="128" fillId="0" borderId="0" xfId="0" applyFont="1"/>
    <xf numFmtId="0" fontId="129" fillId="0" borderId="0" xfId="0" applyFont="1"/>
    <xf numFmtId="0" fontId="130" fillId="0" borderId="0" xfId="0" applyFont="1"/>
    <xf numFmtId="0" fontId="131" fillId="0" borderId="0" xfId="0" applyFont="1"/>
    <xf numFmtId="0" fontId="132" fillId="0" borderId="0" xfId="0" applyFont="1"/>
    <xf numFmtId="0" fontId="133" fillId="0" borderId="0" xfId="0" applyFont="1"/>
    <xf numFmtId="0" fontId="134" fillId="0" borderId="0" xfId="0" applyFont="1"/>
    <xf numFmtId="0" fontId="135" fillId="0" borderId="0" xfId="0" applyFont="1"/>
    <xf numFmtId="0" fontId="136" fillId="0" borderId="0" xfId="0" applyFont="1"/>
    <xf numFmtId="0" fontId="137" fillId="0" borderId="0" xfId="0" applyFont="1"/>
    <xf numFmtId="0" fontId="138" fillId="0" borderId="0" xfId="0" applyFont="1"/>
    <xf numFmtId="0" fontId="139" fillId="0" borderId="0" xfId="0" applyFont="1"/>
    <xf numFmtId="0" fontId="140" fillId="0" borderId="0" xfId="0" applyFont="1"/>
    <xf numFmtId="0" fontId="141" fillId="0" borderId="0" xfId="0" applyFont="1"/>
    <xf numFmtId="0" fontId="142" fillId="0" borderId="0" xfId="0" applyFo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148" fillId="0" borderId="0" xfId="0" applyFont="1"/>
    <xf numFmtId="0" fontId="149" fillId="0" borderId="0" xfId="0" applyFont="1"/>
    <xf numFmtId="0" fontId="150" fillId="0" borderId="0" xfId="0" applyFont="1"/>
    <xf numFmtId="0" fontId="151" fillId="0" borderId="0" xfId="0" applyFont="1"/>
    <xf numFmtId="0" fontId="152" fillId="0" borderId="0" xfId="0" applyFont="1"/>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0" borderId="0" xfId="0" applyFont="1"/>
    <xf numFmtId="0" fontId="159" fillId="0" borderId="0" xfId="0" applyFont="1"/>
    <xf numFmtId="0" fontId="160" fillId="0" borderId="0" xfId="0" applyFont="1"/>
    <xf numFmtId="0" fontId="161" fillId="0" borderId="0" xfId="0" applyFont="1"/>
    <xf numFmtId="0" fontId="162" fillId="0" borderId="0" xfId="0" applyFont="1"/>
    <xf numFmtId="0" fontId="163" fillId="0" borderId="0" xfId="0" applyFont="1"/>
    <xf numFmtId="0" fontId="164" fillId="0" borderId="0" xfId="0" applyFont="1"/>
    <xf numFmtId="0" fontId="165" fillId="0" borderId="0" xfId="0" applyFont="1"/>
    <xf numFmtId="0" fontId="170" fillId="0" borderId="0" xfId="0" applyFont="1" applyAlignment="1">
      <alignment wrapText="1"/>
    </xf>
    <xf numFmtId="0" fontId="171" fillId="4" borderId="1" xfId="0" applyFont="1" applyFill="1" applyBorder="1" applyAlignment="1">
      <alignment wrapText="1"/>
    </xf>
    <xf numFmtId="0" fontId="172" fillId="0" borderId="1" xfId="0" applyFont="1" applyBorder="1" applyAlignment="1">
      <alignment wrapText="1"/>
    </xf>
    <xf numFmtId="0" fontId="173" fillId="4" borderId="1" xfId="0" applyFont="1" applyFill="1" applyBorder="1" applyAlignment="1">
      <alignment wrapText="1"/>
    </xf>
    <xf numFmtId="0" fontId="174" fillId="0" borderId="1" xfId="0" applyFont="1" applyBorder="1" applyAlignment="1">
      <alignment wrapText="1"/>
    </xf>
    <xf numFmtId="0" fontId="175" fillId="4" borderId="1" xfId="0" applyFont="1" applyFill="1" applyBorder="1" applyAlignment="1">
      <alignment wrapText="1"/>
    </xf>
    <xf numFmtId="0" fontId="176" fillId="0" borderId="1" xfId="0" applyFont="1" applyBorder="1" applyAlignment="1">
      <alignment wrapText="1"/>
    </xf>
    <xf numFmtId="0" fontId="177" fillId="4" borderId="2" xfId="0" applyFont="1" applyFill="1" applyBorder="1" applyAlignment="1">
      <alignment wrapText="1"/>
    </xf>
    <xf numFmtId="0" fontId="178" fillId="0" borderId="3" xfId="0" applyFont="1" applyBorder="1" applyAlignment="1">
      <alignment wrapText="1"/>
    </xf>
    <xf numFmtId="0" fontId="1" fillId="0" borderId="0" xfId="0" applyFont="1"/>
    <xf numFmtId="0" fontId="0" fillId="0" borderId="0" xfId="0"/>
    <xf numFmtId="0" fontId="2" fillId="0" borderId="0" xfId="0" applyFont="1"/>
    <xf numFmtId="0" fontId="3" fillId="0" borderId="0" xfId="0" applyFont="1"/>
    <xf numFmtId="0" fontId="4" fillId="0" borderId="0" xfId="0" applyFont="1" applyAlignment="1">
      <alignment horizontal="right"/>
    </xf>
    <xf numFmtId="0" fontId="0" fillId="3" borderId="0" xfId="0" applyFill="1"/>
    <xf numFmtId="0" fontId="0" fillId="0" borderId="0" xfId="0" applyProtection="1">
      <protection locked="0"/>
    </xf>
    <xf numFmtId="0" fontId="7" fillId="0" borderId="0" xfId="0" applyFont="1" applyAlignment="1">
      <alignment horizontal="right"/>
    </xf>
    <xf numFmtId="0" fontId="166" fillId="0" borderId="0" xfId="0" applyFont="1" applyAlignment="1">
      <alignment horizontal="right"/>
    </xf>
    <xf numFmtId="0" fontId="167" fillId="0" borderId="0" xfId="0" applyFont="1" applyAlignment="1">
      <alignment horizontal="right"/>
    </xf>
    <xf numFmtId="0" fontId="168" fillId="0" borderId="0" xfId="0" applyFont="1" applyAlignment="1">
      <alignment horizontal="right"/>
    </xf>
    <xf numFmtId="0" fontId="169" fillId="0" borderId="0" xfId="0" applyFont="1" applyAlignment="1">
      <alignment horizontal="right"/>
    </xf>
    <xf numFmtId="0" fontId="179" fillId="0" borderId="0" xfId="0" applyFont="1" applyProtection="1">
      <protection locked="0"/>
    </xf>
  </cellXfs>
  <cellStyles count="1">
    <cellStyle name="Normal" xfId="0" builtinId="0"/>
  </cellStyles>
  <dxfs count="10">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
      <font>
        <color indexed="16"/>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22"/>
  <sheetViews>
    <sheetView tabSelected="1" workbookViewId="0">
      <pane xSplit="2" ySplit="5" topLeftCell="C6" activePane="bottomRight" state="frozen"/>
      <selection pane="topRight"/>
      <selection pane="bottomLeft"/>
      <selection pane="bottomRight" activeCell="M18" sqref="M18:FD21"/>
    </sheetView>
  </sheetViews>
  <sheetFormatPr baseColWidth="10" defaultColWidth="8.83203125" defaultRowHeight="15"/>
  <cols>
    <col min="1" max="1" width="21" customWidth="1"/>
    <col min="2" max="2" width="61" customWidth="1"/>
    <col min="3" max="3" width="20" hidden="1" customWidth="1"/>
    <col min="4" max="5" width="21" customWidth="1"/>
    <col min="6" max="11" width="15" customWidth="1"/>
    <col min="12" max="12" width="1" customWidth="1"/>
    <col min="13" max="170" width="13" style="4" customWidth="1"/>
  </cols>
  <sheetData>
    <row r="1" spans="1:170" ht="19">
      <c r="A1" s="172" t="s">
        <v>0</v>
      </c>
      <c r="B1" s="173"/>
      <c r="C1" s="173"/>
      <c r="D1" s="173"/>
      <c r="E1" s="173"/>
      <c r="F1" s="173"/>
      <c r="G1" s="173"/>
      <c r="H1" s="173"/>
      <c r="I1" s="173"/>
      <c r="J1" s="173"/>
      <c r="K1" s="173"/>
      <c r="L1" s="173"/>
    </row>
    <row r="2" spans="1:170" ht="31">
      <c r="A2" s="174" t="s">
        <v>1</v>
      </c>
      <c r="B2" s="173"/>
      <c r="C2" s="173"/>
    </row>
    <row r="3" spans="1:170" ht="24">
      <c r="A3" s="175" t="s">
        <v>2</v>
      </c>
      <c r="B3" s="173"/>
      <c r="C3" s="173"/>
      <c r="I3" s="176" t="s">
        <v>3</v>
      </c>
      <c r="J3" s="173"/>
      <c r="K3" s="173"/>
      <c r="L3" s="173"/>
      <c r="M3" s="1">
        <v>148</v>
      </c>
    </row>
    <row r="4" spans="1:170" ht="8" customHeight="1">
      <c r="A4" s="177" t="s">
        <v>4</v>
      </c>
      <c r="B4" s="173"/>
      <c r="C4" s="173"/>
      <c r="D4" s="173"/>
      <c r="E4" s="173"/>
      <c r="F4" s="173"/>
      <c r="G4" s="173"/>
      <c r="H4" s="173"/>
      <c r="I4" s="173"/>
      <c r="J4" s="173"/>
      <c r="K4" s="173"/>
      <c r="L4" s="173"/>
    </row>
    <row r="5" spans="1:170" ht="16">
      <c r="A5" s="3" t="s">
        <v>5</v>
      </c>
      <c r="B5" s="3" t="s">
        <v>6</v>
      </c>
      <c r="C5" s="3" t="s">
        <v>7</v>
      </c>
      <c r="D5" s="3" t="s">
        <v>8</v>
      </c>
      <c r="E5" s="3" t="s">
        <v>9</v>
      </c>
      <c r="F5" s="3" t="s">
        <v>10</v>
      </c>
      <c r="G5" s="3" t="s">
        <v>11</v>
      </c>
      <c r="H5" s="3" t="s">
        <v>12</v>
      </c>
      <c r="I5" s="3" t="s">
        <v>13</v>
      </c>
      <c r="J5" s="3" t="s">
        <v>14</v>
      </c>
      <c r="K5" s="3" t="s">
        <v>15</v>
      </c>
      <c r="L5" s="2" t="s">
        <v>4</v>
      </c>
      <c r="M5" s="3" t="str">
        <f>IF(M3&gt;=1,"Box 1 quantity","")</f>
        <v>Box 1 quantity</v>
      </c>
      <c r="N5" s="3" t="str">
        <f>IF(M3&gt;=2,"Box 2 quantity","")</f>
        <v>Box 2 quantity</v>
      </c>
      <c r="O5" s="3" t="str">
        <f>IF(M3&gt;=3,"Box 3 quantity","")</f>
        <v>Box 3 quantity</v>
      </c>
      <c r="P5" s="3" t="str">
        <f>IF(M3&gt;=4,"Box 4 quantity","")</f>
        <v>Box 4 quantity</v>
      </c>
      <c r="Q5" s="3" t="str">
        <f>IF(M3&gt;=5,"Box 5 quantity","")</f>
        <v>Box 5 quantity</v>
      </c>
      <c r="R5" s="3" t="str">
        <f>IF(M3&gt;=6,"Box 6 quantity","")</f>
        <v>Box 6 quantity</v>
      </c>
      <c r="S5" s="3" t="str">
        <f>IF(M3&gt;=7,"Box 7 quantity","")</f>
        <v>Box 7 quantity</v>
      </c>
      <c r="T5" s="3" t="str">
        <f>IF(M3&gt;=8,"Box 8 quantity","")</f>
        <v>Box 8 quantity</v>
      </c>
      <c r="U5" s="3" t="str">
        <f>IF(M3&gt;=9,"Box 9 quantity","")</f>
        <v>Box 9 quantity</v>
      </c>
      <c r="V5" s="3" t="str">
        <f>IF(M3&gt;=10,"Box 10 quantity","")</f>
        <v>Box 10 quantity</v>
      </c>
      <c r="W5" s="3" t="str">
        <f>IF(M3&gt;=11,"Box 11 quantity","")</f>
        <v>Box 11 quantity</v>
      </c>
      <c r="X5" s="3" t="str">
        <f>IF(M3&gt;=12,"Box 12 quantity","")</f>
        <v>Box 12 quantity</v>
      </c>
      <c r="Y5" s="3" t="str">
        <f>IF(M3&gt;=13,"Box 13 quantity","")</f>
        <v>Box 13 quantity</v>
      </c>
      <c r="Z5" s="3" t="str">
        <f>IF(M3&gt;=14,"Box 14 quantity","")</f>
        <v>Box 14 quantity</v>
      </c>
      <c r="AA5" s="3" t="str">
        <f>IF(M3&gt;=15,"Box 15 quantity","")</f>
        <v>Box 15 quantity</v>
      </c>
      <c r="AB5" s="3" t="str">
        <f>IF(M3&gt;=16,"Box 16 quantity","")</f>
        <v>Box 16 quantity</v>
      </c>
      <c r="AC5" s="3" t="str">
        <f>IF(M3&gt;=17,"Box 17 quantity","")</f>
        <v>Box 17 quantity</v>
      </c>
      <c r="AD5" s="3" t="str">
        <f>IF(M3&gt;=18,"Box 18 quantity","")</f>
        <v>Box 18 quantity</v>
      </c>
      <c r="AE5" s="3" t="str">
        <f>IF(M3&gt;=19,"Box 19 quantity","")</f>
        <v>Box 19 quantity</v>
      </c>
      <c r="AF5" s="3" t="str">
        <f>IF(M3&gt;=20,"Box 20 quantity","")</f>
        <v>Box 20 quantity</v>
      </c>
      <c r="AG5" s="3" t="str">
        <f>IF(M3&gt;=21,"Box 21 quantity","")</f>
        <v>Box 21 quantity</v>
      </c>
      <c r="AH5" s="3" t="str">
        <f>IF(M3&gt;=22,"Box 22 quantity","")</f>
        <v>Box 22 quantity</v>
      </c>
      <c r="AI5" s="3" t="str">
        <f>IF(M3&gt;=23,"Box 23 quantity","")</f>
        <v>Box 23 quantity</v>
      </c>
      <c r="AJ5" s="3" t="str">
        <f>IF(M3&gt;=24,"Box 24 quantity","")</f>
        <v>Box 24 quantity</v>
      </c>
      <c r="AK5" s="3" t="str">
        <f>IF(M3&gt;=25,"Box 25 quantity","")</f>
        <v>Box 25 quantity</v>
      </c>
      <c r="AL5" s="3" t="str">
        <f>IF(M3&gt;=26,"Box 26 quantity","")</f>
        <v>Box 26 quantity</v>
      </c>
      <c r="AM5" s="3" t="str">
        <f>IF(M3&gt;=27,"Box 27 quantity","")</f>
        <v>Box 27 quantity</v>
      </c>
      <c r="AN5" s="3" t="str">
        <f>IF(M3&gt;=28,"Box 28 quantity","")</f>
        <v>Box 28 quantity</v>
      </c>
      <c r="AO5" s="3" t="str">
        <f>IF(M3&gt;=29,"Box 29 quantity","")</f>
        <v>Box 29 quantity</v>
      </c>
      <c r="AP5" s="3" t="str">
        <f>IF(M3&gt;=30,"Box 30 quantity","")</f>
        <v>Box 30 quantity</v>
      </c>
      <c r="AQ5" s="3" t="str">
        <f>IF(M3&gt;=31,"Box 31 quantity","")</f>
        <v>Box 31 quantity</v>
      </c>
      <c r="AR5" s="3" t="str">
        <f>IF(M3&gt;=32,"Box 32 quantity","")</f>
        <v>Box 32 quantity</v>
      </c>
      <c r="AS5" s="3" t="str">
        <f>IF(M3&gt;=33,"Box 33 quantity","")</f>
        <v>Box 33 quantity</v>
      </c>
      <c r="AT5" s="3" t="str">
        <f>IF(M3&gt;=34,"Box 34 quantity","")</f>
        <v>Box 34 quantity</v>
      </c>
      <c r="AU5" s="3" t="str">
        <f>IF(M3&gt;=35,"Box 35 quantity","")</f>
        <v>Box 35 quantity</v>
      </c>
      <c r="AV5" s="3" t="str">
        <f>IF(M3&gt;=36,"Box 36 quantity","")</f>
        <v>Box 36 quantity</v>
      </c>
      <c r="AW5" s="3" t="str">
        <f>IF(M3&gt;=37,"Box 37 quantity","")</f>
        <v>Box 37 quantity</v>
      </c>
      <c r="AX5" s="3" t="str">
        <f>IF(M3&gt;=38,"Box 38 quantity","")</f>
        <v>Box 38 quantity</v>
      </c>
      <c r="AY5" s="3" t="str">
        <f>IF(M3&gt;=39,"Box 39 quantity","")</f>
        <v>Box 39 quantity</v>
      </c>
      <c r="AZ5" s="3" t="str">
        <f>IF(M3&gt;=40,"Box 40 quantity","")</f>
        <v>Box 40 quantity</v>
      </c>
      <c r="BA5" s="3" t="str">
        <f>IF(M3&gt;=41,"Box 41 quantity","")</f>
        <v>Box 41 quantity</v>
      </c>
      <c r="BB5" s="3" t="str">
        <f>IF(M3&gt;=42,"Box 42 quantity","")</f>
        <v>Box 42 quantity</v>
      </c>
      <c r="BC5" s="3" t="str">
        <f>IF(M3&gt;=43,"Box 43 quantity","")</f>
        <v>Box 43 quantity</v>
      </c>
      <c r="BD5" s="3" t="str">
        <f>IF(M3&gt;=44,"Box 44 quantity","")</f>
        <v>Box 44 quantity</v>
      </c>
      <c r="BE5" s="3" t="str">
        <f>IF(M3&gt;=45,"Box 45 quantity","")</f>
        <v>Box 45 quantity</v>
      </c>
      <c r="BF5" s="3" t="str">
        <f>IF(M3&gt;=46,"Box 46 quantity","")</f>
        <v>Box 46 quantity</v>
      </c>
      <c r="BG5" s="3" t="str">
        <f>IF(M3&gt;=47,"Box 47 quantity","")</f>
        <v>Box 47 quantity</v>
      </c>
      <c r="BH5" s="3" t="str">
        <f>IF(M3&gt;=48,"Box 48 quantity","")</f>
        <v>Box 48 quantity</v>
      </c>
      <c r="BI5" s="3" t="str">
        <f>IF(M3&gt;=49,"Box 49 quantity","")</f>
        <v>Box 49 quantity</v>
      </c>
      <c r="BJ5" s="3" t="str">
        <f>IF(M3&gt;=50,"Box 50 quantity","")</f>
        <v>Box 50 quantity</v>
      </c>
      <c r="BK5" s="3" t="str">
        <f>IF(M3&gt;=51,"Box 51 quantity","")</f>
        <v>Box 51 quantity</v>
      </c>
      <c r="BL5" s="3" t="str">
        <f>IF(M3&gt;=52,"Box 52 quantity","")</f>
        <v>Box 52 quantity</v>
      </c>
      <c r="BM5" s="3" t="str">
        <f>IF(M3&gt;=53,"Box 53 quantity","")</f>
        <v>Box 53 quantity</v>
      </c>
      <c r="BN5" s="3" t="str">
        <f>IF(M3&gt;=54,"Box 54 quantity","")</f>
        <v>Box 54 quantity</v>
      </c>
      <c r="BO5" s="3" t="str">
        <f>IF(M3&gt;=55,"Box 55 quantity","")</f>
        <v>Box 55 quantity</v>
      </c>
      <c r="BP5" s="3" t="str">
        <f>IF(M3&gt;=56,"Box 56 quantity","")</f>
        <v>Box 56 quantity</v>
      </c>
      <c r="BQ5" s="3" t="str">
        <f>IF(M3&gt;=57,"Box 57 quantity","")</f>
        <v>Box 57 quantity</v>
      </c>
      <c r="BR5" s="3" t="str">
        <f>IF(M3&gt;=58,"Box 58 quantity","")</f>
        <v>Box 58 quantity</v>
      </c>
      <c r="BS5" s="3" t="str">
        <f>IF(M3&gt;=59,"Box 59 quantity","")</f>
        <v>Box 59 quantity</v>
      </c>
      <c r="BT5" s="3" t="str">
        <f>IF(M3&gt;=60,"Box 60 quantity","")</f>
        <v>Box 60 quantity</v>
      </c>
      <c r="BU5" s="3" t="str">
        <f>IF(M3&gt;=61,"Box 61 quantity","")</f>
        <v>Box 61 quantity</v>
      </c>
      <c r="BV5" s="3" t="str">
        <f>IF(M3&gt;=62,"Box 62 quantity","")</f>
        <v>Box 62 quantity</v>
      </c>
      <c r="BW5" s="3" t="str">
        <f>IF(M3&gt;=63,"Box 63 quantity","")</f>
        <v>Box 63 quantity</v>
      </c>
      <c r="BX5" s="3" t="str">
        <f>IF(M3&gt;=64,"Box 64 quantity","")</f>
        <v>Box 64 quantity</v>
      </c>
      <c r="BY5" s="3" t="str">
        <f>IF(M3&gt;=65,"Box 65 quantity","")</f>
        <v>Box 65 quantity</v>
      </c>
      <c r="BZ5" s="3" t="str">
        <f>IF(M3&gt;=66,"Box 66 quantity","")</f>
        <v>Box 66 quantity</v>
      </c>
      <c r="CA5" s="3" t="str">
        <f>IF(M3&gt;=67,"Box 67 quantity","")</f>
        <v>Box 67 quantity</v>
      </c>
      <c r="CB5" s="3" t="str">
        <f>IF(M3&gt;=68,"Box 68 quantity","")</f>
        <v>Box 68 quantity</v>
      </c>
      <c r="CC5" s="3" t="str">
        <f>IF(M3&gt;=69,"Box 69 quantity","")</f>
        <v>Box 69 quantity</v>
      </c>
      <c r="CD5" s="3" t="str">
        <f>IF(M3&gt;=70,"Box 70 quantity","")</f>
        <v>Box 70 quantity</v>
      </c>
      <c r="CE5" s="3" t="str">
        <f>IF(M3&gt;=71,"Box 71 quantity","")</f>
        <v>Box 71 quantity</v>
      </c>
      <c r="CF5" s="3" t="str">
        <f>IF(M3&gt;=72,"Box 72 quantity","")</f>
        <v>Box 72 quantity</v>
      </c>
      <c r="CG5" s="3" t="str">
        <f>IF(M3&gt;=73,"Box 73 quantity","")</f>
        <v>Box 73 quantity</v>
      </c>
      <c r="CH5" s="3" t="str">
        <f>IF(M3&gt;=74,"Box 74 quantity","")</f>
        <v>Box 74 quantity</v>
      </c>
      <c r="CI5" s="3" t="str">
        <f>IF(M3&gt;=75,"Box 75 quantity","")</f>
        <v>Box 75 quantity</v>
      </c>
      <c r="CJ5" s="3" t="str">
        <f>IF(M3&gt;=76,"Box 76 quantity","")</f>
        <v>Box 76 quantity</v>
      </c>
      <c r="CK5" s="3" t="str">
        <f>IF(M3&gt;=77,"Box 77 quantity","")</f>
        <v>Box 77 quantity</v>
      </c>
      <c r="CL5" s="3" t="str">
        <f>IF(M3&gt;=78,"Box 78 quantity","")</f>
        <v>Box 78 quantity</v>
      </c>
      <c r="CM5" s="3" t="str">
        <f>IF(M3&gt;=79,"Box 79 quantity","")</f>
        <v>Box 79 quantity</v>
      </c>
      <c r="CN5" s="3" t="str">
        <f>IF(M3&gt;=80,"Box 80 quantity","")</f>
        <v>Box 80 quantity</v>
      </c>
      <c r="CO5" s="3" t="str">
        <f>IF(M3&gt;=81,"Box 81 quantity","")</f>
        <v>Box 81 quantity</v>
      </c>
      <c r="CP5" s="3" t="str">
        <f>IF(M3&gt;=82,"Box 82 quantity","")</f>
        <v>Box 82 quantity</v>
      </c>
      <c r="CQ5" s="3" t="str">
        <f>IF(M3&gt;=83,"Box 83 quantity","")</f>
        <v>Box 83 quantity</v>
      </c>
      <c r="CR5" s="3" t="str">
        <f>IF(M3&gt;=84,"Box 84 quantity","")</f>
        <v>Box 84 quantity</v>
      </c>
      <c r="CS5" s="3" t="str">
        <f>IF(M3&gt;=85,"Box 85 quantity","")</f>
        <v>Box 85 quantity</v>
      </c>
      <c r="CT5" s="3" t="str">
        <f>IF(M3&gt;=86,"Box 86 quantity","")</f>
        <v>Box 86 quantity</v>
      </c>
      <c r="CU5" s="3" t="str">
        <f>IF(M3&gt;=87,"Box 87 quantity","")</f>
        <v>Box 87 quantity</v>
      </c>
      <c r="CV5" s="3" t="str">
        <f>IF(M3&gt;=88,"Box 88 quantity","")</f>
        <v>Box 88 quantity</v>
      </c>
      <c r="CW5" s="3" t="str">
        <f>IF(M3&gt;=89,"Box 89 quantity","")</f>
        <v>Box 89 quantity</v>
      </c>
      <c r="CX5" s="3" t="str">
        <f>IF(M3&gt;=90,"Box 90 quantity","")</f>
        <v>Box 90 quantity</v>
      </c>
      <c r="CY5" s="3" t="str">
        <f>IF(M3&gt;=91,"Box 91 quantity","")</f>
        <v>Box 91 quantity</v>
      </c>
      <c r="CZ5" s="3" t="str">
        <f>IF(M3&gt;=92,"Box 92 quantity","")</f>
        <v>Box 92 quantity</v>
      </c>
      <c r="DA5" s="3" t="str">
        <f>IF(M3&gt;=93,"Box 93 quantity","")</f>
        <v>Box 93 quantity</v>
      </c>
      <c r="DB5" s="3" t="str">
        <f>IF(M3&gt;=94,"Box 94 quantity","")</f>
        <v>Box 94 quantity</v>
      </c>
      <c r="DC5" s="3" t="str">
        <f>IF(M3&gt;=95,"Box 95 quantity","")</f>
        <v>Box 95 quantity</v>
      </c>
      <c r="DD5" s="3" t="str">
        <f>IF(M3&gt;=96,"Box 96 quantity","")</f>
        <v>Box 96 quantity</v>
      </c>
      <c r="DE5" s="3" t="str">
        <f>IF(M3&gt;=97,"Box 97 quantity","")</f>
        <v>Box 97 quantity</v>
      </c>
      <c r="DF5" s="3" t="str">
        <f>IF(M3&gt;=98,"Box 98 quantity","")</f>
        <v>Box 98 quantity</v>
      </c>
      <c r="DG5" s="3" t="str">
        <f>IF(M3&gt;=99,"Box 99 quantity","")</f>
        <v>Box 99 quantity</v>
      </c>
      <c r="DH5" s="3" t="str">
        <f>IF(M3&gt;=100,"Box 100 quantity","")</f>
        <v>Box 100 quantity</v>
      </c>
      <c r="DI5" s="3" t="str">
        <f>IF(M3&gt;=101,"Box 101 quantity","")</f>
        <v>Box 101 quantity</v>
      </c>
      <c r="DJ5" s="3" t="str">
        <f>IF(M3&gt;=102,"Box 102 quantity","")</f>
        <v>Box 102 quantity</v>
      </c>
      <c r="DK5" s="3" t="str">
        <f>IF(M3&gt;=103,"Box 103 quantity","")</f>
        <v>Box 103 quantity</v>
      </c>
      <c r="DL5" s="3" t="str">
        <f>IF(M3&gt;=104,"Box 104 quantity","")</f>
        <v>Box 104 quantity</v>
      </c>
      <c r="DM5" s="3" t="str">
        <f>IF(M3&gt;=105,"Box 105 quantity","")</f>
        <v>Box 105 quantity</v>
      </c>
      <c r="DN5" s="3" t="str">
        <f>IF(M3&gt;=106,"Box 106 quantity","")</f>
        <v>Box 106 quantity</v>
      </c>
      <c r="DO5" s="3" t="str">
        <f>IF(M3&gt;=107,"Box 107 quantity","")</f>
        <v>Box 107 quantity</v>
      </c>
      <c r="DP5" s="3" t="str">
        <f>IF(M3&gt;=108,"Box 108 quantity","")</f>
        <v>Box 108 quantity</v>
      </c>
      <c r="DQ5" s="3" t="str">
        <f>IF(M3&gt;=109,"Box 109 quantity","")</f>
        <v>Box 109 quantity</v>
      </c>
      <c r="DR5" s="3" t="str">
        <f>IF(M3&gt;=110,"Box 110 quantity","")</f>
        <v>Box 110 quantity</v>
      </c>
      <c r="DS5" s="3" t="str">
        <f>IF(M3&gt;=111,"Box 111 quantity","")</f>
        <v>Box 111 quantity</v>
      </c>
      <c r="DT5" s="3" t="str">
        <f>IF(M3&gt;=112,"Box 112 quantity","")</f>
        <v>Box 112 quantity</v>
      </c>
      <c r="DU5" s="3" t="str">
        <f>IF(M3&gt;=113,"Box 113 quantity","")</f>
        <v>Box 113 quantity</v>
      </c>
      <c r="DV5" s="3" t="str">
        <f>IF(M3&gt;=114,"Box 114 quantity","")</f>
        <v>Box 114 quantity</v>
      </c>
      <c r="DW5" s="3" t="str">
        <f>IF(M3&gt;=115,"Box 115 quantity","")</f>
        <v>Box 115 quantity</v>
      </c>
      <c r="DX5" s="3" t="str">
        <f>IF(M3&gt;=116,"Box 116 quantity","")</f>
        <v>Box 116 quantity</v>
      </c>
      <c r="DY5" s="3" t="str">
        <f>IF(M3&gt;=117,"Box 117 quantity","")</f>
        <v>Box 117 quantity</v>
      </c>
      <c r="DZ5" s="3" t="str">
        <f>IF(M3&gt;=118,"Box 118 quantity","")</f>
        <v>Box 118 quantity</v>
      </c>
      <c r="EA5" s="3" t="str">
        <f>IF(M3&gt;=119,"Box 119 quantity","")</f>
        <v>Box 119 quantity</v>
      </c>
      <c r="EB5" s="3" t="str">
        <f>IF(M3&gt;=120,"Box 120 quantity","")</f>
        <v>Box 120 quantity</v>
      </c>
      <c r="EC5" s="3" t="str">
        <f>IF(M3&gt;=121,"Box 121 quantity","")</f>
        <v>Box 121 quantity</v>
      </c>
      <c r="ED5" s="3" t="str">
        <f>IF(M3&gt;=122,"Box 122 quantity","")</f>
        <v>Box 122 quantity</v>
      </c>
      <c r="EE5" s="3" t="str">
        <f>IF(M3&gt;=123,"Box 123 quantity","")</f>
        <v>Box 123 quantity</v>
      </c>
      <c r="EF5" s="3" t="str">
        <f>IF(M3&gt;=124,"Box 124 quantity","")</f>
        <v>Box 124 quantity</v>
      </c>
      <c r="EG5" s="3" t="str">
        <f>IF(M3&gt;=125,"Box 125 quantity","")</f>
        <v>Box 125 quantity</v>
      </c>
      <c r="EH5" s="3" t="str">
        <f>IF(M3&gt;=126,"Box 126 quantity","")</f>
        <v>Box 126 quantity</v>
      </c>
      <c r="EI5" s="3" t="str">
        <f>IF(M3&gt;=127,"Box 127 quantity","")</f>
        <v>Box 127 quantity</v>
      </c>
      <c r="EJ5" s="3" t="str">
        <f>IF(M3&gt;=128,"Box 128 quantity","")</f>
        <v>Box 128 quantity</v>
      </c>
      <c r="EK5" s="3" t="str">
        <f>IF(M3&gt;=129,"Box 129 quantity","")</f>
        <v>Box 129 quantity</v>
      </c>
      <c r="EL5" s="3" t="str">
        <f>IF(M3&gt;=130,"Box 130 quantity","")</f>
        <v>Box 130 quantity</v>
      </c>
      <c r="EM5" s="3" t="str">
        <f>IF(M3&gt;=131,"Box 131 quantity","")</f>
        <v>Box 131 quantity</v>
      </c>
      <c r="EN5" s="3" t="str">
        <f>IF(M3&gt;=132,"Box 132 quantity","")</f>
        <v>Box 132 quantity</v>
      </c>
      <c r="EO5" s="3" t="str">
        <f>IF(M3&gt;=133,"Box 133 quantity","")</f>
        <v>Box 133 quantity</v>
      </c>
      <c r="EP5" s="3" t="str">
        <f>IF(M3&gt;=134,"Box 134 quantity","")</f>
        <v>Box 134 quantity</v>
      </c>
      <c r="EQ5" s="3" t="str">
        <f>IF(M3&gt;=135,"Box 135 quantity","")</f>
        <v>Box 135 quantity</v>
      </c>
      <c r="ER5" s="3" t="str">
        <f>IF(M3&gt;=136,"Box 136 quantity","")</f>
        <v>Box 136 quantity</v>
      </c>
      <c r="ES5" s="3" t="str">
        <f>IF(M3&gt;=137,"Box 137 quantity","")</f>
        <v>Box 137 quantity</v>
      </c>
      <c r="ET5" s="3" t="str">
        <f>IF(M3&gt;=138,"Box 138 quantity","")</f>
        <v>Box 138 quantity</v>
      </c>
      <c r="EU5" s="3" t="str">
        <f>IF(M3&gt;=139,"Box 139 quantity","")</f>
        <v>Box 139 quantity</v>
      </c>
      <c r="EV5" s="3" t="str">
        <f>IF(M3&gt;=140,"Box 140 quantity","")</f>
        <v>Box 140 quantity</v>
      </c>
      <c r="EW5" s="3" t="str">
        <f>IF(M3&gt;=141,"Box 141 quantity","")</f>
        <v>Box 141 quantity</v>
      </c>
      <c r="EX5" s="3" t="str">
        <f>IF(M3&gt;=142,"Box 142 quantity","")</f>
        <v>Box 142 quantity</v>
      </c>
      <c r="EY5" s="3" t="str">
        <f>IF(M3&gt;=143,"Box 143 quantity","")</f>
        <v>Box 143 quantity</v>
      </c>
      <c r="EZ5" s="3" t="str">
        <f>IF(M3&gt;=144,"Box 144 quantity","")</f>
        <v>Box 144 quantity</v>
      </c>
      <c r="FA5" s="3" t="str">
        <f>IF(M3&gt;=145,"Box 145 quantity","")</f>
        <v>Box 145 quantity</v>
      </c>
      <c r="FB5" s="3" t="str">
        <f>IF(M3&gt;=146,"Box 146 quantity","")</f>
        <v>Box 146 quantity</v>
      </c>
      <c r="FC5" s="3" t="str">
        <f>IF(M3&gt;=147,"Box 147 quantity","")</f>
        <v>Box 147 quantity</v>
      </c>
      <c r="FD5" s="3" t="str">
        <f>IF(M3&gt;=148,"Box 148 quantity","")</f>
        <v>Box 148 quantity</v>
      </c>
      <c r="FE5" s="3" t="str">
        <f>IF(M3&gt;=149,"Box 149 quantity","")</f>
        <v/>
      </c>
      <c r="FF5" s="3" t="str">
        <f>IF(M3&gt;=150,"Box 150 quantity","")</f>
        <v/>
      </c>
      <c r="FG5" s="3" t="str">
        <f>IF(M3&gt;=151,"Box 151 quantity","")</f>
        <v/>
      </c>
      <c r="FH5" s="3" t="str">
        <f>IF(M3&gt;=152,"Box 152 quantity","")</f>
        <v/>
      </c>
      <c r="FI5" s="3" t="str">
        <f>IF(M3&gt;=153,"Box 153 quantity","")</f>
        <v/>
      </c>
      <c r="FJ5" s="3" t="str">
        <f>IF(M3&gt;=154,"Box 154 quantity","")</f>
        <v/>
      </c>
      <c r="FK5" s="3" t="str">
        <f>IF(M3&gt;=155,"Box 155 quantity","")</f>
        <v/>
      </c>
      <c r="FL5" s="3" t="str">
        <f>IF(M3&gt;=156,"Box 156 quantity","")</f>
        <v/>
      </c>
      <c r="FM5" s="3" t="str">
        <f>IF(M3&gt;=157,"Box 157 quantity","")</f>
        <v/>
      </c>
      <c r="FN5" s="3" t="str">
        <f>IF(M3&gt;=158,"Box 158 quantity","")</f>
        <v/>
      </c>
    </row>
    <row r="6" spans="1:170">
      <c r="A6" t="s">
        <v>16</v>
      </c>
      <c r="B6" t="s">
        <v>17</v>
      </c>
      <c r="C6" t="s">
        <v>18</v>
      </c>
      <c r="D6" t="s">
        <v>19</v>
      </c>
      <c r="E6" t="s">
        <v>19</v>
      </c>
      <c r="F6" t="s">
        <v>20</v>
      </c>
      <c r="G6" t="s">
        <v>21</v>
      </c>
      <c r="H6" t="s">
        <v>4</v>
      </c>
      <c r="I6" t="s">
        <v>4</v>
      </c>
      <c r="J6">
        <v>3</v>
      </c>
      <c r="K6">
        <f>SUM(M6:INDEX(M6:XFD6,1,M3))</f>
        <v>3</v>
      </c>
      <c r="L6" s="2" t="s">
        <v>4</v>
      </c>
      <c r="M6" s="4">
        <v>1</v>
      </c>
      <c r="N6" s="4">
        <v>1</v>
      </c>
      <c r="O6" s="4">
        <v>1</v>
      </c>
    </row>
    <row r="7" spans="1:170">
      <c r="A7" t="s">
        <v>22</v>
      </c>
      <c r="B7" t="s">
        <v>23</v>
      </c>
      <c r="C7" t="s">
        <v>24</v>
      </c>
      <c r="D7" t="s">
        <v>25</v>
      </c>
      <c r="E7" t="s">
        <v>25</v>
      </c>
      <c r="F7" t="s">
        <v>20</v>
      </c>
      <c r="G7" t="s">
        <v>21</v>
      </c>
      <c r="H7" t="s">
        <v>4</v>
      </c>
      <c r="I7" t="s">
        <v>4</v>
      </c>
      <c r="J7">
        <v>4</v>
      </c>
      <c r="K7">
        <f>SUM(M7:INDEX(M7:XFD7,1,M3))</f>
        <v>4</v>
      </c>
      <c r="L7" s="2" t="s">
        <v>4</v>
      </c>
      <c r="P7" s="4">
        <v>1</v>
      </c>
      <c r="Q7" s="4">
        <v>1</v>
      </c>
      <c r="R7" s="4">
        <v>1</v>
      </c>
      <c r="S7" s="4">
        <v>1</v>
      </c>
    </row>
    <row r="8" spans="1:170">
      <c r="A8" t="s">
        <v>26</v>
      </c>
      <c r="B8" t="s">
        <v>27</v>
      </c>
      <c r="C8" t="s">
        <v>28</v>
      </c>
      <c r="D8" t="s">
        <v>29</v>
      </c>
      <c r="E8" t="s">
        <v>29</v>
      </c>
      <c r="F8" t="s">
        <v>20</v>
      </c>
      <c r="G8" t="s">
        <v>21</v>
      </c>
      <c r="H8" t="s">
        <v>4</v>
      </c>
      <c r="I8" t="s">
        <v>4</v>
      </c>
      <c r="J8">
        <v>4</v>
      </c>
      <c r="K8">
        <f>SUM(M8:INDEX(M8:XFD8,1,M3))</f>
        <v>4</v>
      </c>
      <c r="L8" s="2" t="s">
        <v>4</v>
      </c>
      <c r="T8" s="4">
        <v>1</v>
      </c>
      <c r="U8" s="4">
        <v>1</v>
      </c>
      <c r="V8" s="4">
        <v>1</v>
      </c>
      <c r="W8" s="4">
        <v>1</v>
      </c>
    </row>
    <row r="9" spans="1:170">
      <c r="A9" t="s">
        <v>30</v>
      </c>
      <c r="B9" t="s">
        <v>31</v>
      </c>
      <c r="C9" t="s">
        <v>32</v>
      </c>
      <c r="D9" t="s">
        <v>33</v>
      </c>
      <c r="E9" t="s">
        <v>33</v>
      </c>
      <c r="F9" t="s">
        <v>20</v>
      </c>
      <c r="G9" t="s">
        <v>21</v>
      </c>
      <c r="H9" t="s">
        <v>4</v>
      </c>
      <c r="I9" t="s">
        <v>4</v>
      </c>
      <c r="J9">
        <v>60</v>
      </c>
      <c r="K9">
        <f>SUM(M9:INDEX(M9:XFD9,1,M3))</f>
        <v>60</v>
      </c>
      <c r="L9" s="2" t="s">
        <v>4</v>
      </c>
      <c r="X9" s="4">
        <v>1</v>
      </c>
      <c r="Y9" s="4">
        <v>1</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row>
    <row r="10" spans="1:170">
      <c r="A10" t="s">
        <v>34</v>
      </c>
      <c r="B10" t="s">
        <v>35</v>
      </c>
      <c r="C10" t="s">
        <v>36</v>
      </c>
      <c r="D10" t="s">
        <v>37</v>
      </c>
      <c r="E10" t="s">
        <v>37</v>
      </c>
      <c r="F10" t="s">
        <v>20</v>
      </c>
      <c r="G10" t="s">
        <v>21</v>
      </c>
      <c r="H10" t="s">
        <v>4</v>
      </c>
      <c r="I10" t="s">
        <v>4</v>
      </c>
      <c r="J10">
        <v>3</v>
      </c>
      <c r="K10">
        <f>SUM(M10:INDEX(M10:XFD10,1,M3))</f>
        <v>3</v>
      </c>
      <c r="L10" s="2" t="s">
        <v>4</v>
      </c>
      <c r="CF10" s="4">
        <v>1</v>
      </c>
      <c r="CG10" s="4">
        <v>1</v>
      </c>
      <c r="CH10" s="4">
        <v>1</v>
      </c>
    </row>
    <row r="11" spans="1:170">
      <c r="A11" t="s">
        <v>38</v>
      </c>
      <c r="B11" t="s">
        <v>39</v>
      </c>
      <c r="C11" t="s">
        <v>40</v>
      </c>
      <c r="D11" t="s">
        <v>41</v>
      </c>
      <c r="E11" t="s">
        <v>41</v>
      </c>
      <c r="F11" t="s">
        <v>20</v>
      </c>
      <c r="G11" t="s">
        <v>21</v>
      </c>
      <c r="H11" t="s">
        <v>4</v>
      </c>
      <c r="I11" t="s">
        <v>4</v>
      </c>
      <c r="J11">
        <v>3</v>
      </c>
      <c r="K11">
        <f>SUM(M11:INDEX(M11:XFD11,1,M3))</f>
        <v>3</v>
      </c>
      <c r="L11" s="2" t="s">
        <v>4</v>
      </c>
      <c r="CI11" s="4">
        <v>1</v>
      </c>
      <c r="CJ11" s="4">
        <v>1</v>
      </c>
      <c r="CK11" s="4">
        <v>1</v>
      </c>
    </row>
    <row r="12" spans="1:170">
      <c r="A12" t="s">
        <v>42</v>
      </c>
      <c r="B12" t="s">
        <v>43</v>
      </c>
      <c r="C12" t="s">
        <v>44</v>
      </c>
      <c r="D12" t="s">
        <v>45</v>
      </c>
      <c r="E12" t="s">
        <v>45</v>
      </c>
      <c r="F12" t="s">
        <v>20</v>
      </c>
      <c r="G12" t="s">
        <v>21</v>
      </c>
      <c r="H12" t="s">
        <v>4</v>
      </c>
      <c r="I12" t="s">
        <v>4</v>
      </c>
      <c r="J12">
        <v>3</v>
      </c>
      <c r="K12">
        <f>SUM(M12:INDEX(M12:XFD12,1,M3))</f>
        <v>3</v>
      </c>
      <c r="L12" s="2" t="s">
        <v>4</v>
      </c>
      <c r="CL12" s="4">
        <v>1</v>
      </c>
      <c r="CM12" s="4">
        <v>1</v>
      </c>
      <c r="CN12" s="4">
        <v>1</v>
      </c>
    </row>
    <row r="13" spans="1:170">
      <c r="A13" t="s">
        <v>46</v>
      </c>
      <c r="B13" t="s">
        <v>47</v>
      </c>
      <c r="C13" t="s">
        <v>48</v>
      </c>
      <c r="D13" t="s">
        <v>49</v>
      </c>
      <c r="E13" t="s">
        <v>49</v>
      </c>
      <c r="F13" t="s">
        <v>20</v>
      </c>
      <c r="G13" t="s">
        <v>21</v>
      </c>
      <c r="H13" t="s">
        <v>4</v>
      </c>
      <c r="I13" t="s">
        <v>4</v>
      </c>
      <c r="J13">
        <v>4</v>
      </c>
      <c r="K13">
        <f>SUM(M13:INDEX(M13:XFD13,1,M3))</f>
        <v>4</v>
      </c>
      <c r="L13" s="2" t="s">
        <v>4</v>
      </c>
      <c r="CO13" s="4">
        <v>1</v>
      </c>
      <c r="CP13" s="4">
        <v>1</v>
      </c>
      <c r="CQ13" s="4">
        <v>1</v>
      </c>
      <c r="CR13" s="4">
        <v>1</v>
      </c>
    </row>
    <row r="14" spans="1:170">
      <c r="A14" t="s">
        <v>50</v>
      </c>
      <c r="B14" t="s">
        <v>51</v>
      </c>
      <c r="C14" t="s">
        <v>52</v>
      </c>
      <c r="D14" t="s">
        <v>53</v>
      </c>
      <c r="E14" t="s">
        <v>53</v>
      </c>
      <c r="F14" t="s">
        <v>20</v>
      </c>
      <c r="G14" t="s">
        <v>21</v>
      </c>
      <c r="H14" t="s">
        <v>4</v>
      </c>
      <c r="I14" t="s">
        <v>4</v>
      </c>
      <c r="J14">
        <v>4</v>
      </c>
      <c r="K14">
        <f>SUM(M14:INDEX(M14:XFD14,1,M3))</f>
        <v>4</v>
      </c>
      <c r="L14" s="2" t="s">
        <v>4</v>
      </c>
      <c r="CS14" s="4">
        <v>1</v>
      </c>
      <c r="CT14" s="4">
        <v>1</v>
      </c>
      <c r="CU14" s="4">
        <v>1</v>
      </c>
      <c r="CV14" s="4">
        <v>1</v>
      </c>
    </row>
    <row r="15" spans="1:170">
      <c r="A15" t="s">
        <v>54</v>
      </c>
      <c r="B15" t="s">
        <v>55</v>
      </c>
      <c r="C15" t="s">
        <v>56</v>
      </c>
      <c r="D15" t="s">
        <v>57</v>
      </c>
      <c r="E15" t="s">
        <v>57</v>
      </c>
      <c r="F15" t="s">
        <v>20</v>
      </c>
      <c r="G15" t="s">
        <v>21</v>
      </c>
      <c r="H15" t="s">
        <v>4</v>
      </c>
      <c r="I15" t="s">
        <v>4</v>
      </c>
      <c r="J15">
        <v>60</v>
      </c>
      <c r="K15">
        <f>SUM(M15:INDEX(M15:XFD15,1,M3))</f>
        <v>60</v>
      </c>
      <c r="L15" s="2" t="s">
        <v>4</v>
      </c>
      <c r="CW15" s="4">
        <v>1</v>
      </c>
      <c r="CX15" s="4">
        <v>1</v>
      </c>
      <c r="CY15" s="4">
        <v>1</v>
      </c>
      <c r="CZ15" s="4">
        <v>1</v>
      </c>
      <c r="DA15" s="4">
        <v>1</v>
      </c>
      <c r="DB15" s="4">
        <v>1</v>
      </c>
      <c r="DC15" s="4">
        <v>1</v>
      </c>
      <c r="DD15" s="4">
        <v>1</v>
      </c>
      <c r="DE15" s="4">
        <v>1</v>
      </c>
      <c r="DF15" s="4">
        <v>1</v>
      </c>
      <c r="DG15" s="4">
        <v>1</v>
      </c>
      <c r="DH15" s="4">
        <v>1</v>
      </c>
      <c r="DI15" s="4">
        <v>1</v>
      </c>
      <c r="DJ15" s="4">
        <v>1</v>
      </c>
      <c r="DK15" s="4">
        <v>1</v>
      </c>
      <c r="DL15" s="4">
        <v>1</v>
      </c>
      <c r="DM15" s="4">
        <v>1</v>
      </c>
      <c r="DN15" s="4">
        <v>1</v>
      </c>
      <c r="DO15" s="4">
        <v>1</v>
      </c>
      <c r="DP15" s="4">
        <v>1</v>
      </c>
      <c r="DQ15" s="4">
        <v>1</v>
      </c>
      <c r="DR15" s="4">
        <v>1</v>
      </c>
      <c r="DS15" s="4">
        <v>1</v>
      </c>
      <c r="DT15" s="4">
        <v>1</v>
      </c>
      <c r="DU15" s="4">
        <v>1</v>
      </c>
      <c r="DV15" s="4">
        <v>1</v>
      </c>
      <c r="DW15" s="4">
        <v>1</v>
      </c>
      <c r="DX15" s="4">
        <v>1</v>
      </c>
      <c r="DY15" s="4">
        <v>1</v>
      </c>
      <c r="DZ15" s="4">
        <v>1</v>
      </c>
      <c r="EA15" s="4">
        <v>1</v>
      </c>
      <c r="EB15" s="4">
        <v>1</v>
      </c>
      <c r="EC15" s="4">
        <v>1</v>
      </c>
      <c r="ED15" s="4">
        <v>1</v>
      </c>
      <c r="EE15" s="4">
        <v>1</v>
      </c>
      <c r="EF15" s="4">
        <v>1</v>
      </c>
      <c r="EG15" s="4">
        <v>1</v>
      </c>
      <c r="EH15" s="4">
        <v>1</v>
      </c>
      <c r="EI15" s="4">
        <v>1</v>
      </c>
      <c r="EJ15" s="4">
        <v>1</v>
      </c>
      <c r="EK15" s="4">
        <v>1</v>
      </c>
      <c r="EL15" s="4">
        <v>1</v>
      </c>
      <c r="EM15" s="4">
        <v>1</v>
      </c>
      <c r="EN15" s="4">
        <v>1</v>
      </c>
      <c r="EO15" s="4">
        <v>1</v>
      </c>
      <c r="EP15" s="4">
        <v>1</v>
      </c>
      <c r="EQ15" s="4">
        <v>1</v>
      </c>
      <c r="ER15" s="4">
        <v>1</v>
      </c>
      <c r="ES15" s="4">
        <v>1</v>
      </c>
      <c r="ET15" s="4">
        <v>1</v>
      </c>
      <c r="EU15" s="4">
        <v>1</v>
      </c>
      <c r="EV15" s="4">
        <v>1</v>
      </c>
      <c r="EW15" s="4">
        <v>1</v>
      </c>
      <c r="EX15" s="4">
        <v>1</v>
      </c>
      <c r="EY15" s="4">
        <v>1</v>
      </c>
      <c r="EZ15" s="4">
        <v>1</v>
      </c>
      <c r="FA15" s="4">
        <v>1</v>
      </c>
      <c r="FB15" s="4">
        <v>1</v>
      </c>
      <c r="FC15" s="4">
        <v>1</v>
      </c>
      <c r="FD15" s="4">
        <v>1</v>
      </c>
    </row>
    <row r="16" spans="1:170" ht="8" customHeight="1">
      <c r="A16" s="177" t="s">
        <v>4</v>
      </c>
      <c r="B16" s="173"/>
      <c r="C16" s="173"/>
      <c r="D16" s="173"/>
      <c r="E16" s="173"/>
      <c r="F16" s="173"/>
      <c r="G16" s="173"/>
      <c r="H16" s="173"/>
      <c r="I16" s="173"/>
      <c r="J16" s="173"/>
      <c r="K16" s="173"/>
      <c r="L16" s="173"/>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c r="CR16" s="178"/>
      <c r="CS16" s="178"/>
      <c r="CT16" s="178"/>
      <c r="CU16" s="178"/>
      <c r="CV16" s="178"/>
      <c r="CW16" s="178"/>
      <c r="CX16" s="178"/>
      <c r="CY16" s="178"/>
      <c r="CZ16" s="178"/>
      <c r="DA16" s="178"/>
      <c r="DB16" s="178"/>
      <c r="DC16" s="178"/>
      <c r="DD16" s="178"/>
      <c r="DE16" s="178"/>
      <c r="DF16" s="178"/>
      <c r="DG16" s="178"/>
      <c r="DH16" s="178"/>
      <c r="DI16" s="178"/>
      <c r="DJ16" s="178"/>
      <c r="DK16" s="178"/>
      <c r="DL16" s="178"/>
      <c r="DM16" s="178"/>
      <c r="DN16" s="178"/>
      <c r="DO16" s="178"/>
      <c r="DP16" s="178"/>
      <c r="DQ16" s="178"/>
      <c r="DR16" s="178"/>
      <c r="DS16" s="178"/>
      <c r="DT16" s="178"/>
      <c r="DU16" s="178"/>
      <c r="DV16" s="178"/>
      <c r="DW16" s="178"/>
      <c r="DX16" s="178"/>
      <c r="DY16" s="178"/>
      <c r="DZ16" s="178"/>
      <c r="EA16" s="178"/>
      <c r="EB16" s="178"/>
      <c r="EC16" s="178"/>
      <c r="ED16" s="178"/>
      <c r="EE16" s="178"/>
      <c r="EF16" s="178"/>
      <c r="EG16" s="178"/>
      <c r="EH16" s="178"/>
      <c r="EI16" s="178"/>
      <c r="EJ16" s="178"/>
      <c r="EK16" s="178"/>
      <c r="EL16" s="178"/>
      <c r="EM16" s="178"/>
      <c r="EN16" s="178"/>
      <c r="EO16" s="178"/>
      <c r="EP16" s="178"/>
      <c r="EQ16" s="178"/>
      <c r="ER16" s="178"/>
      <c r="ES16" s="178"/>
      <c r="ET16" s="178"/>
      <c r="EU16" s="178"/>
      <c r="EV16" s="178"/>
      <c r="EW16" s="178"/>
      <c r="EX16" s="178"/>
      <c r="EY16" s="178"/>
      <c r="EZ16" s="178"/>
      <c r="FA16" s="178"/>
      <c r="FB16" s="178"/>
      <c r="FC16" s="178"/>
      <c r="FD16" s="178"/>
      <c r="FE16" s="178"/>
      <c r="FF16" s="178"/>
      <c r="FG16" s="178"/>
      <c r="FH16" s="178"/>
      <c r="FI16" s="178"/>
      <c r="FJ16" s="178"/>
      <c r="FK16" s="178"/>
      <c r="FL16" s="178"/>
      <c r="FM16" s="178"/>
      <c r="FN16" s="178"/>
    </row>
    <row r="17" spans="1:170" ht="16">
      <c r="A17" s="179" t="s">
        <v>58</v>
      </c>
      <c r="B17" s="173"/>
      <c r="C17" s="173"/>
      <c r="D17" s="173"/>
      <c r="E17" s="173"/>
      <c r="F17" s="173"/>
      <c r="G17" s="173"/>
      <c r="H17" s="173"/>
      <c r="I17" s="173"/>
      <c r="J17" s="173"/>
      <c r="K17" s="173"/>
      <c r="L17" s="173"/>
      <c r="M17" s="5" t="str">
        <f>IF(M3&gt;=1,"P1 - B1","")</f>
        <v>P1 - B1</v>
      </c>
      <c r="N17" s="6" t="str">
        <f>IF(M3&gt;=2,"P1 - B2","")</f>
        <v>P1 - B2</v>
      </c>
      <c r="O17" s="7" t="str">
        <f>IF(M3&gt;=3,"P1 - B3","")</f>
        <v>P1 - B3</v>
      </c>
      <c r="P17" s="8" t="str">
        <f>IF(M3&gt;=4,"P1 - B4","")</f>
        <v>P1 - B4</v>
      </c>
      <c r="Q17" s="9" t="str">
        <f>IF(M3&gt;=5,"P1 - B5","")</f>
        <v>P1 - B5</v>
      </c>
      <c r="R17" s="10" t="str">
        <f>IF(M3&gt;=6,"P1 - B6","")</f>
        <v>P1 - B6</v>
      </c>
      <c r="S17" s="11" t="str">
        <f>IF(M3&gt;=7,"P1 - B7","")</f>
        <v>P1 - B7</v>
      </c>
      <c r="T17" s="12" t="str">
        <f>IF(M3&gt;=8,"P1 - B8","")</f>
        <v>P1 - B8</v>
      </c>
      <c r="U17" s="13" t="str">
        <f>IF(M3&gt;=9,"P1 - B9","")</f>
        <v>P1 - B9</v>
      </c>
      <c r="V17" s="14" t="str">
        <f>IF(M3&gt;=10,"P1 - B10","")</f>
        <v>P1 - B10</v>
      </c>
      <c r="W17" s="15" t="str">
        <f>IF(M3&gt;=11,"P1 - B11","")</f>
        <v>P1 - B11</v>
      </c>
      <c r="X17" s="16" t="str">
        <f>IF(M3&gt;=12,"P1 - B12","")</f>
        <v>P1 - B12</v>
      </c>
      <c r="Y17" s="17" t="str">
        <f>IF(M3&gt;=13,"P1 - B13","")</f>
        <v>P1 - B13</v>
      </c>
      <c r="Z17" s="18" t="str">
        <f>IF(M3&gt;=14,"P1 - B14","")</f>
        <v>P1 - B14</v>
      </c>
      <c r="AA17" s="19" t="str">
        <f>IF(M3&gt;=15,"P1 - B15","")</f>
        <v>P1 - B15</v>
      </c>
      <c r="AB17" s="20" t="str">
        <f>IF(M3&gt;=16,"P1 - B16","")</f>
        <v>P1 - B16</v>
      </c>
      <c r="AC17" s="21" t="str">
        <f>IF(M3&gt;=17,"P1 - B17","")</f>
        <v>P1 - B17</v>
      </c>
      <c r="AD17" s="22" t="str">
        <f>IF(M3&gt;=18,"P1 - B18","")</f>
        <v>P1 - B18</v>
      </c>
      <c r="AE17" s="23" t="str">
        <f>IF(M3&gt;=19,"P1 - B19","")</f>
        <v>P1 - B19</v>
      </c>
      <c r="AF17" s="24" t="str">
        <f>IF(M3&gt;=20,"P1 - B20","")</f>
        <v>P1 - B20</v>
      </c>
      <c r="AG17" s="25" t="str">
        <f>IF(M3&gt;=21,"P1 - B21","")</f>
        <v>P1 - B21</v>
      </c>
      <c r="AH17" s="26" t="str">
        <f>IF(M3&gt;=22,"P1 - B22","")</f>
        <v>P1 - B22</v>
      </c>
      <c r="AI17" s="27" t="str">
        <f>IF(M3&gt;=23,"P1 - B23","")</f>
        <v>P1 - B23</v>
      </c>
      <c r="AJ17" s="28" t="str">
        <f>IF(M3&gt;=24,"P1 - B24","")</f>
        <v>P1 - B24</v>
      </c>
      <c r="AK17" s="29" t="str">
        <f>IF(M3&gt;=25,"P1 - B25","")</f>
        <v>P1 - B25</v>
      </c>
      <c r="AL17" s="30" t="str">
        <f>IF(M3&gt;=26,"P1 - B26","")</f>
        <v>P1 - B26</v>
      </c>
      <c r="AM17" s="31" t="str">
        <f>IF(M3&gt;=27,"P1 - B27","")</f>
        <v>P1 - B27</v>
      </c>
      <c r="AN17" s="32" t="str">
        <f>IF(M3&gt;=28,"P1 - B28","")</f>
        <v>P1 - B28</v>
      </c>
      <c r="AO17" s="33" t="str">
        <f>IF(M3&gt;=29,"P1 - B29","")</f>
        <v>P1 - B29</v>
      </c>
      <c r="AP17" s="34" t="str">
        <f>IF(M3&gt;=30,"P1 - B30","")</f>
        <v>P1 - B30</v>
      </c>
      <c r="AQ17" s="35" t="str">
        <f>IF(M3&gt;=31,"P1 - B31","")</f>
        <v>P1 - B31</v>
      </c>
      <c r="AR17" s="36" t="str">
        <f>IF(M3&gt;=32,"P1 - B32","")</f>
        <v>P1 - B32</v>
      </c>
      <c r="AS17" s="37" t="str">
        <f>IF(M3&gt;=33,"P1 - B33","")</f>
        <v>P1 - B33</v>
      </c>
      <c r="AT17" s="38" t="str">
        <f>IF(M3&gt;=34,"P1 - B34","")</f>
        <v>P1 - B34</v>
      </c>
      <c r="AU17" s="39" t="str">
        <f>IF(M3&gt;=35,"P1 - B35","")</f>
        <v>P1 - B35</v>
      </c>
      <c r="AV17" s="40" t="str">
        <f>IF(M3&gt;=36,"P1 - B36","")</f>
        <v>P1 - B36</v>
      </c>
      <c r="AW17" s="41" t="str">
        <f>IF(M3&gt;=37,"P1 - B37","")</f>
        <v>P1 - B37</v>
      </c>
      <c r="AX17" s="42" t="str">
        <f>IF(M3&gt;=38,"P1 - B38","")</f>
        <v>P1 - B38</v>
      </c>
      <c r="AY17" s="43" t="str">
        <f>IF(M3&gt;=39,"P1 - B39","")</f>
        <v>P1 - B39</v>
      </c>
      <c r="AZ17" s="44" t="str">
        <f>IF(M3&gt;=40,"P1 - B40","")</f>
        <v>P1 - B40</v>
      </c>
      <c r="BA17" s="45" t="str">
        <f>IF(M3&gt;=41,"P1 - B41","")</f>
        <v>P1 - B41</v>
      </c>
      <c r="BB17" s="46" t="str">
        <f>IF(M3&gt;=42,"P1 - B42","")</f>
        <v>P1 - B42</v>
      </c>
      <c r="BC17" s="47" t="str">
        <f>IF(M3&gt;=43,"P1 - B43","")</f>
        <v>P1 - B43</v>
      </c>
      <c r="BD17" s="48" t="str">
        <f>IF(M3&gt;=44,"P1 - B44","")</f>
        <v>P1 - B44</v>
      </c>
      <c r="BE17" s="49" t="str">
        <f>IF(M3&gt;=45,"P1 - B45","")</f>
        <v>P1 - B45</v>
      </c>
      <c r="BF17" s="50" t="str">
        <f>IF(M3&gt;=46,"P1 - B46","")</f>
        <v>P1 - B46</v>
      </c>
      <c r="BG17" s="51" t="str">
        <f>IF(M3&gt;=47,"P1 - B47","")</f>
        <v>P1 - B47</v>
      </c>
      <c r="BH17" s="52" t="str">
        <f>IF(M3&gt;=48,"P1 - B48","")</f>
        <v>P1 - B48</v>
      </c>
      <c r="BI17" s="53" t="str">
        <f>IF(M3&gt;=49,"P1 - B49","")</f>
        <v>P1 - B49</v>
      </c>
      <c r="BJ17" s="54" t="str">
        <f>IF(M3&gt;=50,"P1 - B50","")</f>
        <v>P1 - B50</v>
      </c>
      <c r="BK17" s="55" t="str">
        <f>IF(M3&gt;=51,"P1 - B51","")</f>
        <v>P1 - B51</v>
      </c>
      <c r="BL17" s="56" t="str">
        <f>IF(M3&gt;=52,"P1 - B52","")</f>
        <v>P1 - B52</v>
      </c>
      <c r="BM17" s="57" t="str">
        <f>IF(M3&gt;=53,"P1 - B53","")</f>
        <v>P1 - B53</v>
      </c>
      <c r="BN17" s="58" t="str">
        <f>IF(M3&gt;=54,"P1 - B54","")</f>
        <v>P1 - B54</v>
      </c>
      <c r="BO17" s="59" t="str">
        <f>IF(M3&gt;=55,"P1 - B55","")</f>
        <v>P1 - B55</v>
      </c>
      <c r="BP17" s="60" t="str">
        <f>IF(M3&gt;=56,"P1 - B56","")</f>
        <v>P1 - B56</v>
      </c>
      <c r="BQ17" s="61" t="str">
        <f>IF(M3&gt;=57,"P1 - B57","")</f>
        <v>P1 - B57</v>
      </c>
      <c r="BR17" s="62" t="str">
        <f>IF(M3&gt;=58,"P1 - B58","")</f>
        <v>P1 - B58</v>
      </c>
      <c r="BS17" s="63" t="str">
        <f>IF(M3&gt;=59,"P1 - B59","")</f>
        <v>P1 - B59</v>
      </c>
      <c r="BT17" s="64" t="str">
        <f>IF(M3&gt;=60,"P1 - B60","")</f>
        <v>P1 - B60</v>
      </c>
      <c r="BU17" s="65" t="str">
        <f>IF(M3&gt;=61,"P1 - B61","")</f>
        <v>P1 - B61</v>
      </c>
      <c r="BV17" s="66" t="str">
        <f>IF(M3&gt;=62,"P1 - B62","")</f>
        <v>P1 - B62</v>
      </c>
      <c r="BW17" s="67" t="str">
        <f>IF(M3&gt;=63,"P1 - B63","")</f>
        <v>P1 - B63</v>
      </c>
      <c r="BX17" s="68" t="str">
        <f>IF(M3&gt;=64,"P1 - B64","")</f>
        <v>P1 - B64</v>
      </c>
      <c r="BY17" s="69" t="str">
        <f>IF(M3&gt;=65,"P1 - B65","")</f>
        <v>P1 - B65</v>
      </c>
      <c r="BZ17" s="70" t="str">
        <f>IF(M3&gt;=66,"P1 - B66","")</f>
        <v>P1 - B66</v>
      </c>
      <c r="CA17" s="71" t="str">
        <f>IF(M3&gt;=67,"P1 - B67","")</f>
        <v>P1 - B67</v>
      </c>
      <c r="CB17" s="72" t="str">
        <f>IF(M3&gt;=68,"P1 - B68","")</f>
        <v>P1 - B68</v>
      </c>
      <c r="CC17" s="73" t="str">
        <f>IF(M3&gt;=69,"P1 - B69","")</f>
        <v>P1 - B69</v>
      </c>
      <c r="CD17" s="74" t="str">
        <f>IF(M3&gt;=70,"P1 - B70","")</f>
        <v>P1 - B70</v>
      </c>
      <c r="CE17" s="75" t="str">
        <f>IF(M3&gt;=71,"P1 - B71","")</f>
        <v>P1 - B71</v>
      </c>
      <c r="CF17" s="76" t="str">
        <f>IF(M3&gt;=72,"P1 - B72","")</f>
        <v>P1 - B72</v>
      </c>
      <c r="CG17" s="77" t="str">
        <f>IF(M3&gt;=73,"P1 - B73","")</f>
        <v>P1 - B73</v>
      </c>
      <c r="CH17" s="78" t="str">
        <f>IF(M3&gt;=74,"P1 - B74","")</f>
        <v>P1 - B74</v>
      </c>
      <c r="CI17" s="79" t="str">
        <f>IF(M3&gt;=75,"P1 - B75","")</f>
        <v>P1 - B75</v>
      </c>
      <c r="CJ17" s="80" t="str">
        <f>IF(M3&gt;=76,"P1 - B76","")</f>
        <v>P1 - B76</v>
      </c>
      <c r="CK17" s="81" t="str">
        <f>IF(M3&gt;=77,"P1 - B77","")</f>
        <v>P1 - B77</v>
      </c>
      <c r="CL17" s="82" t="str">
        <f>IF(M3&gt;=78,"P1 - B78","")</f>
        <v>P1 - B78</v>
      </c>
      <c r="CM17" s="83" t="str">
        <f>IF(M3&gt;=79,"P1 - B79","")</f>
        <v>P1 - B79</v>
      </c>
      <c r="CN17" s="84" t="str">
        <f>IF(M3&gt;=80,"P1 - B80","")</f>
        <v>P1 - B80</v>
      </c>
      <c r="CO17" s="85" t="str">
        <f>IF(M3&gt;=81,"P1 - B81","")</f>
        <v>P1 - B81</v>
      </c>
      <c r="CP17" s="86" t="str">
        <f>IF(M3&gt;=82,"P1 - B82","")</f>
        <v>P1 - B82</v>
      </c>
      <c r="CQ17" s="87" t="str">
        <f>IF(M3&gt;=83,"P1 - B83","")</f>
        <v>P1 - B83</v>
      </c>
      <c r="CR17" s="88" t="str">
        <f>IF(M3&gt;=84,"P1 - B84","")</f>
        <v>P1 - B84</v>
      </c>
      <c r="CS17" s="89" t="str">
        <f>IF(M3&gt;=85,"P1 - B85","")</f>
        <v>P1 - B85</v>
      </c>
      <c r="CT17" s="90" t="str">
        <f>IF(M3&gt;=86,"P1 - B86","")</f>
        <v>P1 - B86</v>
      </c>
      <c r="CU17" s="91" t="str">
        <f>IF(M3&gt;=87,"P1 - B87","")</f>
        <v>P1 - B87</v>
      </c>
      <c r="CV17" s="92" t="str">
        <f>IF(M3&gt;=88,"P1 - B88","")</f>
        <v>P1 - B88</v>
      </c>
      <c r="CW17" s="93" t="str">
        <f>IF(M3&gt;=89,"P1 - B89","")</f>
        <v>P1 - B89</v>
      </c>
      <c r="CX17" s="94" t="str">
        <f>IF(M3&gt;=90,"P1 - B90","")</f>
        <v>P1 - B90</v>
      </c>
      <c r="CY17" s="95" t="str">
        <f>IF(M3&gt;=91,"P1 - B91","")</f>
        <v>P1 - B91</v>
      </c>
      <c r="CZ17" s="96" t="str">
        <f>IF(M3&gt;=92,"P1 - B92","")</f>
        <v>P1 - B92</v>
      </c>
      <c r="DA17" s="97" t="str">
        <f>IF(M3&gt;=93,"P1 - B93","")</f>
        <v>P1 - B93</v>
      </c>
      <c r="DB17" s="98" t="str">
        <f>IF(M3&gt;=94,"P1 - B94","")</f>
        <v>P1 - B94</v>
      </c>
      <c r="DC17" s="99" t="str">
        <f>IF(M3&gt;=95,"P1 - B95","")</f>
        <v>P1 - B95</v>
      </c>
      <c r="DD17" s="100" t="str">
        <f>IF(M3&gt;=96,"P1 - B96","")</f>
        <v>P1 - B96</v>
      </c>
      <c r="DE17" s="101" t="str">
        <f>IF(M3&gt;=97,"P1 - B97","")</f>
        <v>P1 - B97</v>
      </c>
      <c r="DF17" s="102" t="str">
        <f>IF(M3&gt;=98,"P1 - B98","")</f>
        <v>P1 - B98</v>
      </c>
      <c r="DG17" s="103" t="str">
        <f>IF(M3&gt;=99,"P1 - B99","")</f>
        <v>P1 - B99</v>
      </c>
      <c r="DH17" s="104" t="str">
        <f>IF(M3&gt;=100,"P1 - B100","")</f>
        <v>P1 - B100</v>
      </c>
      <c r="DI17" s="105" t="str">
        <f>IF(M3&gt;=101,"P1 - B101","")</f>
        <v>P1 - B101</v>
      </c>
      <c r="DJ17" s="106" t="str">
        <f>IF(M3&gt;=102,"P1 - B102","")</f>
        <v>P1 - B102</v>
      </c>
      <c r="DK17" s="107" t="str">
        <f>IF(M3&gt;=103,"P1 - B103","")</f>
        <v>P1 - B103</v>
      </c>
      <c r="DL17" s="108" t="str">
        <f>IF(M3&gt;=104,"P1 - B104","")</f>
        <v>P1 - B104</v>
      </c>
      <c r="DM17" s="109" t="str">
        <f>IF(M3&gt;=105,"P1 - B105","")</f>
        <v>P1 - B105</v>
      </c>
      <c r="DN17" s="110" t="str">
        <f>IF(M3&gt;=106,"P1 - B106","")</f>
        <v>P1 - B106</v>
      </c>
      <c r="DO17" s="111" t="str">
        <f>IF(M3&gt;=107,"P1 - B107","")</f>
        <v>P1 - B107</v>
      </c>
      <c r="DP17" s="112" t="str">
        <f>IF(M3&gt;=108,"P1 - B108","")</f>
        <v>P1 - B108</v>
      </c>
      <c r="DQ17" s="113" t="str">
        <f>IF(M3&gt;=109,"P1 - B109","")</f>
        <v>P1 - B109</v>
      </c>
      <c r="DR17" s="114" t="str">
        <f>IF(M3&gt;=110,"P1 - B110","")</f>
        <v>P1 - B110</v>
      </c>
      <c r="DS17" s="115" t="str">
        <f>IF(M3&gt;=111,"P1 - B111","")</f>
        <v>P1 - B111</v>
      </c>
      <c r="DT17" s="116" t="str">
        <f>IF(M3&gt;=112,"P1 - B112","")</f>
        <v>P1 - B112</v>
      </c>
      <c r="DU17" s="117" t="str">
        <f>IF(M3&gt;=113,"P1 - B113","")</f>
        <v>P1 - B113</v>
      </c>
      <c r="DV17" s="118" t="str">
        <f>IF(M3&gt;=114,"P1 - B114","")</f>
        <v>P1 - B114</v>
      </c>
      <c r="DW17" s="119" t="str">
        <f>IF(M3&gt;=115,"P1 - B115","")</f>
        <v>P1 - B115</v>
      </c>
      <c r="DX17" s="120" t="str">
        <f>IF(M3&gt;=116,"P1 - B116","")</f>
        <v>P1 - B116</v>
      </c>
      <c r="DY17" s="121" t="str">
        <f>IF(M3&gt;=117,"P1 - B117","")</f>
        <v>P1 - B117</v>
      </c>
      <c r="DZ17" s="122" t="str">
        <f>IF(M3&gt;=118,"P1 - B118","")</f>
        <v>P1 - B118</v>
      </c>
      <c r="EA17" s="123" t="str">
        <f>IF(M3&gt;=119,"P1 - B119","")</f>
        <v>P1 - B119</v>
      </c>
      <c r="EB17" s="124" t="str">
        <f>IF(M3&gt;=120,"P1 - B120","")</f>
        <v>P1 - B120</v>
      </c>
      <c r="EC17" s="125" t="str">
        <f>IF(M3&gt;=121,"P1 - B121","")</f>
        <v>P1 - B121</v>
      </c>
      <c r="ED17" s="126" t="str">
        <f>IF(M3&gt;=122,"P1 - B122","")</f>
        <v>P1 - B122</v>
      </c>
      <c r="EE17" s="127" t="str">
        <f>IF(M3&gt;=123,"P1 - B123","")</f>
        <v>P1 - B123</v>
      </c>
      <c r="EF17" s="128" t="str">
        <f>IF(M3&gt;=124,"P1 - B124","")</f>
        <v>P1 - B124</v>
      </c>
      <c r="EG17" s="129" t="str">
        <f>IF(M3&gt;=125,"P1 - B125","")</f>
        <v>P1 - B125</v>
      </c>
      <c r="EH17" s="130" t="str">
        <f>IF(M3&gt;=126,"P1 - B126","")</f>
        <v>P1 - B126</v>
      </c>
      <c r="EI17" s="131" t="str">
        <f>IF(M3&gt;=127,"P1 - B127","")</f>
        <v>P1 - B127</v>
      </c>
      <c r="EJ17" s="132" t="str">
        <f>IF(M3&gt;=128,"P1 - B128","")</f>
        <v>P1 - B128</v>
      </c>
      <c r="EK17" s="133" t="str">
        <f>IF(M3&gt;=129,"P1 - B129","")</f>
        <v>P1 - B129</v>
      </c>
      <c r="EL17" s="134" t="str">
        <f>IF(M3&gt;=130,"P1 - B130","")</f>
        <v>P1 - B130</v>
      </c>
      <c r="EM17" s="135" t="str">
        <f>IF(M3&gt;=131,"P1 - B131","")</f>
        <v>P1 - B131</v>
      </c>
      <c r="EN17" s="136" t="str">
        <f>IF(M3&gt;=132,"P1 - B132","")</f>
        <v>P1 - B132</v>
      </c>
      <c r="EO17" s="137" t="str">
        <f>IF(M3&gt;=133,"P1 - B133","")</f>
        <v>P1 - B133</v>
      </c>
      <c r="EP17" s="138" t="str">
        <f>IF(M3&gt;=134,"P1 - B134","")</f>
        <v>P1 - B134</v>
      </c>
      <c r="EQ17" s="139" t="str">
        <f>IF(M3&gt;=135,"P1 - B135","")</f>
        <v>P1 - B135</v>
      </c>
      <c r="ER17" s="140" t="str">
        <f>IF(M3&gt;=136,"P1 - B136","")</f>
        <v>P1 - B136</v>
      </c>
      <c r="ES17" s="141" t="str">
        <f>IF(M3&gt;=137,"P1 - B137","")</f>
        <v>P1 - B137</v>
      </c>
      <c r="ET17" s="142" t="str">
        <f>IF(M3&gt;=138,"P1 - B138","")</f>
        <v>P1 - B138</v>
      </c>
      <c r="EU17" s="143" t="str">
        <f>IF(M3&gt;=139,"P1 - B139","")</f>
        <v>P1 - B139</v>
      </c>
      <c r="EV17" s="144" t="str">
        <f>IF(M3&gt;=140,"P1 - B140","")</f>
        <v>P1 - B140</v>
      </c>
      <c r="EW17" s="145" t="str">
        <f>IF(M3&gt;=141,"P1 - B141","")</f>
        <v>P1 - B141</v>
      </c>
      <c r="EX17" s="146" t="str">
        <f>IF(M3&gt;=142,"P1 - B142","")</f>
        <v>P1 - B142</v>
      </c>
      <c r="EY17" s="147" t="str">
        <f>IF(M3&gt;=143,"P1 - B143","")</f>
        <v>P1 - B143</v>
      </c>
      <c r="EZ17" s="148" t="str">
        <f>IF(M3&gt;=144,"P1 - B144","")</f>
        <v>P1 - B144</v>
      </c>
      <c r="FA17" s="149" t="str">
        <f>IF(M3&gt;=145,"P1 - B145","")</f>
        <v>P1 - B145</v>
      </c>
      <c r="FB17" s="150" t="str">
        <f>IF(M3&gt;=146,"P1 - B146","")</f>
        <v>P1 - B146</v>
      </c>
      <c r="FC17" s="151" t="str">
        <f>IF(M3&gt;=147,"P1 - B147","")</f>
        <v>P1 - B147</v>
      </c>
      <c r="FD17" s="152" t="str">
        <f>IF(M3&gt;=148,"P1 - B148","")</f>
        <v>P1 - B148</v>
      </c>
      <c r="FE17" s="153" t="str">
        <f>IF(M3&gt;=149,"P1 - B149","")</f>
        <v/>
      </c>
      <c r="FF17" s="154" t="str">
        <f>IF(M3&gt;=150,"P1 - B150","")</f>
        <v/>
      </c>
      <c r="FG17" s="155" t="str">
        <f>IF(M3&gt;=151,"P1 - B151","")</f>
        <v/>
      </c>
      <c r="FH17" s="156" t="str">
        <f>IF(M3&gt;=152,"P1 - B152","")</f>
        <v/>
      </c>
      <c r="FI17" s="157" t="str">
        <f>IF(M3&gt;=153,"P1 - B153","")</f>
        <v/>
      </c>
      <c r="FJ17" s="158" t="str">
        <f>IF(M3&gt;=154,"P1 - B154","")</f>
        <v/>
      </c>
      <c r="FK17" s="159" t="str">
        <f>IF(M3&gt;=155,"P1 - B155","")</f>
        <v/>
      </c>
      <c r="FL17" s="160" t="str">
        <f>IF(M3&gt;=156,"P1 - B156","")</f>
        <v/>
      </c>
      <c r="FM17" s="161" t="str">
        <f>IF(M3&gt;=157,"P1 - B157","")</f>
        <v/>
      </c>
      <c r="FN17" s="162" t="str">
        <f>IF(M3&gt;=158,"P1 - B158","")</f>
        <v/>
      </c>
    </row>
    <row r="18" spans="1:170" ht="16">
      <c r="A18" s="180" t="s">
        <v>59</v>
      </c>
      <c r="B18" s="173"/>
      <c r="C18" s="173"/>
      <c r="D18" s="173"/>
      <c r="E18" s="173"/>
      <c r="F18" s="173"/>
      <c r="G18" s="173"/>
      <c r="H18" s="173"/>
      <c r="I18" s="173"/>
      <c r="J18" s="173"/>
      <c r="K18" s="173"/>
      <c r="L18" s="173"/>
      <c r="M18" s="4">
        <v>20.2</v>
      </c>
      <c r="N18" s="4">
        <v>20.2</v>
      </c>
      <c r="O18" s="4">
        <v>20.2</v>
      </c>
      <c r="P18" s="4">
        <v>25.2</v>
      </c>
      <c r="Q18" s="4">
        <v>25.2</v>
      </c>
      <c r="R18" s="4">
        <v>25.2</v>
      </c>
      <c r="S18" s="4">
        <v>25.2</v>
      </c>
      <c r="T18" s="4">
        <v>35.200000000000003</v>
      </c>
      <c r="U18" s="4">
        <v>35.200000000000003</v>
      </c>
      <c r="V18" s="4">
        <v>35.200000000000003</v>
      </c>
      <c r="W18" s="4">
        <v>35.200000000000003</v>
      </c>
      <c r="X18" s="4">
        <v>45.2</v>
      </c>
      <c r="Y18" s="4">
        <v>45.2</v>
      </c>
      <c r="Z18" s="4">
        <v>45.2</v>
      </c>
      <c r="AA18" s="4">
        <v>45.2</v>
      </c>
      <c r="AB18" s="4">
        <v>45.2</v>
      </c>
      <c r="AC18" s="4">
        <v>45.2</v>
      </c>
      <c r="AD18" s="4">
        <v>45.2</v>
      </c>
      <c r="AE18" s="4">
        <v>45.2</v>
      </c>
      <c r="AF18" s="4">
        <v>45.2</v>
      </c>
      <c r="AG18" s="4">
        <v>45.2</v>
      </c>
      <c r="AH18" s="4">
        <v>45.2</v>
      </c>
      <c r="AI18" s="4">
        <v>45.2</v>
      </c>
      <c r="AJ18" s="4">
        <v>45.2</v>
      </c>
      <c r="AK18" s="4">
        <v>45.2</v>
      </c>
      <c r="AL18" s="4">
        <v>45.2</v>
      </c>
      <c r="AM18" s="4">
        <v>45.2</v>
      </c>
      <c r="AN18" s="4">
        <v>45.2</v>
      </c>
      <c r="AO18" s="4">
        <v>45.2</v>
      </c>
      <c r="AP18" s="4">
        <v>45.2</v>
      </c>
      <c r="AQ18" s="4">
        <v>45.2</v>
      </c>
      <c r="AR18" s="4">
        <v>45.2</v>
      </c>
      <c r="AS18" s="4">
        <v>45.2</v>
      </c>
      <c r="AT18" s="4">
        <v>45.2</v>
      </c>
      <c r="AU18" s="4">
        <v>45.2</v>
      </c>
      <c r="AV18" s="4">
        <v>45.2</v>
      </c>
      <c r="AW18" s="4">
        <v>45.2</v>
      </c>
      <c r="AX18" s="4">
        <v>45.2</v>
      </c>
      <c r="AY18" s="4">
        <v>45.2</v>
      </c>
      <c r="AZ18" s="4">
        <v>45.2</v>
      </c>
      <c r="BA18" s="4">
        <v>45.2</v>
      </c>
      <c r="BB18" s="4">
        <v>45.2</v>
      </c>
      <c r="BC18" s="4">
        <v>45.2</v>
      </c>
      <c r="BD18" s="4">
        <v>45.2</v>
      </c>
      <c r="BE18" s="4">
        <v>45.2</v>
      </c>
      <c r="BF18" s="4">
        <v>45.2</v>
      </c>
      <c r="BG18" s="4">
        <v>45.2</v>
      </c>
      <c r="BH18" s="4">
        <v>45.2</v>
      </c>
      <c r="BI18" s="4">
        <v>45.2</v>
      </c>
      <c r="BJ18" s="4">
        <v>45.2</v>
      </c>
      <c r="BK18" s="4">
        <v>45.2</v>
      </c>
      <c r="BL18" s="4">
        <v>45.2</v>
      </c>
      <c r="BM18" s="4">
        <v>45.2</v>
      </c>
      <c r="BN18" s="4">
        <v>45.2</v>
      </c>
      <c r="BO18" s="4">
        <v>45.2</v>
      </c>
      <c r="BP18" s="4">
        <v>45.2</v>
      </c>
      <c r="BQ18" s="4">
        <v>45.2</v>
      </c>
      <c r="BR18" s="4">
        <v>45.2</v>
      </c>
      <c r="BS18" s="4">
        <v>45.2</v>
      </c>
      <c r="BT18" s="4">
        <v>45.2</v>
      </c>
      <c r="BU18" s="4">
        <v>45.2</v>
      </c>
      <c r="BV18" s="4">
        <v>45.2</v>
      </c>
      <c r="BW18" s="4">
        <v>45.2</v>
      </c>
      <c r="BX18" s="4">
        <v>45.2</v>
      </c>
      <c r="BY18" s="4">
        <v>45.2</v>
      </c>
      <c r="BZ18" s="4">
        <v>45.2</v>
      </c>
      <c r="CA18" s="4">
        <v>45.2</v>
      </c>
      <c r="CB18" s="4">
        <v>45.2</v>
      </c>
      <c r="CC18" s="4">
        <v>45.2</v>
      </c>
      <c r="CD18" s="4">
        <v>45.2</v>
      </c>
      <c r="CE18" s="4">
        <v>45.2</v>
      </c>
      <c r="CF18" s="4">
        <v>30.2</v>
      </c>
      <c r="CG18" s="4">
        <v>30.2</v>
      </c>
      <c r="CH18" s="4">
        <v>30.2</v>
      </c>
      <c r="CI18" s="184">
        <v>20.2</v>
      </c>
      <c r="CJ18" s="184">
        <v>20.2</v>
      </c>
      <c r="CK18" s="184">
        <v>20.2</v>
      </c>
      <c r="CL18" s="4">
        <v>30.2</v>
      </c>
      <c r="CM18" s="4">
        <v>30.2</v>
      </c>
      <c r="CN18" s="4">
        <v>30.2</v>
      </c>
      <c r="CO18" s="4">
        <v>25.2</v>
      </c>
      <c r="CP18" s="4">
        <v>25.2</v>
      </c>
      <c r="CQ18" s="4">
        <v>25.2</v>
      </c>
      <c r="CR18" s="4">
        <v>25.2</v>
      </c>
      <c r="CS18" s="4">
        <v>35.200000000000003</v>
      </c>
      <c r="CT18" s="4">
        <v>35.200000000000003</v>
      </c>
      <c r="CU18" s="4">
        <v>35.200000000000003</v>
      </c>
      <c r="CV18" s="4">
        <v>35.200000000000003</v>
      </c>
      <c r="CW18" s="4">
        <v>45.2</v>
      </c>
      <c r="CX18" s="4">
        <v>45.2</v>
      </c>
      <c r="CY18" s="4">
        <v>45.2</v>
      </c>
      <c r="CZ18" s="4">
        <v>45.2</v>
      </c>
      <c r="DA18" s="4">
        <v>45.2</v>
      </c>
      <c r="DB18" s="4">
        <v>45.2</v>
      </c>
      <c r="DC18" s="4">
        <v>45.2</v>
      </c>
      <c r="DD18" s="4">
        <v>45.2</v>
      </c>
      <c r="DE18" s="4">
        <v>45.2</v>
      </c>
      <c r="DF18" s="4">
        <v>45.2</v>
      </c>
      <c r="DG18" s="4">
        <v>45.2</v>
      </c>
      <c r="DH18" s="4">
        <v>45.2</v>
      </c>
      <c r="DI18" s="4">
        <v>45.2</v>
      </c>
      <c r="DJ18" s="4">
        <v>45.2</v>
      </c>
      <c r="DK18" s="4">
        <v>45.2</v>
      </c>
      <c r="DL18" s="4">
        <v>45.2</v>
      </c>
      <c r="DM18" s="4">
        <v>45.2</v>
      </c>
      <c r="DN18" s="4">
        <v>45.2</v>
      </c>
      <c r="DO18" s="4">
        <v>45.2</v>
      </c>
      <c r="DP18" s="4">
        <v>45.2</v>
      </c>
      <c r="DQ18" s="4">
        <v>45.2</v>
      </c>
      <c r="DR18" s="4">
        <v>45.2</v>
      </c>
      <c r="DS18" s="4">
        <v>45.2</v>
      </c>
      <c r="DT18" s="4">
        <v>45.2</v>
      </c>
      <c r="DU18" s="4">
        <v>45.2</v>
      </c>
      <c r="DV18" s="4">
        <v>45.2</v>
      </c>
      <c r="DW18" s="4">
        <v>45.2</v>
      </c>
      <c r="DX18" s="4">
        <v>45.2</v>
      </c>
      <c r="DY18" s="4">
        <v>45.2</v>
      </c>
      <c r="DZ18" s="4">
        <v>45.2</v>
      </c>
      <c r="EA18" s="4">
        <v>45.2</v>
      </c>
      <c r="EB18" s="4">
        <v>45.2</v>
      </c>
      <c r="EC18" s="4">
        <v>45.2</v>
      </c>
      <c r="ED18" s="4">
        <v>45.2</v>
      </c>
      <c r="EE18" s="4">
        <v>45.2</v>
      </c>
      <c r="EF18" s="4">
        <v>45.2</v>
      </c>
      <c r="EG18" s="4">
        <v>45.2</v>
      </c>
      <c r="EH18" s="4">
        <v>45.2</v>
      </c>
      <c r="EI18" s="4">
        <v>45.2</v>
      </c>
      <c r="EJ18" s="4">
        <v>45.2</v>
      </c>
      <c r="EK18" s="4">
        <v>45.2</v>
      </c>
      <c r="EL18" s="4">
        <v>45.2</v>
      </c>
      <c r="EM18" s="4">
        <v>45.2</v>
      </c>
      <c r="EN18" s="4">
        <v>45.2</v>
      </c>
      <c r="EO18" s="4">
        <v>45.2</v>
      </c>
      <c r="EP18" s="4">
        <v>45.2</v>
      </c>
      <c r="EQ18" s="4">
        <v>45.2</v>
      </c>
      <c r="ER18" s="4">
        <v>45.2</v>
      </c>
      <c r="ES18" s="4">
        <v>45.2</v>
      </c>
      <c r="ET18" s="4">
        <v>45.2</v>
      </c>
      <c r="EU18" s="4">
        <v>45.2</v>
      </c>
      <c r="EV18" s="4">
        <v>45.2</v>
      </c>
      <c r="EW18" s="4">
        <v>45.2</v>
      </c>
      <c r="EX18" s="4">
        <v>45.2</v>
      </c>
      <c r="EY18" s="4">
        <v>45.2</v>
      </c>
      <c r="EZ18" s="4">
        <v>45.2</v>
      </c>
      <c r="FA18" s="4">
        <v>45.2</v>
      </c>
      <c r="FB18" s="4">
        <v>45.2</v>
      </c>
      <c r="FC18" s="4">
        <v>45.2</v>
      </c>
      <c r="FD18" s="4">
        <v>45.2</v>
      </c>
    </row>
    <row r="19" spans="1:170" ht="16">
      <c r="A19" s="181" t="s">
        <v>60</v>
      </c>
      <c r="B19" s="173"/>
      <c r="C19" s="173"/>
      <c r="D19" s="173"/>
      <c r="E19" s="173"/>
      <c r="F19" s="173"/>
      <c r="G19" s="173"/>
      <c r="H19" s="173"/>
      <c r="I19" s="173"/>
      <c r="J19" s="173"/>
      <c r="K19" s="173"/>
      <c r="L19" s="173"/>
      <c r="M19" s="4">
        <v>17.920000000000002</v>
      </c>
      <c r="N19" s="4">
        <v>17.920000000000002</v>
      </c>
      <c r="O19" s="4">
        <v>17.920000000000002</v>
      </c>
      <c r="P19" s="4">
        <v>17.920000000000002</v>
      </c>
      <c r="Q19" s="4">
        <v>17.920000000000002</v>
      </c>
      <c r="R19" s="4">
        <v>17.920000000000002</v>
      </c>
      <c r="S19" s="4">
        <v>17.920000000000002</v>
      </c>
      <c r="T19" s="4">
        <v>17.920000000000002</v>
      </c>
      <c r="U19" s="4">
        <v>17.920000000000002</v>
      </c>
      <c r="V19" s="4">
        <v>17.920000000000002</v>
      </c>
      <c r="W19" s="4">
        <v>17.920000000000002</v>
      </c>
      <c r="X19" s="4">
        <v>17.920000000000002</v>
      </c>
      <c r="Y19" s="4">
        <v>17.920000000000002</v>
      </c>
      <c r="Z19" s="4">
        <v>17.920000000000002</v>
      </c>
      <c r="AA19" s="4">
        <v>17.920000000000002</v>
      </c>
      <c r="AB19" s="4">
        <v>17.920000000000002</v>
      </c>
      <c r="AC19" s="4">
        <v>17.920000000000002</v>
      </c>
      <c r="AD19" s="4">
        <v>17.920000000000002</v>
      </c>
      <c r="AE19" s="4">
        <v>17.920000000000002</v>
      </c>
      <c r="AF19" s="4">
        <v>17.920000000000002</v>
      </c>
      <c r="AG19" s="4">
        <v>17.920000000000002</v>
      </c>
      <c r="AH19" s="4">
        <v>17.920000000000002</v>
      </c>
      <c r="AI19" s="4">
        <v>17.920000000000002</v>
      </c>
      <c r="AJ19" s="4">
        <v>17.920000000000002</v>
      </c>
      <c r="AK19" s="4">
        <v>17.920000000000002</v>
      </c>
      <c r="AL19" s="4">
        <v>17.920000000000002</v>
      </c>
      <c r="AM19" s="4">
        <v>17.920000000000002</v>
      </c>
      <c r="AN19" s="4">
        <v>17.920000000000002</v>
      </c>
      <c r="AO19" s="4">
        <v>17.920000000000002</v>
      </c>
      <c r="AP19" s="4">
        <v>17.920000000000002</v>
      </c>
      <c r="AQ19" s="4">
        <v>17.920000000000002</v>
      </c>
      <c r="AR19" s="4">
        <v>17.920000000000002</v>
      </c>
      <c r="AS19" s="4">
        <v>17.920000000000002</v>
      </c>
      <c r="AT19" s="4">
        <v>17.920000000000002</v>
      </c>
      <c r="AU19" s="4">
        <v>17.920000000000002</v>
      </c>
      <c r="AV19" s="4">
        <v>17.920000000000002</v>
      </c>
      <c r="AW19" s="4">
        <v>17.920000000000002</v>
      </c>
      <c r="AX19" s="4">
        <v>17.920000000000002</v>
      </c>
      <c r="AY19" s="4">
        <v>17.920000000000002</v>
      </c>
      <c r="AZ19" s="4">
        <v>17.920000000000002</v>
      </c>
      <c r="BA19" s="4">
        <v>17.920000000000002</v>
      </c>
      <c r="BB19" s="4">
        <v>17.920000000000002</v>
      </c>
      <c r="BC19" s="4">
        <v>17.920000000000002</v>
      </c>
      <c r="BD19" s="4">
        <v>17.920000000000002</v>
      </c>
      <c r="BE19" s="4">
        <v>17.920000000000002</v>
      </c>
      <c r="BF19" s="4">
        <v>17.920000000000002</v>
      </c>
      <c r="BG19" s="4">
        <v>17.920000000000002</v>
      </c>
      <c r="BH19" s="4">
        <v>17.920000000000002</v>
      </c>
      <c r="BI19" s="4">
        <v>17.920000000000002</v>
      </c>
      <c r="BJ19" s="4">
        <v>17.920000000000002</v>
      </c>
      <c r="BK19" s="4">
        <v>17.920000000000002</v>
      </c>
      <c r="BL19" s="4">
        <v>17.920000000000002</v>
      </c>
      <c r="BM19" s="4">
        <v>17.920000000000002</v>
      </c>
      <c r="BN19" s="4">
        <v>17.920000000000002</v>
      </c>
      <c r="BO19" s="4">
        <v>17.920000000000002</v>
      </c>
      <c r="BP19" s="4">
        <v>17.920000000000002</v>
      </c>
      <c r="BQ19" s="4">
        <v>17.920000000000002</v>
      </c>
      <c r="BR19" s="4">
        <v>17.920000000000002</v>
      </c>
      <c r="BS19" s="4">
        <v>17.920000000000002</v>
      </c>
      <c r="BT19" s="4">
        <v>17.920000000000002</v>
      </c>
      <c r="BU19" s="4">
        <v>17.920000000000002</v>
      </c>
      <c r="BV19" s="4">
        <v>17.920000000000002</v>
      </c>
      <c r="BW19" s="4">
        <v>17.920000000000002</v>
      </c>
      <c r="BX19" s="4">
        <v>17.920000000000002</v>
      </c>
      <c r="BY19" s="4">
        <v>17.920000000000002</v>
      </c>
      <c r="BZ19" s="4">
        <v>17.920000000000002</v>
      </c>
      <c r="CA19" s="4">
        <v>17.920000000000002</v>
      </c>
      <c r="CB19" s="4">
        <v>17.920000000000002</v>
      </c>
      <c r="CC19" s="4">
        <v>17.920000000000002</v>
      </c>
      <c r="CD19" s="4">
        <v>17.920000000000002</v>
      </c>
      <c r="CE19" s="4">
        <v>17.920000000000002</v>
      </c>
      <c r="CF19" s="4">
        <v>17.920000000000002</v>
      </c>
      <c r="CG19" s="4">
        <v>17.920000000000002</v>
      </c>
      <c r="CH19" s="4">
        <v>17.920000000000002</v>
      </c>
      <c r="CI19" s="184">
        <v>17.920000000000002</v>
      </c>
      <c r="CJ19" s="184">
        <v>17.920000000000002</v>
      </c>
      <c r="CK19" s="184">
        <v>17.920000000000002</v>
      </c>
      <c r="CL19" s="4">
        <v>17.920000000000002</v>
      </c>
      <c r="CM19" s="4">
        <v>17.920000000000002</v>
      </c>
      <c r="CN19" s="4">
        <v>17.920000000000002</v>
      </c>
      <c r="CO19" s="4">
        <v>17.920000000000002</v>
      </c>
      <c r="CP19" s="4">
        <v>17.920000000000002</v>
      </c>
      <c r="CQ19" s="4">
        <v>17.920000000000002</v>
      </c>
      <c r="CR19" s="4">
        <v>17.920000000000002</v>
      </c>
      <c r="CS19" s="4">
        <v>17.920000000000002</v>
      </c>
      <c r="CT19" s="4">
        <v>17.920000000000002</v>
      </c>
      <c r="CU19" s="4">
        <v>17.920000000000002</v>
      </c>
      <c r="CV19" s="4">
        <v>17.920000000000002</v>
      </c>
      <c r="CW19" s="4">
        <v>17.920000000000002</v>
      </c>
      <c r="CX19" s="4">
        <v>17.920000000000002</v>
      </c>
      <c r="CY19" s="4">
        <v>17.920000000000002</v>
      </c>
      <c r="CZ19" s="4">
        <v>17.920000000000002</v>
      </c>
      <c r="DA19" s="4">
        <v>17.920000000000002</v>
      </c>
      <c r="DB19" s="4">
        <v>17.920000000000002</v>
      </c>
      <c r="DC19" s="4">
        <v>17.920000000000002</v>
      </c>
      <c r="DD19" s="4">
        <v>17.920000000000002</v>
      </c>
      <c r="DE19" s="4">
        <v>17.920000000000002</v>
      </c>
      <c r="DF19" s="4">
        <v>17.920000000000002</v>
      </c>
      <c r="DG19" s="4">
        <v>17.920000000000002</v>
      </c>
      <c r="DH19" s="4">
        <v>17.920000000000002</v>
      </c>
      <c r="DI19" s="4">
        <v>17.920000000000002</v>
      </c>
      <c r="DJ19" s="4">
        <v>17.920000000000002</v>
      </c>
      <c r="DK19" s="4">
        <v>17.920000000000002</v>
      </c>
      <c r="DL19" s="4">
        <v>17.920000000000002</v>
      </c>
      <c r="DM19" s="4">
        <v>17.920000000000002</v>
      </c>
      <c r="DN19" s="4">
        <v>17.920000000000002</v>
      </c>
      <c r="DO19" s="4">
        <v>17.920000000000002</v>
      </c>
      <c r="DP19" s="4">
        <v>17.920000000000002</v>
      </c>
      <c r="DQ19" s="4">
        <v>17.920000000000002</v>
      </c>
      <c r="DR19" s="4">
        <v>17.920000000000002</v>
      </c>
      <c r="DS19" s="4">
        <v>17.920000000000002</v>
      </c>
      <c r="DT19" s="4">
        <v>17.920000000000002</v>
      </c>
      <c r="DU19" s="4">
        <v>17.920000000000002</v>
      </c>
      <c r="DV19" s="4">
        <v>17.920000000000002</v>
      </c>
      <c r="DW19" s="4">
        <v>17.920000000000002</v>
      </c>
      <c r="DX19" s="4">
        <v>17.920000000000002</v>
      </c>
      <c r="DY19" s="4">
        <v>17.920000000000002</v>
      </c>
      <c r="DZ19" s="4">
        <v>17.920000000000002</v>
      </c>
      <c r="EA19" s="4">
        <v>17.920000000000002</v>
      </c>
      <c r="EB19" s="4">
        <v>17.920000000000002</v>
      </c>
      <c r="EC19" s="4">
        <v>17.920000000000002</v>
      </c>
      <c r="ED19" s="4">
        <v>17.920000000000002</v>
      </c>
      <c r="EE19" s="4">
        <v>17.920000000000002</v>
      </c>
      <c r="EF19" s="4">
        <v>17.920000000000002</v>
      </c>
      <c r="EG19" s="4">
        <v>17.920000000000002</v>
      </c>
      <c r="EH19" s="4">
        <v>17.920000000000002</v>
      </c>
      <c r="EI19" s="4">
        <v>17.920000000000002</v>
      </c>
      <c r="EJ19" s="4">
        <v>17.920000000000002</v>
      </c>
      <c r="EK19" s="4">
        <v>17.920000000000002</v>
      </c>
      <c r="EL19" s="4">
        <v>17.920000000000002</v>
      </c>
      <c r="EM19" s="4">
        <v>17.920000000000002</v>
      </c>
      <c r="EN19" s="4">
        <v>17.920000000000002</v>
      </c>
      <c r="EO19" s="4">
        <v>17.920000000000002</v>
      </c>
      <c r="EP19" s="4">
        <v>17.920000000000002</v>
      </c>
      <c r="EQ19" s="4">
        <v>17.920000000000002</v>
      </c>
      <c r="ER19" s="4">
        <v>17.920000000000002</v>
      </c>
      <c r="ES19" s="4">
        <v>17.920000000000002</v>
      </c>
      <c r="ET19" s="4">
        <v>17.920000000000002</v>
      </c>
      <c r="EU19" s="4">
        <v>17.920000000000002</v>
      </c>
      <c r="EV19" s="4">
        <v>17.920000000000002</v>
      </c>
      <c r="EW19" s="4">
        <v>17.920000000000002</v>
      </c>
      <c r="EX19" s="4">
        <v>17.920000000000002</v>
      </c>
      <c r="EY19" s="4">
        <v>17.920000000000002</v>
      </c>
      <c r="EZ19" s="4">
        <v>17.920000000000002</v>
      </c>
      <c r="FA19" s="4">
        <v>17.920000000000002</v>
      </c>
      <c r="FB19" s="4">
        <v>17.920000000000002</v>
      </c>
      <c r="FC19" s="4">
        <v>17.920000000000002</v>
      </c>
      <c r="FD19" s="4">
        <v>17.920000000000002</v>
      </c>
    </row>
    <row r="20" spans="1:170" ht="16">
      <c r="A20" s="182" t="s">
        <v>61</v>
      </c>
      <c r="B20" s="173"/>
      <c r="C20" s="173"/>
      <c r="D20" s="173"/>
      <c r="E20" s="173"/>
      <c r="F20" s="173"/>
      <c r="G20" s="173"/>
      <c r="H20" s="173"/>
      <c r="I20" s="173"/>
      <c r="J20" s="173"/>
      <c r="K20" s="173"/>
      <c r="L20" s="173"/>
      <c r="M20" s="4">
        <v>17.920000000000002</v>
      </c>
      <c r="N20" s="4">
        <v>17.920000000000002</v>
      </c>
      <c r="O20" s="4">
        <v>17.920000000000002</v>
      </c>
      <c r="P20" s="4">
        <v>17.920000000000002</v>
      </c>
      <c r="Q20" s="4">
        <v>17.920000000000002</v>
      </c>
      <c r="R20" s="4">
        <v>17.920000000000002</v>
      </c>
      <c r="S20" s="4">
        <v>17.920000000000002</v>
      </c>
      <c r="T20" s="4">
        <v>17.920000000000002</v>
      </c>
      <c r="U20" s="4">
        <v>17.920000000000002</v>
      </c>
      <c r="V20" s="4">
        <v>17.920000000000002</v>
      </c>
      <c r="W20" s="4">
        <v>17.920000000000002</v>
      </c>
      <c r="X20" s="4">
        <v>17.920000000000002</v>
      </c>
      <c r="Y20" s="4">
        <v>17.920000000000002</v>
      </c>
      <c r="Z20" s="4">
        <v>17.920000000000002</v>
      </c>
      <c r="AA20" s="4">
        <v>17.920000000000002</v>
      </c>
      <c r="AB20" s="4">
        <v>17.920000000000002</v>
      </c>
      <c r="AC20" s="4">
        <v>17.920000000000002</v>
      </c>
      <c r="AD20" s="4">
        <v>17.920000000000002</v>
      </c>
      <c r="AE20" s="4">
        <v>17.920000000000002</v>
      </c>
      <c r="AF20" s="4">
        <v>17.920000000000002</v>
      </c>
      <c r="AG20" s="4">
        <v>17.920000000000002</v>
      </c>
      <c r="AH20" s="4">
        <v>17.920000000000002</v>
      </c>
      <c r="AI20" s="4">
        <v>17.920000000000002</v>
      </c>
      <c r="AJ20" s="4">
        <v>17.920000000000002</v>
      </c>
      <c r="AK20" s="4">
        <v>17.920000000000002</v>
      </c>
      <c r="AL20" s="4">
        <v>17.920000000000002</v>
      </c>
      <c r="AM20" s="4">
        <v>17.920000000000002</v>
      </c>
      <c r="AN20" s="4">
        <v>17.920000000000002</v>
      </c>
      <c r="AO20" s="4">
        <v>17.920000000000002</v>
      </c>
      <c r="AP20" s="4">
        <v>17.920000000000002</v>
      </c>
      <c r="AQ20" s="4">
        <v>17.920000000000002</v>
      </c>
      <c r="AR20" s="4">
        <v>17.920000000000002</v>
      </c>
      <c r="AS20" s="4">
        <v>17.920000000000002</v>
      </c>
      <c r="AT20" s="4">
        <v>17.920000000000002</v>
      </c>
      <c r="AU20" s="4">
        <v>17.920000000000002</v>
      </c>
      <c r="AV20" s="4">
        <v>17.920000000000002</v>
      </c>
      <c r="AW20" s="4">
        <v>17.920000000000002</v>
      </c>
      <c r="AX20" s="4">
        <v>17.920000000000002</v>
      </c>
      <c r="AY20" s="4">
        <v>17.920000000000002</v>
      </c>
      <c r="AZ20" s="4">
        <v>17.920000000000002</v>
      </c>
      <c r="BA20" s="4">
        <v>17.920000000000002</v>
      </c>
      <c r="BB20" s="4">
        <v>17.920000000000002</v>
      </c>
      <c r="BC20" s="4">
        <v>17.920000000000002</v>
      </c>
      <c r="BD20" s="4">
        <v>17.920000000000002</v>
      </c>
      <c r="BE20" s="4">
        <v>17.920000000000002</v>
      </c>
      <c r="BF20" s="4">
        <v>17.920000000000002</v>
      </c>
      <c r="BG20" s="4">
        <v>17.920000000000002</v>
      </c>
      <c r="BH20" s="4">
        <v>17.920000000000002</v>
      </c>
      <c r="BI20" s="4">
        <v>17.920000000000002</v>
      </c>
      <c r="BJ20" s="4">
        <v>17.920000000000002</v>
      </c>
      <c r="BK20" s="4">
        <v>17.920000000000002</v>
      </c>
      <c r="BL20" s="4">
        <v>17.920000000000002</v>
      </c>
      <c r="BM20" s="4">
        <v>17.920000000000002</v>
      </c>
      <c r="BN20" s="4">
        <v>17.920000000000002</v>
      </c>
      <c r="BO20" s="4">
        <v>17.920000000000002</v>
      </c>
      <c r="BP20" s="4">
        <v>17.920000000000002</v>
      </c>
      <c r="BQ20" s="4">
        <v>17.920000000000002</v>
      </c>
      <c r="BR20" s="4">
        <v>17.920000000000002</v>
      </c>
      <c r="BS20" s="4">
        <v>17.920000000000002</v>
      </c>
      <c r="BT20" s="4">
        <v>17.920000000000002</v>
      </c>
      <c r="BU20" s="4">
        <v>17.920000000000002</v>
      </c>
      <c r="BV20" s="4">
        <v>17.920000000000002</v>
      </c>
      <c r="BW20" s="4">
        <v>17.920000000000002</v>
      </c>
      <c r="BX20" s="4">
        <v>17.920000000000002</v>
      </c>
      <c r="BY20" s="4">
        <v>17.920000000000002</v>
      </c>
      <c r="BZ20" s="4">
        <v>17.920000000000002</v>
      </c>
      <c r="CA20" s="4">
        <v>17.920000000000002</v>
      </c>
      <c r="CB20" s="4">
        <v>17.920000000000002</v>
      </c>
      <c r="CC20" s="4">
        <v>17.920000000000002</v>
      </c>
      <c r="CD20" s="4">
        <v>17.920000000000002</v>
      </c>
      <c r="CE20" s="4">
        <v>17.920000000000002</v>
      </c>
      <c r="CF20" s="4">
        <v>17.920000000000002</v>
      </c>
      <c r="CG20" s="4">
        <v>17.920000000000002</v>
      </c>
      <c r="CH20" s="4">
        <v>17.920000000000002</v>
      </c>
      <c r="CI20" s="184">
        <v>17.920000000000002</v>
      </c>
      <c r="CJ20" s="184">
        <v>17.920000000000002</v>
      </c>
      <c r="CK20" s="184">
        <v>17.920000000000002</v>
      </c>
      <c r="CL20" s="4">
        <v>17.920000000000002</v>
      </c>
      <c r="CM20" s="4">
        <v>17.920000000000002</v>
      </c>
      <c r="CN20" s="4">
        <v>17.920000000000002</v>
      </c>
      <c r="CO20" s="4">
        <v>17.920000000000002</v>
      </c>
      <c r="CP20" s="4">
        <v>17.920000000000002</v>
      </c>
      <c r="CQ20" s="4">
        <v>17.920000000000002</v>
      </c>
      <c r="CR20" s="4">
        <v>17.920000000000002</v>
      </c>
      <c r="CS20" s="4">
        <v>17.920000000000002</v>
      </c>
      <c r="CT20" s="4">
        <v>17.920000000000002</v>
      </c>
      <c r="CU20" s="4">
        <v>17.920000000000002</v>
      </c>
      <c r="CV20" s="4">
        <v>17.920000000000002</v>
      </c>
      <c r="CW20" s="4">
        <v>17.920000000000002</v>
      </c>
      <c r="CX20" s="4">
        <v>17.920000000000002</v>
      </c>
      <c r="CY20" s="4">
        <v>17.920000000000002</v>
      </c>
      <c r="CZ20" s="4">
        <v>17.920000000000002</v>
      </c>
      <c r="DA20" s="4">
        <v>17.920000000000002</v>
      </c>
      <c r="DB20" s="4">
        <v>17.920000000000002</v>
      </c>
      <c r="DC20" s="4">
        <v>17.920000000000002</v>
      </c>
      <c r="DD20" s="4">
        <v>17.920000000000002</v>
      </c>
      <c r="DE20" s="4">
        <v>17.920000000000002</v>
      </c>
      <c r="DF20" s="4">
        <v>17.920000000000002</v>
      </c>
      <c r="DG20" s="4">
        <v>17.920000000000002</v>
      </c>
      <c r="DH20" s="4">
        <v>17.920000000000002</v>
      </c>
      <c r="DI20" s="4">
        <v>17.920000000000002</v>
      </c>
      <c r="DJ20" s="4">
        <v>17.920000000000002</v>
      </c>
      <c r="DK20" s="4">
        <v>17.920000000000002</v>
      </c>
      <c r="DL20" s="4">
        <v>17.920000000000002</v>
      </c>
      <c r="DM20" s="4">
        <v>17.920000000000002</v>
      </c>
      <c r="DN20" s="4">
        <v>17.920000000000002</v>
      </c>
      <c r="DO20" s="4">
        <v>17.920000000000002</v>
      </c>
      <c r="DP20" s="4">
        <v>17.920000000000002</v>
      </c>
      <c r="DQ20" s="4">
        <v>17.920000000000002</v>
      </c>
      <c r="DR20" s="4">
        <v>17.920000000000002</v>
      </c>
      <c r="DS20" s="4">
        <v>17.920000000000002</v>
      </c>
      <c r="DT20" s="4">
        <v>17.920000000000002</v>
      </c>
      <c r="DU20" s="4">
        <v>17.920000000000002</v>
      </c>
      <c r="DV20" s="4">
        <v>17.920000000000002</v>
      </c>
      <c r="DW20" s="4">
        <v>17.920000000000002</v>
      </c>
      <c r="DX20" s="4">
        <v>17.920000000000002</v>
      </c>
      <c r="DY20" s="4">
        <v>17.920000000000002</v>
      </c>
      <c r="DZ20" s="4">
        <v>17.920000000000002</v>
      </c>
      <c r="EA20" s="4">
        <v>17.920000000000002</v>
      </c>
      <c r="EB20" s="4">
        <v>17.920000000000002</v>
      </c>
      <c r="EC20" s="4">
        <v>17.920000000000002</v>
      </c>
      <c r="ED20" s="4">
        <v>17.920000000000002</v>
      </c>
      <c r="EE20" s="4">
        <v>17.920000000000002</v>
      </c>
      <c r="EF20" s="4">
        <v>17.920000000000002</v>
      </c>
      <c r="EG20" s="4">
        <v>17.920000000000002</v>
      </c>
      <c r="EH20" s="4">
        <v>17.920000000000002</v>
      </c>
      <c r="EI20" s="4">
        <v>17.920000000000002</v>
      </c>
      <c r="EJ20" s="4">
        <v>17.920000000000002</v>
      </c>
      <c r="EK20" s="4">
        <v>17.920000000000002</v>
      </c>
      <c r="EL20" s="4">
        <v>17.920000000000002</v>
      </c>
      <c r="EM20" s="4">
        <v>17.920000000000002</v>
      </c>
      <c r="EN20" s="4">
        <v>17.920000000000002</v>
      </c>
      <c r="EO20" s="4">
        <v>17.920000000000002</v>
      </c>
      <c r="EP20" s="4">
        <v>17.920000000000002</v>
      </c>
      <c r="EQ20" s="4">
        <v>17.920000000000002</v>
      </c>
      <c r="ER20" s="4">
        <v>17.920000000000002</v>
      </c>
      <c r="ES20" s="4">
        <v>17.920000000000002</v>
      </c>
      <c r="ET20" s="4">
        <v>17.920000000000002</v>
      </c>
      <c r="EU20" s="4">
        <v>17.920000000000002</v>
      </c>
      <c r="EV20" s="4">
        <v>17.920000000000002</v>
      </c>
      <c r="EW20" s="4">
        <v>17.920000000000002</v>
      </c>
      <c r="EX20" s="4">
        <v>17.920000000000002</v>
      </c>
      <c r="EY20" s="4">
        <v>17.920000000000002</v>
      </c>
      <c r="EZ20" s="4">
        <v>17.920000000000002</v>
      </c>
      <c r="FA20" s="4">
        <v>17.920000000000002</v>
      </c>
      <c r="FB20" s="4">
        <v>17.920000000000002</v>
      </c>
      <c r="FC20" s="4">
        <v>17.920000000000002</v>
      </c>
      <c r="FD20" s="4">
        <v>17.920000000000002</v>
      </c>
    </row>
    <row r="21" spans="1:170" ht="16">
      <c r="A21" s="183" t="s">
        <v>62</v>
      </c>
      <c r="B21" s="173"/>
      <c r="C21" s="173"/>
      <c r="D21" s="173"/>
      <c r="E21" s="173"/>
      <c r="F21" s="173"/>
      <c r="G21" s="173"/>
      <c r="H21" s="173"/>
      <c r="I21" s="173"/>
      <c r="J21" s="173"/>
      <c r="K21" s="173"/>
      <c r="L21" s="173"/>
      <c r="M21" s="4">
        <v>1.82</v>
      </c>
      <c r="N21" s="4">
        <v>1.82</v>
      </c>
      <c r="O21" s="4">
        <v>1.82</v>
      </c>
      <c r="P21" s="4">
        <v>2.2000000000000002</v>
      </c>
      <c r="Q21" s="4">
        <v>2.2000000000000002</v>
      </c>
      <c r="R21" s="4">
        <v>2.2000000000000002</v>
      </c>
      <c r="S21" s="4">
        <v>2.2000000000000002</v>
      </c>
      <c r="T21" s="4">
        <v>2.8</v>
      </c>
      <c r="U21" s="4">
        <v>2.8</v>
      </c>
      <c r="V21" s="4">
        <v>2.8</v>
      </c>
      <c r="W21" s="4">
        <v>2.8</v>
      </c>
      <c r="X21" s="4">
        <v>3.4</v>
      </c>
      <c r="Y21" s="4">
        <v>3.4</v>
      </c>
      <c r="Z21" s="4">
        <v>3.4</v>
      </c>
      <c r="AA21" s="4">
        <v>3.4</v>
      </c>
      <c r="AB21" s="4">
        <v>3.4</v>
      </c>
      <c r="AC21" s="4">
        <v>3.4</v>
      </c>
      <c r="AD21" s="4">
        <v>3.4</v>
      </c>
      <c r="AE21" s="4">
        <v>3.4</v>
      </c>
      <c r="AF21" s="4">
        <v>3.4</v>
      </c>
      <c r="AG21" s="4">
        <v>3.4</v>
      </c>
      <c r="AH21" s="4">
        <v>3.4</v>
      </c>
      <c r="AI21" s="4">
        <v>3.4</v>
      </c>
      <c r="AJ21" s="4">
        <v>3.4</v>
      </c>
      <c r="AK21" s="4">
        <v>3.4</v>
      </c>
      <c r="AL21" s="4">
        <v>3.4</v>
      </c>
      <c r="AM21" s="4">
        <v>3.4</v>
      </c>
      <c r="AN21" s="4">
        <v>3.4</v>
      </c>
      <c r="AO21" s="4">
        <v>3.4</v>
      </c>
      <c r="AP21" s="4">
        <v>3.4</v>
      </c>
      <c r="AQ21" s="4">
        <v>3.4</v>
      </c>
      <c r="AR21" s="4">
        <v>3.4</v>
      </c>
      <c r="AS21" s="4">
        <v>3.4</v>
      </c>
      <c r="AT21" s="4">
        <v>3.4</v>
      </c>
      <c r="AU21" s="4">
        <v>3.4</v>
      </c>
      <c r="AV21" s="4">
        <v>3.4</v>
      </c>
      <c r="AW21" s="4">
        <v>3.4</v>
      </c>
      <c r="AX21" s="4">
        <v>3.4</v>
      </c>
      <c r="AY21" s="4">
        <v>3.4</v>
      </c>
      <c r="AZ21" s="4">
        <v>3.4</v>
      </c>
      <c r="BA21" s="4">
        <v>3.4</v>
      </c>
      <c r="BB21" s="4">
        <v>3.4</v>
      </c>
      <c r="BC21" s="4">
        <v>3.4</v>
      </c>
      <c r="BD21" s="4">
        <v>3.4</v>
      </c>
      <c r="BE21" s="4">
        <v>3.4</v>
      </c>
      <c r="BF21" s="4">
        <v>3.4</v>
      </c>
      <c r="BG21" s="4">
        <v>3.4</v>
      </c>
      <c r="BH21" s="4">
        <v>3.4</v>
      </c>
      <c r="BI21" s="4">
        <v>3.4</v>
      </c>
      <c r="BJ21" s="4">
        <v>3.4</v>
      </c>
      <c r="BK21" s="4">
        <v>3.4</v>
      </c>
      <c r="BL21" s="4">
        <v>3.4</v>
      </c>
      <c r="BM21" s="4">
        <v>3.4</v>
      </c>
      <c r="BN21" s="4">
        <v>3.4</v>
      </c>
      <c r="BO21" s="4">
        <v>3.4</v>
      </c>
      <c r="BP21" s="4">
        <v>3.4</v>
      </c>
      <c r="BQ21" s="4">
        <v>3.4</v>
      </c>
      <c r="BR21" s="4">
        <v>3.4</v>
      </c>
      <c r="BS21" s="4">
        <v>3.4</v>
      </c>
      <c r="BT21" s="4">
        <v>3.4</v>
      </c>
      <c r="BU21" s="4">
        <v>3.4</v>
      </c>
      <c r="BV21" s="4">
        <v>3.4</v>
      </c>
      <c r="BW21" s="4">
        <v>3.4</v>
      </c>
      <c r="BX21" s="4">
        <v>3.4</v>
      </c>
      <c r="BY21" s="4">
        <v>3.4</v>
      </c>
      <c r="BZ21" s="4">
        <v>3.4</v>
      </c>
      <c r="CA21" s="4">
        <v>3.4</v>
      </c>
      <c r="CB21" s="4">
        <v>3.4</v>
      </c>
      <c r="CC21" s="4">
        <v>3.4</v>
      </c>
      <c r="CD21" s="4">
        <v>3.4</v>
      </c>
      <c r="CE21" s="4">
        <v>3.4</v>
      </c>
      <c r="CF21" s="4">
        <v>2.5</v>
      </c>
      <c r="CG21" s="4">
        <v>2.5</v>
      </c>
      <c r="CH21" s="4">
        <v>2.5</v>
      </c>
      <c r="CI21" s="184">
        <v>1.82</v>
      </c>
      <c r="CJ21" s="184">
        <v>1.82</v>
      </c>
      <c r="CK21" s="184">
        <v>1.82</v>
      </c>
      <c r="CL21" s="4">
        <v>2.5</v>
      </c>
      <c r="CM21" s="4">
        <v>2.5</v>
      </c>
      <c r="CN21" s="4">
        <v>2.5</v>
      </c>
      <c r="CO21" s="4">
        <v>2.2000000000000002</v>
      </c>
      <c r="CP21" s="4">
        <v>2.2000000000000002</v>
      </c>
      <c r="CQ21" s="4">
        <v>2.2000000000000002</v>
      </c>
      <c r="CR21" s="4">
        <v>2.2000000000000002</v>
      </c>
      <c r="CS21" s="4">
        <v>2.8</v>
      </c>
      <c r="CT21" s="4">
        <v>2.8</v>
      </c>
      <c r="CU21" s="4">
        <v>2.8</v>
      </c>
      <c r="CV21" s="4">
        <v>2.8</v>
      </c>
      <c r="CW21" s="4">
        <v>3.4</v>
      </c>
      <c r="CX21" s="4">
        <v>3.4</v>
      </c>
      <c r="CY21" s="4">
        <v>3.4</v>
      </c>
      <c r="CZ21" s="4">
        <v>3.4</v>
      </c>
      <c r="DA21" s="4">
        <v>3.4</v>
      </c>
      <c r="DB21" s="4">
        <v>3.4</v>
      </c>
      <c r="DC21" s="4">
        <v>3.4</v>
      </c>
      <c r="DD21" s="4">
        <v>3.4</v>
      </c>
      <c r="DE21" s="4">
        <v>3.4</v>
      </c>
      <c r="DF21" s="4">
        <v>3.4</v>
      </c>
      <c r="DG21" s="4">
        <v>3.4</v>
      </c>
      <c r="DH21" s="4">
        <v>3.4</v>
      </c>
      <c r="DI21" s="4">
        <v>3.4</v>
      </c>
      <c r="DJ21" s="4">
        <v>3.4</v>
      </c>
      <c r="DK21" s="4">
        <v>3.4</v>
      </c>
      <c r="DL21" s="4">
        <v>3.4</v>
      </c>
      <c r="DM21" s="4">
        <v>3.4</v>
      </c>
      <c r="DN21" s="4">
        <v>3.4</v>
      </c>
      <c r="DO21" s="4">
        <v>3.4</v>
      </c>
      <c r="DP21" s="4">
        <v>3.4</v>
      </c>
      <c r="DQ21" s="4">
        <v>3.4</v>
      </c>
      <c r="DR21" s="4">
        <v>3.4</v>
      </c>
      <c r="DS21" s="4">
        <v>3.4</v>
      </c>
      <c r="DT21" s="4">
        <v>3.4</v>
      </c>
      <c r="DU21" s="4">
        <v>3.4</v>
      </c>
      <c r="DV21" s="4">
        <v>3.4</v>
      </c>
      <c r="DW21" s="4">
        <v>3.4</v>
      </c>
      <c r="DX21" s="4">
        <v>3.4</v>
      </c>
      <c r="DY21" s="4">
        <v>3.4</v>
      </c>
      <c r="DZ21" s="4">
        <v>3.4</v>
      </c>
      <c r="EA21" s="4">
        <v>3.4</v>
      </c>
      <c r="EB21" s="4">
        <v>3.4</v>
      </c>
      <c r="EC21" s="4">
        <v>3.4</v>
      </c>
      <c r="ED21" s="4">
        <v>3.4</v>
      </c>
      <c r="EE21" s="4">
        <v>3.4</v>
      </c>
      <c r="EF21" s="4">
        <v>3.4</v>
      </c>
      <c r="EG21" s="4">
        <v>3.4</v>
      </c>
      <c r="EH21" s="4">
        <v>3.4</v>
      </c>
      <c r="EI21" s="4">
        <v>3.4</v>
      </c>
      <c r="EJ21" s="4">
        <v>3.4</v>
      </c>
      <c r="EK21" s="4">
        <v>3.4</v>
      </c>
      <c r="EL21" s="4">
        <v>3.4</v>
      </c>
      <c r="EM21" s="4">
        <v>3.4</v>
      </c>
      <c r="EN21" s="4">
        <v>3.4</v>
      </c>
      <c r="EO21" s="4">
        <v>3.4</v>
      </c>
      <c r="EP21" s="4">
        <v>3.4</v>
      </c>
      <c r="EQ21" s="4">
        <v>3.4</v>
      </c>
      <c r="ER21" s="4">
        <v>3.4</v>
      </c>
      <c r="ES21" s="4">
        <v>3.4</v>
      </c>
      <c r="ET21" s="4">
        <v>3.4</v>
      </c>
      <c r="EU21" s="4">
        <v>3.4</v>
      </c>
      <c r="EV21" s="4">
        <v>3.4</v>
      </c>
      <c r="EW21" s="4">
        <v>3.4</v>
      </c>
      <c r="EX21" s="4">
        <v>3.4</v>
      </c>
      <c r="EY21" s="4">
        <v>3.4</v>
      </c>
      <c r="EZ21" s="4">
        <v>3.4</v>
      </c>
      <c r="FA21" s="4">
        <v>3.4</v>
      </c>
      <c r="FB21" s="4">
        <v>3.4</v>
      </c>
      <c r="FC21" s="4">
        <v>3.4</v>
      </c>
      <c r="FD21" s="4">
        <v>3.4</v>
      </c>
    </row>
    <row r="22" spans="1:170" ht="8" customHeight="1">
      <c r="A22" s="177" t="s">
        <v>4</v>
      </c>
      <c r="B22" s="173"/>
      <c r="C22" s="173"/>
      <c r="D22" s="173"/>
      <c r="E22" s="173"/>
      <c r="F22" s="173"/>
      <c r="G22" s="173"/>
      <c r="H22" s="173"/>
      <c r="I22" s="173"/>
      <c r="J22" s="173"/>
      <c r="K22" s="173"/>
      <c r="L22" s="173"/>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c r="CR22" s="178"/>
      <c r="CS22" s="178"/>
      <c r="CT22" s="178"/>
      <c r="CU22" s="178"/>
      <c r="CV22" s="178"/>
      <c r="CW22" s="178"/>
      <c r="CX22" s="178"/>
      <c r="CY22" s="178"/>
      <c r="CZ22" s="178"/>
      <c r="DA22" s="178"/>
      <c r="DB22" s="178"/>
      <c r="DC22" s="178"/>
      <c r="DD22" s="178"/>
      <c r="DE22" s="178"/>
      <c r="DF22" s="178"/>
      <c r="DG22" s="178"/>
      <c r="DH22" s="178"/>
      <c r="DI22" s="178"/>
      <c r="DJ22" s="178"/>
      <c r="DK22" s="178"/>
      <c r="DL22" s="178"/>
      <c r="DM22" s="178"/>
      <c r="DN22" s="178"/>
      <c r="DO22" s="178"/>
      <c r="DP22" s="178"/>
      <c r="DQ22" s="178"/>
      <c r="DR22" s="178"/>
      <c r="DS22" s="178"/>
      <c r="DT22" s="178"/>
      <c r="DU22" s="178"/>
      <c r="DV22" s="178"/>
      <c r="DW22" s="178"/>
      <c r="DX22" s="178"/>
      <c r="DY22" s="178"/>
      <c r="DZ22" s="178"/>
      <c r="EA22" s="178"/>
      <c r="EB22" s="178"/>
      <c r="EC22" s="178"/>
      <c r="ED22" s="178"/>
      <c r="EE22" s="178"/>
      <c r="EF22" s="178"/>
      <c r="EG22" s="178"/>
      <c r="EH22" s="178"/>
      <c r="EI22" s="178"/>
      <c r="EJ22" s="178"/>
      <c r="EK22" s="178"/>
      <c r="EL22" s="178"/>
      <c r="EM22" s="178"/>
      <c r="EN22" s="178"/>
      <c r="EO22" s="178"/>
      <c r="EP22" s="178"/>
      <c r="EQ22" s="178"/>
      <c r="ER22" s="178"/>
      <c r="ES22" s="178"/>
      <c r="ET22" s="178"/>
      <c r="EU22" s="178"/>
      <c r="EV22" s="178"/>
      <c r="EW22" s="178"/>
      <c r="EX22" s="178"/>
      <c r="EY22" s="178"/>
      <c r="EZ22" s="178"/>
      <c r="FA22" s="178"/>
      <c r="FB22" s="178"/>
      <c r="FC22" s="178"/>
      <c r="FD22" s="178"/>
      <c r="FE22" s="178"/>
      <c r="FF22" s="178"/>
      <c r="FG22" s="178"/>
      <c r="FH22" s="178"/>
      <c r="FI22" s="178"/>
      <c r="FJ22" s="178"/>
      <c r="FK22" s="178"/>
      <c r="FL22" s="178"/>
      <c r="FM22" s="178"/>
      <c r="FN22" s="178"/>
    </row>
  </sheetData>
  <sheetProtection password="DFB5" sheet="1" objects="1" scenarios="1" formatCells="0" formatColumns="0" formatRows="0"/>
  <mergeCells count="12">
    <mergeCell ref="A21:L21"/>
    <mergeCell ref="A22:FN22"/>
    <mergeCell ref="A16:FN16"/>
    <mergeCell ref="A17:L17"/>
    <mergeCell ref="A18:L18"/>
    <mergeCell ref="A19:L19"/>
    <mergeCell ref="A20:L20"/>
    <mergeCell ref="A1:L1"/>
    <mergeCell ref="A2:C2"/>
    <mergeCell ref="A3:C3"/>
    <mergeCell ref="I3:L3"/>
    <mergeCell ref="A4:L4"/>
  </mergeCells>
  <conditionalFormatting sqref="K6">
    <cfRule type="expression" dxfId="9" priority="1">
      <formula>OR((J6 &lt;&gt; K6), (INT(J6) &lt;&gt; J6))</formula>
    </cfRule>
  </conditionalFormatting>
  <conditionalFormatting sqref="K7">
    <cfRule type="expression" dxfId="8" priority="2">
      <formula>OR((J7 &lt;&gt; K7), (INT(J7) &lt;&gt; J7))</formula>
    </cfRule>
  </conditionalFormatting>
  <conditionalFormatting sqref="K8">
    <cfRule type="expression" dxfId="7" priority="3">
      <formula>OR((J8 &lt;&gt; K8), (INT(J8) &lt;&gt; J8))</formula>
    </cfRule>
  </conditionalFormatting>
  <conditionalFormatting sqref="K9">
    <cfRule type="expression" dxfId="6" priority="4">
      <formula>OR((J9 &lt;&gt; K9), (INT(J9) &lt;&gt; J9))</formula>
    </cfRule>
  </conditionalFormatting>
  <conditionalFormatting sqref="K10">
    <cfRule type="expression" dxfId="5" priority="5">
      <formula>OR((J10 &lt;&gt; K10), (INT(J10) &lt;&gt; J10))</formula>
    </cfRule>
  </conditionalFormatting>
  <conditionalFormatting sqref="K11">
    <cfRule type="expression" dxfId="4" priority="6">
      <formula>OR((J11 &lt;&gt; K11), (INT(J11) &lt;&gt; J11))</formula>
    </cfRule>
  </conditionalFormatting>
  <conditionalFormatting sqref="K12">
    <cfRule type="expression" dxfId="3" priority="7">
      <formula>OR((J12 &lt;&gt; K12), (INT(J12) &lt;&gt; J12))</formula>
    </cfRule>
  </conditionalFormatting>
  <conditionalFormatting sqref="K13">
    <cfRule type="expression" dxfId="2" priority="8">
      <formula>OR((J13 &lt;&gt; K13), (INT(J13) &lt;&gt; J13))</formula>
    </cfRule>
  </conditionalFormatting>
  <conditionalFormatting sqref="K14">
    <cfRule type="expression" dxfId="1" priority="9">
      <formula>OR((J14 &lt;&gt; K14), (INT(J14) &lt;&gt; J14))</formula>
    </cfRule>
  </conditionalFormatting>
  <conditionalFormatting sqref="K15">
    <cfRule type="expression" dxfId="0" priority="10">
      <formula>OR((J15 &lt;&gt; K15), (INT(J15) &lt;&gt; J15))</formula>
    </cfRule>
  </conditionalFormatting>
  <dataValidations count="3">
    <dataValidation type="whole" allowBlank="1" showErrorMessage="1" errorTitle="Validation error" error="Enter a whole number between 1 and 158" sqref="M3" xr:uid="{00000000-0002-0000-0000-000000000000}">
      <formula1>1</formula1>
      <formula2>158</formula2>
    </dataValidation>
    <dataValidation type="whole" operator="greaterThanOrEqual" allowBlank="1" showErrorMessage="1" errorTitle="Validation error" error="Enter a whole number greater than or equal to 0" sqref="M6:M16 N6:N16 O6:O16 P6:P16 Q6:Q16 R6:R16 S6:S16 T6:T16 U6:U16 V6:V16 W6:W16 X6:X16 Y6:Y16 Z6:Z16 AA6:AA16 AB6:AB16 AC6:AC16 AD6:AD16 AE6:AE16 AF6:AF16 AG6:AG16 AH6:AH16 AI6:AI16 AJ6:AJ16 AK6:AK16 AL6:AL16 AM6:AM16 AN6:AN16 AO6:AO16 AP6:AP16 AQ6:AQ16 AR6:AR16 AS6:AS16 AT6:AT16 AU6:AU16 AV6:AV16 AW6:AW16 AX6:AX16 AY6:AY16 AZ6:AZ16 BA6:BA16 BB6:BB16 BC6:BC16 BD6:BD16 BE6:BE16 BF6:BF16 BG6:BG16 BH6:BH16 BI6:BI16 BJ6:BJ16 BK6:BK16 BL6:BL16 BM6:BM16 BN6:BN16 BO6:BO16 BP6:BP16 BQ6:BQ16 BR6:BR16 BS6:BS16 BT6:BT16 BU6:BU16 BV6:BV16 BW6:BW16 BX6:BX16 BY6:BY16 BZ6:BZ16 CA6:CA16 CB6:CB16 CC6:CC16 CD6:CD16 CE6:CE16 CF6:CF16 CG6:CG16 CH6:CH16 CI6:CI16 CJ6:CJ16 CK6:CK16 CL6:CL16 CM6:CM16 CN6:CN16 CO6:CO16 CP6:CP16 CQ6:CQ16 CR6:CR16 CS6:CS16 CT6:CT16 CU6:CU16 CV6:CV16 CW6:CW16 CX6:CX16 CY6:CY16 CZ6:CZ16 DA6:DA16 DB6:DB16 DC6:DC16 DD6:DD16 DE6:DE16 DF6:DF16 DG6:DG16 DH6:DH16 DI6:DI16 DJ6:DJ16 DK6:DK16 DL6:DL16 DM6:DM16 DN6:DN16 DO6:DO16 DP6:DP16 DQ6:DQ16 DR6:DR16 DS6:DS16 DT6:DT16 DU6:DU16 DV6:DV16 DW6:DW16 DX6:DX16 DY6:DY16 DZ6:DZ16 EA6:EA16 EB6:EB16 EC6:EC16 ED6:ED16 EE6:EE16 EF6:EF16 EG6:EG16 EH6:EH16 EI6:EI16 EJ6:EJ16 EK6:EK16 EL6:EL16 EM6:EM16 EN6:EN16 EO6:EO16 EP6:EP16 EQ6:EQ16 ER6:ER16 ES6:ES16 ET6:ET16 EU6:EU16 EV6:EV16 EW6:EW16 EX6:EX16 EY6:EY16 EZ6:EZ16 FA6:FA16 FB6:FB16 FC6:FC16 FD6:FD16 FE6:FE16 FF6:FF16 FG6:FG16 FH6:FH16 FI6:FI16 FJ6:FJ16 FK6:FK16 FL6:FL16 FM6:FM16 FN6:FN16" xr:uid="{00000000-0002-0000-0000-000001000000}">
      <formula1>0</formula1>
    </dataValidation>
    <dataValidation type="decimal" operator="greaterThan" allowBlank="1" showErrorMessage="1" errorTitle="Validation error" error="Enter a number greater than 0.0" sqref="M18:M21 N18:N21 O18:O21 P18:P21 Q18:Q21 R18:R21 S18:S21 T18:T21 U18:U21 V18:V21 W18:W21 X18:X21 Y18:Y21 Z18:Z21 AA18:AA21 AB18:AB21 AC18:AC21 AD18:AD21 AE18:AE21 AF18:AF21 AG18:AG21 AH18:AH21 AI18:AI21 AJ18:AJ21 AK18:AK21 AL18:AL21 AM18:AM21 AN18:AN21 AO18:AO21 AP18:AP21 AQ18:AQ21 AR18:AR21 AS18:AS21 AT18:AT21 AU18:AU21 AV18:AV21 AW18:AW21 AX18:AX21 AY18:AY21 AZ18:AZ21 BA18:BA21 BB18:BB21 BC18:BC21 BD18:BD21 BE18:BE21 BF18:BF21 BG18:BG21 BH18:BH21 BI18:BI21 BJ18:BJ21 BK18:BK21 BL18:BL21 BM18:BM21 BN18:BN21 BO18:BO21 BP18:BP21 BQ18:BQ21 BR18:BR21 BS18:BS21 BT18:BT21 BU18:BU21 BV18:BV21 BW18:BW21 BX18:BX21 BY18:BY21 BZ18:BZ21 CA18:CA21 CB18:CB21 CC18:CC21 CD18:CD21 CE18:CE21 CF18:CF21 CG18:CG21 CH18:CH21 CI18:CI21 CJ18:CJ21 CK18:CK21 CL18:CL21 CM18:CM21 CN18:CN21 CO18:CO21 CP18:CP21 CQ18:CQ21 CR18:CR21 CS18:CS21 CT18:CT21 CU18:CU21 CV18:CV21 CW18:CW21 CX18:CX21 CY18:CY21 CZ18:CZ21 DA18:DA21 DB18:DB21 DC18:DC21 DD18:DD21 DE18:DE21 DF18:DF21 DG18:DG21 DH18:DH21 DI18:DI21 DJ18:DJ21 DK18:DK21 DL18:DL21 DM18:DM21 DN18:DN21 DO18:DO21 DP18:DP21 DQ18:DQ21 DR18:DR21 DS18:DS21 DT18:DT21 DU18:DU21 DV18:DV21 DW18:DW21 DX18:DX21 DY18:DY21 DZ18:DZ21 EA18:EA21 EB18:EB21 EC18:EC21 ED18:ED21 EE18:EE21 EF18:EF21 EG18:EG21 EH18:EH21 EI18:EI21 EJ18:EJ21 EK18:EK21 EL18:EL21 EM18:EM21 EN18:EN21 EO18:EO21 EP18:EP21 EQ18:EQ21 ER18:ER21 ES18:ES21 ET18:ET21 EU18:EU21 EV18:EV21 EW18:EW21 EX18:EX21 EY18:EY21 EZ18:EZ21 FA18:FA21 FB18:FB21 FC18:FC21 FD18:FD21 FE18:FE21 FF18:FF21 FG18:FG21 FH18:FH21 FI18:FI21 FJ18:FJ21 FK18:FK21 FL18:FL21 FM18:FM21 FN18:FN21" xr:uid="{00000000-0002-0000-0000-00000200000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heetViews>
  <sheetFormatPr baseColWidth="10" defaultColWidth="8.83203125" defaultRowHeight="15"/>
  <cols>
    <col min="1" max="1" width="120" customWidth="1"/>
  </cols>
  <sheetData>
    <row r="1" spans="1:1" ht="27">
      <c r="A1" s="163" t="s">
        <v>63</v>
      </c>
    </row>
    <row r="2" spans="1:1" ht="20">
      <c r="A2" s="164" t="s">
        <v>64</v>
      </c>
    </row>
    <row r="3" spans="1:1" ht="108">
      <c r="A3" s="165" t="s">
        <v>65</v>
      </c>
    </row>
    <row r="4" spans="1:1" ht="20">
      <c r="A4" s="166" t="s">
        <v>66</v>
      </c>
    </row>
    <row r="5" spans="1:1" ht="54">
      <c r="A5" s="167" t="s">
        <v>67</v>
      </c>
    </row>
    <row r="6" spans="1:1" ht="20">
      <c r="A6" s="168" t="s">
        <v>68</v>
      </c>
    </row>
    <row r="7" spans="1:1" ht="18">
      <c r="A7" s="169" t="s">
        <v>69</v>
      </c>
    </row>
    <row r="8" spans="1:1" ht="20">
      <c r="A8" s="170" t="s">
        <v>70</v>
      </c>
    </row>
    <row r="9" spans="1:1" ht="18">
      <c r="A9" s="171" t="s">
        <v>71</v>
      </c>
    </row>
  </sheetData>
  <sheetProtection password="DFB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baseColWidth="10" defaultColWidth="8.83203125" defaultRowHeight="15"/>
  <sheetData>
    <row r="1" spans="1:2">
      <c r="A1" t="s">
        <v>72</v>
      </c>
      <c r="B1" t="s">
        <v>73</v>
      </c>
    </row>
    <row r="2" spans="1:2">
      <c r="A2" t="s">
        <v>74</v>
      </c>
      <c r="B2" t="s">
        <v>75</v>
      </c>
    </row>
    <row r="3" spans="1:2">
      <c r="A3" t="s">
        <v>76</v>
      </c>
      <c r="B3" t="s">
        <v>77</v>
      </c>
    </row>
    <row r="4" spans="1:2">
      <c r="A4" t="s">
        <v>78</v>
      </c>
      <c r="B4" t="s">
        <v>79</v>
      </c>
    </row>
  </sheetData>
  <sheetProtection password="DFB5"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Box packing information</vt:lpstr>
      <vt:lpstr>Instructions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2023-01-17T05:25:21Z</dcterms:created>
  <dcterms:modified xsi:type="dcterms:W3CDTF">2023-01-17T05:27:03Z</dcterms:modified>
</cp:coreProperties>
</file>