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rowan/GitHub/K_axis_midoc/source data/"/>
    </mc:Choice>
  </mc:AlternateContent>
  <xr:revisionPtr revIDLastSave="0" documentId="8_{6C93E2EB-5E58-6041-BC8F-3BC19C76CE45}" xr6:coauthVersionLast="32" xr6:coauthVersionMax="32" xr10:uidLastSave="{00000000-0000-0000-0000-000000000000}"/>
  <bookViews>
    <workbookView xWindow="25960" yWindow="460" windowWidth="19200" windowHeight="21140" tabRatio="517" activeTab="2" xr2:uid="{00000000-000D-0000-FFFF-FFFF00000000}"/>
  </bookViews>
  <sheets>
    <sheet name="station data" sheetId="1" r:id="rId1"/>
    <sheet name="codend data" sheetId="4" r:id="rId2"/>
    <sheet name="sample data" sheetId="3" r:id="rId3"/>
    <sheet name="notes" sheetId="5" r:id="rId4"/>
    <sheet name="taxa groups" sheetId="6" r:id="rId5"/>
    <sheet name="duplicate sample IDs" sheetId="7" r:id="rId6"/>
    <sheet name="column definitions" sheetId="2" r:id="rId7"/>
  </sheets>
  <definedNames>
    <definedName name="_xlnm._FilterDatabase" localSheetId="1" hidden="1">'codend data'!$A$1:$K$226</definedName>
    <definedName name="_xlnm._FilterDatabase" localSheetId="2" hidden="1">'sample data'!$A$1:$Q$7413</definedName>
    <definedName name="_xlnm._FilterDatabase" localSheetId="4" hidden="1">'taxa groups'!$A$1:$D$692</definedName>
    <definedName name="_xlnm.Print_Area" localSheetId="2">'sample data'!$A$2587:$R$3235</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H5428" i="3" l="1"/>
  <c r="H6744" i="3"/>
  <c r="G6739" i="3"/>
  <c r="G6738" i="3"/>
  <c r="H6687" i="3"/>
  <c r="G6612" i="3"/>
  <c r="G6602" i="3"/>
  <c r="H42" i="1"/>
  <c r="G42" i="1"/>
  <c r="F42" i="1"/>
  <c r="E42" i="1"/>
  <c r="H41" i="1"/>
  <c r="G41" i="1"/>
  <c r="F41" i="1"/>
  <c r="E41" i="1"/>
  <c r="H40" i="1"/>
  <c r="G40" i="1"/>
  <c r="F40" i="1"/>
  <c r="E40" i="1"/>
  <c r="H39" i="1"/>
  <c r="G39" i="1"/>
  <c r="F39" i="1"/>
  <c r="E39" i="1"/>
  <c r="H38" i="1"/>
  <c r="G38" i="1"/>
  <c r="F38" i="1"/>
  <c r="E38" i="1"/>
  <c r="S37" i="1"/>
  <c r="H37" i="1"/>
  <c r="G37" i="1"/>
  <c r="F37" i="1"/>
  <c r="E37" i="1"/>
  <c r="R36" i="1"/>
  <c r="F36" i="1"/>
  <c r="E36" i="1"/>
  <c r="H35" i="1"/>
  <c r="G35" i="1"/>
  <c r="F35" i="1"/>
  <c r="E35" i="1"/>
  <c r="R34" i="1"/>
  <c r="H34" i="1"/>
  <c r="G34" i="1"/>
  <c r="F34" i="1"/>
  <c r="E34" i="1"/>
  <c r="R33" i="1"/>
  <c r="F33" i="1"/>
  <c r="E33" i="1"/>
  <c r="F32" i="1"/>
  <c r="E32" i="1"/>
  <c r="R31" i="1"/>
  <c r="F31" i="1"/>
  <c r="E31" i="1"/>
  <c r="R30" i="1"/>
  <c r="H30" i="1"/>
  <c r="G30" i="1"/>
  <c r="F30" i="1"/>
  <c r="E30" i="1"/>
  <c r="S29" i="1"/>
  <c r="R29" i="1"/>
  <c r="H29" i="1"/>
  <c r="G29" i="1"/>
  <c r="F29" i="1"/>
  <c r="E29" i="1"/>
  <c r="S28" i="1"/>
  <c r="R28" i="1"/>
  <c r="H28" i="1"/>
  <c r="G28" i="1"/>
  <c r="F28" i="1"/>
  <c r="E28" i="1"/>
  <c r="R27" i="1"/>
  <c r="H27" i="1"/>
  <c r="G27" i="1"/>
  <c r="F27" i="1"/>
  <c r="E27" i="1"/>
  <c r="R26" i="1"/>
  <c r="H26" i="1"/>
  <c r="G26" i="1"/>
  <c r="F26" i="1"/>
  <c r="E26" i="1"/>
  <c r="R25" i="1"/>
  <c r="H25" i="1"/>
  <c r="G25" i="1"/>
  <c r="F25" i="1"/>
  <c r="E25" i="1"/>
  <c r="F24" i="1"/>
  <c r="E24" i="1"/>
  <c r="F23" i="1"/>
  <c r="E23" i="1"/>
  <c r="S22" i="1"/>
  <c r="H22" i="1"/>
  <c r="G22" i="1"/>
  <c r="F22" i="1"/>
  <c r="E22" i="1"/>
  <c r="H21" i="1"/>
  <c r="G21" i="1"/>
  <c r="F21" i="1"/>
  <c r="E21" i="1"/>
  <c r="F20" i="1"/>
  <c r="E20" i="1"/>
  <c r="S19" i="1"/>
  <c r="H19" i="1"/>
  <c r="G19" i="1"/>
  <c r="F19" i="1"/>
  <c r="E19" i="1"/>
  <c r="R18" i="1"/>
  <c r="F18" i="1"/>
  <c r="E18" i="1"/>
  <c r="S17" i="1"/>
  <c r="F17" i="1"/>
  <c r="E17" i="1"/>
  <c r="S16" i="1"/>
  <c r="R16" i="1"/>
  <c r="H16" i="1"/>
  <c r="G16" i="1"/>
  <c r="F16" i="1"/>
  <c r="E16" i="1"/>
  <c r="R15" i="1"/>
  <c r="H15" i="1"/>
  <c r="G15" i="1"/>
  <c r="F15" i="1"/>
  <c r="E15" i="1"/>
  <c r="H14" i="1"/>
  <c r="G14" i="1"/>
  <c r="H13" i="1"/>
  <c r="G13" i="1"/>
  <c r="F13" i="1"/>
  <c r="E13" i="1"/>
  <c r="H12" i="1"/>
  <c r="G12" i="1"/>
  <c r="F12" i="1"/>
  <c r="E12" i="1"/>
  <c r="H11" i="1"/>
  <c r="G11" i="1"/>
  <c r="F11" i="1"/>
  <c r="E11" i="1"/>
  <c r="H10" i="1"/>
  <c r="G10" i="1"/>
  <c r="F10" i="1"/>
  <c r="E10" i="1"/>
  <c r="H9" i="1"/>
  <c r="G9" i="1"/>
  <c r="F9" i="1"/>
  <c r="E9" i="1"/>
  <c r="H8" i="1"/>
  <c r="G8" i="1"/>
  <c r="H7" i="1"/>
  <c r="G7" i="1"/>
  <c r="H6" i="1"/>
  <c r="G6" i="1"/>
  <c r="S5" i="1"/>
  <c r="F5" i="1"/>
  <c r="E5" i="1"/>
  <c r="S4" i="1"/>
  <c r="R4" i="1"/>
  <c r="H4" i="1"/>
  <c r="G4" i="1"/>
  <c r="F4" i="1"/>
  <c r="E4" i="1"/>
  <c r="R3" i="1"/>
  <c r="H3" i="1"/>
  <c r="G3" i="1"/>
  <c r="F3" i="1"/>
  <c r="E3" i="1"/>
  <c r="I219" i="4"/>
  <c r="I215" i="4"/>
  <c r="I212" i="4"/>
  <c r="I209" i="4"/>
  <c r="I206" i="4"/>
  <c r="I204" i="4"/>
  <c r="I203" i="4"/>
  <c r="I202" i="4"/>
  <c r="I201" i="4"/>
  <c r="I200" i="4"/>
  <c r="I199" i="4"/>
  <c r="I198" i="4"/>
  <c r="I197" i="4"/>
  <c r="I196" i="4"/>
  <c r="I195" i="4"/>
  <c r="I194" i="4"/>
  <c r="I193" i="4"/>
  <c r="I192" i="4"/>
  <c r="I191" i="4"/>
  <c r="I187" i="4"/>
  <c r="I186" i="4"/>
  <c r="H186" i="4"/>
  <c r="I185" i="4"/>
  <c r="H183" i="4"/>
  <c r="I182" i="4"/>
  <c r="H182" i="4"/>
  <c r="H181" i="4"/>
  <c r="H180" i="4"/>
  <c r="H179" i="4"/>
  <c r="I178" i="4"/>
  <c r="H178" i="4" s="1"/>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I122" i="4"/>
  <c r="I118" i="4"/>
  <c r="I116" i="4"/>
  <c r="I112" i="4"/>
  <c r="I111" i="4"/>
  <c r="I110" i="4"/>
  <c r="I109" i="4"/>
  <c r="I108" i="4"/>
  <c r="I107" i="4"/>
  <c r="I106" i="4"/>
  <c r="I105" i="4"/>
  <c r="I100" i="4"/>
  <c r="I96" i="4"/>
  <c r="I95" i="4"/>
  <c r="I94" i="4"/>
  <c r="I89" i="4"/>
  <c r="I88" i="4"/>
  <c r="H87" i="4"/>
  <c r="H86" i="4"/>
  <c r="H85" i="4"/>
  <c r="H84" i="4"/>
  <c r="H83" i="4"/>
  <c r="H82" i="4"/>
  <c r="H81" i="4"/>
  <c r="H80" i="4"/>
  <c r="H79" i="4"/>
  <c r="H78" i="4"/>
  <c r="H77" i="4"/>
  <c r="H76" i="4"/>
  <c r="H75" i="4"/>
  <c r="H74" i="4"/>
  <c r="H73" i="4"/>
  <c r="H72" i="4"/>
  <c r="H71" i="4"/>
  <c r="H70" i="4"/>
  <c r="H69" i="4"/>
  <c r="H67" i="4"/>
  <c r="H66" i="4"/>
  <c r="H65" i="4"/>
  <c r="H64" i="4"/>
  <c r="H63" i="4"/>
  <c r="I54" i="4"/>
  <c r="I53" i="4"/>
  <c r="I52" i="4"/>
  <c r="I51" i="4"/>
  <c r="I50"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7360" i="3"/>
  <c r="H7303" i="3"/>
  <c r="H7296" i="3"/>
  <c r="H7295" i="3"/>
  <c r="H7294" i="3"/>
  <c r="H7223" i="3"/>
  <c r="H7177" i="3"/>
  <c r="H7184" i="3"/>
  <c r="G7188" i="3"/>
  <c r="H7129" i="3"/>
  <c r="H7140" i="3"/>
  <c r="G7046" i="3"/>
  <c r="H7045" i="3"/>
  <c r="H7025" i="3"/>
  <c r="G7031" i="3"/>
  <c r="H6993" i="3"/>
  <c r="H6990" i="3"/>
  <c r="G6988" i="3"/>
  <c r="G6984" i="3"/>
  <c r="G6983" i="3"/>
  <c r="H6921" i="3"/>
  <c r="H6869" i="3"/>
  <c r="H6825" i="3"/>
  <c r="G6824" i="3"/>
  <c r="H6790" i="3"/>
  <c r="G6789" i="3"/>
  <c r="G6788" i="3"/>
  <c r="G6756" i="3"/>
  <c r="H6749" i="3"/>
  <c r="G6077" i="3"/>
  <c r="G6065" i="3"/>
  <c r="G6064" i="3"/>
  <c r="H6063" i="3"/>
  <c r="G6008" i="3"/>
  <c r="G6007" i="3"/>
  <c r="G5995" i="3"/>
  <c r="H5947" i="3"/>
  <c r="G5895" i="3"/>
  <c r="G5894" i="3"/>
  <c r="H5863" i="3"/>
  <c r="G5862" i="3"/>
  <c r="G5861" i="3"/>
  <c r="H5857" i="3"/>
  <c r="G5856" i="3"/>
  <c r="H5837" i="3"/>
  <c r="H5836" i="3"/>
  <c r="H5835" i="3"/>
  <c r="H5789" i="3"/>
  <c r="H5788" i="3"/>
  <c r="H5770" i="3"/>
  <c r="G5706" i="3"/>
  <c r="G5697" i="3"/>
  <c r="H5654" i="3"/>
  <c r="H5651" i="3"/>
  <c r="H5650" i="3"/>
  <c r="H5648" i="3"/>
  <c r="H5647" i="3"/>
  <c r="H5607" i="3"/>
  <c r="H5606" i="3"/>
  <c r="H5598" i="3"/>
  <c r="G5545" i="3"/>
  <c r="G5544" i="3"/>
  <c r="G5543" i="3"/>
  <c r="H6554" i="3"/>
  <c r="H6553" i="3"/>
  <c r="H6551" i="3"/>
  <c r="H6523" i="3"/>
  <c r="H6450" i="3"/>
  <c r="G6447" i="3"/>
  <c r="H6445" i="3"/>
  <c r="G6437" i="3"/>
  <c r="G6363" i="3"/>
  <c r="H6356" i="3"/>
  <c r="H6355" i="3"/>
  <c r="H6347" i="3"/>
  <c r="H6346" i="3"/>
  <c r="G6333" i="3"/>
  <c r="G6319" i="3"/>
  <c r="G6317" i="3"/>
  <c r="G6316" i="3"/>
  <c r="H6315" i="3"/>
  <c r="H6314" i="3"/>
  <c r="G6244" i="3"/>
  <c r="H6243" i="3"/>
  <c r="G6206" i="3"/>
  <c r="G6205" i="3"/>
  <c r="H6183" i="3"/>
  <c r="G6173" i="3"/>
  <c r="H6137" i="3"/>
  <c r="G6084" i="3"/>
  <c r="H6083" i="3"/>
  <c r="G5494" i="3"/>
  <c r="H5493" i="3"/>
  <c r="G5484" i="3"/>
  <c r="G5452" i="3"/>
  <c r="H5446" i="3"/>
  <c r="G5445" i="3"/>
  <c r="G5444" i="3"/>
  <c r="G5402" i="3"/>
  <c r="G5399" i="3"/>
  <c r="H5403" i="3"/>
  <c r="G5336" i="3"/>
  <c r="H5335" i="3"/>
  <c r="H5320" i="3"/>
  <c r="G5197" i="3"/>
  <c r="H5189" i="3"/>
  <c r="G5181" i="3"/>
  <c r="H5182" i="3"/>
  <c r="H5183" i="3"/>
  <c r="H5146" i="3"/>
  <c r="G5128" i="3"/>
  <c r="G5129" i="3"/>
  <c r="H5104" i="3"/>
  <c r="G5078" i="3"/>
  <c r="H5054" i="3"/>
  <c r="H5053" i="3"/>
  <c r="H5031" i="3"/>
  <c r="H5037" i="3"/>
  <c r="G4987" i="3"/>
  <c r="H4989" i="3"/>
  <c r="H4990" i="3"/>
  <c r="H4991" i="3"/>
  <c r="G4992" i="3"/>
  <c r="G4993" i="3"/>
  <c r="G4994" i="3"/>
  <c r="G4985" i="3"/>
  <c r="H4953" i="3"/>
  <c r="G4910" i="3"/>
  <c r="G4909" i="3"/>
  <c r="H4906" i="3"/>
  <c r="G4905" i="3"/>
  <c r="G4889" i="3"/>
  <c r="H4888" i="3"/>
  <c r="G4847" i="3"/>
  <c r="G4846" i="3"/>
  <c r="G4811" i="3"/>
  <c r="G4810" i="3"/>
  <c r="H4809" i="3"/>
  <c r="H4808" i="3"/>
  <c r="G4807" i="3"/>
  <c r="G4813" i="3"/>
  <c r="G4769" i="3"/>
  <c r="G4768" i="3"/>
  <c r="G4731" i="3"/>
  <c r="H4746" i="3"/>
  <c r="G4700" i="3"/>
  <c r="G4660" i="3"/>
  <c r="H4622" i="3"/>
  <c r="H4569" i="3"/>
  <c r="G4568" i="3"/>
  <c r="H4566" i="3"/>
  <c r="H4562" i="3"/>
  <c r="H4509" i="3"/>
  <c r="H4507" i="3"/>
  <c r="H4484" i="3"/>
  <c r="H4483" i="3"/>
  <c r="G4476" i="3"/>
  <c r="G4451" i="3"/>
  <c r="H4394" i="3"/>
  <c r="G4352" i="3"/>
  <c r="G4351" i="3"/>
  <c r="G4348" i="3"/>
  <c r="G4346" i="3"/>
  <c r="G4345" i="3"/>
  <c r="G4313" i="3"/>
  <c r="G4282" i="3"/>
  <c r="G4275" i="3"/>
  <c r="G4224" i="3"/>
  <c r="G4186" i="3"/>
  <c r="G4177" i="3"/>
  <c r="G4147" i="3"/>
  <c r="G4146" i="3"/>
  <c r="G4130" i="3"/>
  <c r="G4129" i="3"/>
  <c r="G4128" i="3"/>
  <c r="G4127" i="3"/>
  <c r="G4126" i="3"/>
  <c r="G4125" i="3"/>
  <c r="G4124" i="3"/>
  <c r="H4056" i="3"/>
  <c r="G4031" i="3"/>
  <c r="G4030" i="3"/>
  <c r="H3986" i="3"/>
  <c r="H3979" i="3"/>
  <c r="G3950" i="3"/>
  <c r="H1416" i="3"/>
  <c r="H1782" i="3"/>
  <c r="H3878" i="3"/>
  <c r="G3877" i="3"/>
  <c r="G3869" i="3"/>
  <c r="H3848" i="3"/>
  <c r="G3781" i="3"/>
  <c r="H3774" i="3"/>
  <c r="G3747" i="3"/>
  <c r="H3746" i="3"/>
  <c r="G3708" i="3"/>
  <c r="H3693" i="3"/>
  <c r="G3690" i="3"/>
  <c r="H3688" i="3"/>
  <c r="H3687" i="3"/>
  <c r="H3638" i="3"/>
  <c r="H3616" i="3"/>
  <c r="H3588" i="3"/>
  <c r="G3552" i="3"/>
  <c r="H3544" i="3"/>
  <c r="G3523" i="3"/>
  <c r="G3521" i="3"/>
  <c r="G3522" i="3"/>
  <c r="G3519" i="3"/>
  <c r="H3509" i="3"/>
  <c r="H3507" i="3"/>
  <c r="H3485" i="3"/>
  <c r="H3453" i="3"/>
  <c r="G3439" i="3"/>
  <c r="H3438" i="3"/>
  <c r="H3360" i="3"/>
  <c r="G3329" i="3"/>
  <c r="H3326" i="3"/>
  <c r="H3325" i="3"/>
  <c r="H3324" i="3"/>
  <c r="H3328" i="3"/>
  <c r="H3285" i="3"/>
  <c r="H3284" i="3"/>
  <c r="H3218" i="3"/>
  <c r="H3217" i="3"/>
  <c r="H3121" i="3"/>
  <c r="H3122" i="3"/>
  <c r="H3129" i="3"/>
  <c r="H3091" i="3"/>
  <c r="H3079" i="3"/>
  <c r="G3075" i="3"/>
  <c r="G3074" i="3"/>
  <c r="G3069" i="3"/>
  <c r="H3068" i="3"/>
  <c r="G3066" i="3"/>
  <c r="G3065" i="3"/>
  <c r="G3017" i="3"/>
  <c r="G3018" i="3"/>
  <c r="H3030" i="3"/>
  <c r="H3031" i="3"/>
  <c r="H3032" i="3"/>
  <c r="G2993" i="3"/>
  <c r="G2992" i="3"/>
  <c r="H2954" i="3"/>
  <c r="H2961" i="3"/>
  <c r="H2967" i="3"/>
  <c r="H2910" i="3"/>
  <c r="H2918" i="3"/>
  <c r="H2921" i="3"/>
  <c r="H2904" i="3"/>
  <c r="H2905" i="3"/>
  <c r="H2906" i="3"/>
  <c r="H2886" i="3"/>
  <c r="H2887" i="3"/>
  <c r="H2888" i="3"/>
  <c r="H2881" i="3"/>
  <c r="H2848" i="3"/>
  <c r="H2849" i="3"/>
  <c r="H2840" i="3"/>
  <c r="H2836" i="3"/>
  <c r="H2839" i="3"/>
  <c r="H2838" i="3"/>
  <c r="H2837" i="3"/>
  <c r="H2790" i="3"/>
  <c r="H2796" i="3"/>
  <c r="H2803" i="3"/>
  <c r="H2740" i="3"/>
  <c r="H2739" i="3"/>
  <c r="H2738" i="3"/>
  <c r="H2735" i="3"/>
  <c r="H2734" i="3"/>
  <c r="H2732" i="3"/>
  <c r="H2686" i="3"/>
  <c r="H2685" i="3"/>
  <c r="H2655" i="3"/>
  <c r="H2625" i="3"/>
  <c r="H2622" i="3"/>
  <c r="H2615" i="3"/>
  <c r="H2601" i="3"/>
  <c r="H2562" i="3"/>
  <c r="H2561" i="3"/>
  <c r="H2558" i="3"/>
  <c r="H2528" i="3"/>
  <c r="H2525" i="3"/>
  <c r="H2494" i="3"/>
  <c r="H2465" i="3"/>
  <c r="H2446" i="3"/>
  <c r="H2426" i="3"/>
  <c r="H2417" i="3"/>
  <c r="H2365" i="3"/>
  <c r="H2364" i="3"/>
  <c r="H2392" i="3"/>
  <c r="H2363" i="3"/>
  <c r="H2362" i="3"/>
  <c r="H2346" i="3"/>
  <c r="H2339" i="3"/>
  <c r="H2334" i="3"/>
  <c r="H2333" i="3"/>
  <c r="H2329" i="3"/>
  <c r="H2315" i="3"/>
  <c r="H2314" i="3"/>
  <c r="H2311" i="3"/>
  <c r="H2301" i="3"/>
  <c r="H2279" i="3"/>
  <c r="H2281" i="3"/>
  <c r="H2300" i="3"/>
  <c r="H2277" i="3"/>
  <c r="H2265" i="3"/>
  <c r="H2264" i="3"/>
  <c r="H2256" i="3"/>
  <c r="H2255" i="3"/>
  <c r="H2254" i="3"/>
  <c r="H2253" i="3"/>
  <c r="H2252" i="3"/>
  <c r="H2251" i="3"/>
  <c r="H2250" i="3"/>
  <c r="H2249" i="3"/>
  <c r="H2240" i="3"/>
  <c r="H2224" i="3"/>
  <c r="H2211" i="3"/>
  <c r="H2210" i="3"/>
  <c r="H2201" i="3"/>
  <c r="H2200" i="3"/>
  <c r="H2184" i="3"/>
  <c r="H2177" i="3"/>
  <c r="H2156" i="3"/>
  <c r="H2155" i="3"/>
  <c r="H2154" i="3"/>
  <c r="H2153" i="3"/>
  <c r="H2152" i="3"/>
  <c r="H2151" i="3"/>
  <c r="H2143" i="3"/>
  <c r="H2142" i="3"/>
  <c r="H2141" i="3"/>
  <c r="H2140" i="3"/>
  <c r="H2130" i="3"/>
  <c r="H2109" i="3"/>
  <c r="H2108" i="3"/>
  <c r="H2101" i="3"/>
  <c r="H2092" i="3"/>
  <c r="H2089" i="3"/>
  <c r="H2085" i="3"/>
  <c r="H2071" i="3"/>
  <c r="H2045" i="3"/>
  <c r="H2043" i="3"/>
  <c r="H2038" i="3"/>
  <c r="H2016" i="3"/>
  <c r="H2015" i="3"/>
  <c r="H2014" i="3"/>
  <c r="H2013" i="3"/>
  <c r="H2011" i="3"/>
  <c r="H2010" i="3"/>
  <c r="H2009" i="3"/>
  <c r="H2002" i="3"/>
  <c r="H1995" i="3"/>
  <c r="H1971" i="3"/>
  <c r="H1969" i="3"/>
  <c r="H1968" i="3"/>
  <c r="H1967" i="3"/>
  <c r="H1966" i="3"/>
  <c r="H1965" i="3"/>
  <c r="H1944" i="3"/>
  <c r="H1943" i="3"/>
  <c r="H1936" i="3"/>
  <c r="H1935" i="3"/>
  <c r="H1925" i="3"/>
  <c r="H1924" i="3"/>
  <c r="H1910" i="3"/>
  <c r="H1902" i="3"/>
  <c r="H1887" i="3"/>
  <c r="H1886" i="3"/>
  <c r="H1854" i="3"/>
  <c r="H1847" i="3"/>
  <c r="H1846" i="3"/>
  <c r="H1845" i="3"/>
  <c r="H307" i="3"/>
  <c r="H273" i="3"/>
  <c r="H292" i="3"/>
  <c r="G362" i="3"/>
  <c r="G309" i="3"/>
  <c r="H373" i="3"/>
  <c r="H375" i="3"/>
  <c r="H376" i="3"/>
  <c r="H384" i="3"/>
  <c r="H1623" i="3"/>
  <c r="H1638" i="3"/>
  <c r="H1640" i="3"/>
  <c r="H1844" i="3"/>
  <c r="H1843" i="3"/>
  <c r="H1842" i="3"/>
  <c r="H1841" i="3"/>
  <c r="H1813" i="3"/>
  <c r="H1812" i="3"/>
  <c r="H1804" i="3"/>
  <c r="H1783" i="3"/>
  <c r="H1761" i="3"/>
  <c r="H1754" i="3"/>
  <c r="H1753" i="3"/>
  <c r="H1752" i="3"/>
  <c r="H1693" i="3"/>
  <c r="H1692" i="3"/>
  <c r="H1654" i="3"/>
  <c r="H1650" i="3"/>
  <c r="H1649" i="3"/>
  <c r="H1610" i="3"/>
  <c r="H1609" i="3"/>
  <c r="H1608" i="3"/>
  <c r="H1607" i="3"/>
  <c r="H1606" i="3"/>
  <c r="H1605" i="3"/>
  <c r="H1603" i="3"/>
  <c r="H1602" i="3"/>
  <c r="H1601" i="3"/>
  <c r="H1598" i="3"/>
  <c r="H1595" i="3"/>
  <c r="H1584" i="3"/>
  <c r="H1583" i="3"/>
  <c r="H1569" i="3"/>
  <c r="H1508" i="3"/>
  <c r="H1507" i="3"/>
  <c r="H1491" i="3"/>
  <c r="H1477" i="3"/>
  <c r="H1476" i="3"/>
  <c r="H1467" i="3"/>
  <c r="H1458" i="3"/>
  <c r="H1457" i="3"/>
  <c r="H1440" i="3"/>
  <c r="H1439" i="3"/>
  <c r="H1438" i="3"/>
  <c r="H1437" i="3"/>
  <c r="H1436" i="3"/>
  <c r="H1435" i="3"/>
  <c r="H1434" i="3"/>
  <c r="H1433" i="3"/>
  <c r="H1432" i="3"/>
  <c r="H1408" i="3"/>
  <c r="H1407" i="3"/>
  <c r="H1400" i="3"/>
  <c r="H1401" i="3"/>
  <c r="H1402" i="3"/>
  <c r="H1403" i="3"/>
  <c r="H1374" i="3"/>
  <c r="H1372" i="3"/>
  <c r="H1364" i="3"/>
  <c r="H1363" i="3"/>
  <c r="H1344" i="3"/>
  <c r="H1336" i="3"/>
  <c r="H1335" i="3"/>
  <c r="H1334" i="3"/>
  <c r="H1333" i="3"/>
  <c r="H1320" i="3"/>
  <c r="H1313" i="3"/>
  <c r="H1307" i="3"/>
  <c r="H1286" i="3"/>
  <c r="H1284" i="3"/>
  <c r="H1274" i="3"/>
  <c r="H1273" i="3"/>
  <c r="H1272" i="3"/>
  <c r="H1265" i="3"/>
  <c r="H1264" i="3"/>
  <c r="H1258" i="3"/>
  <c r="H1257" i="3"/>
  <c r="H1256" i="3"/>
  <c r="H1255" i="3"/>
  <c r="H1248" i="3"/>
  <c r="H1242" i="3"/>
  <c r="H1241" i="3"/>
  <c r="H1240" i="3"/>
  <c r="H1236" i="3"/>
  <c r="H1237" i="3"/>
  <c r="H1238" i="3"/>
  <c r="H1239" i="3"/>
  <c r="H1216" i="3"/>
  <c r="H1179" i="3"/>
  <c r="H1134" i="3"/>
  <c r="H1133" i="3"/>
  <c r="H1091" i="3"/>
  <c r="H1090" i="3"/>
  <c r="H1089" i="3"/>
  <c r="H1088" i="3"/>
  <c r="H1075" i="3"/>
  <c r="H1067" i="3"/>
  <c r="H1048" i="3"/>
  <c r="H1041" i="3"/>
  <c r="H1027" i="3"/>
  <c r="H1026" i="3"/>
  <c r="H997" i="3"/>
  <c r="H996" i="3"/>
  <c r="H945" i="3"/>
  <c r="H944" i="3"/>
  <c r="H956" i="3"/>
  <c r="H955" i="3"/>
  <c r="H990" i="3"/>
  <c r="H989" i="3"/>
  <c r="H988" i="3"/>
  <c r="H987" i="3"/>
  <c r="H905" i="3"/>
  <c r="H904" i="3"/>
  <c r="H903" i="3"/>
  <c r="H898" i="3"/>
  <c r="H892" i="3"/>
  <c r="H875" i="3"/>
  <c r="H874" i="3"/>
  <c r="H873" i="3"/>
  <c r="H870" i="3"/>
  <c r="H865" i="3"/>
  <c r="H857" i="3"/>
  <c r="H842" i="3"/>
  <c r="H850" i="3"/>
  <c r="H846" i="3"/>
  <c r="H828" i="3"/>
  <c r="H825" i="3"/>
  <c r="H821" i="3"/>
  <c r="H819" i="3"/>
  <c r="H793" i="3"/>
  <c r="H817" i="3"/>
  <c r="H818" i="3"/>
  <c r="H760" i="3"/>
  <c r="H759" i="3"/>
  <c r="H758" i="3"/>
  <c r="H757" i="3"/>
  <c r="H730" i="3"/>
  <c r="H735" i="3"/>
  <c r="H728" i="3"/>
  <c r="H721" i="3"/>
  <c r="H700" i="3"/>
  <c r="H691" i="3"/>
  <c r="H695" i="3"/>
  <c r="H686" i="3"/>
  <c r="H682" i="3"/>
  <c r="H648" i="3"/>
  <c r="H627" i="3"/>
  <c r="H610" i="3"/>
  <c r="H607" i="3"/>
  <c r="H603" i="3"/>
  <c r="H602" i="3"/>
  <c r="H601" i="3"/>
  <c r="H600" i="3"/>
  <c r="H599" i="3"/>
  <c r="H596" i="3"/>
  <c r="H598" i="3"/>
  <c r="H593" i="3"/>
  <c r="H574" i="3"/>
  <c r="H566" i="3"/>
  <c r="H550" i="3"/>
  <c r="H538" i="3"/>
  <c r="H524" i="3"/>
  <c r="H511" i="3"/>
  <c r="H504" i="3"/>
  <c r="H491" i="3"/>
  <c r="H466" i="3"/>
  <c r="H467" i="3"/>
  <c r="H426" i="3"/>
  <c r="H419" i="3"/>
  <c r="H410" i="3"/>
  <c r="H386" i="3"/>
  <c r="H385" i="3"/>
  <c r="H149" i="3"/>
</calcChain>
</file>

<file path=xl/sharedStrings.xml><?xml version="1.0" encoding="utf-8"?>
<sst xmlns="http://schemas.openxmlformats.org/spreadsheetml/2006/main" count="44193" uniqueCount="10611">
  <si>
    <t>date</t>
  </si>
  <si>
    <t>t.maxd</t>
  </si>
  <si>
    <t>t.in.water</t>
  </si>
  <si>
    <t>station.id</t>
  </si>
  <si>
    <t>t.zone</t>
  </si>
  <si>
    <t>t.surface</t>
  </si>
  <si>
    <t>t.retrieved</t>
  </si>
  <si>
    <t>t.haul.start</t>
  </si>
  <si>
    <t>midoc.prg</t>
  </si>
  <si>
    <t>cod.end</t>
  </si>
  <si>
    <t>max.d</t>
  </si>
  <si>
    <t>min.d</t>
  </si>
  <si>
    <t>lat.start</t>
  </si>
  <si>
    <t>lon.start</t>
  </si>
  <si>
    <t>lon.end</t>
  </si>
  <si>
    <t>lat.end</t>
  </si>
  <si>
    <t>camera.used</t>
  </si>
  <si>
    <t>strobe.prg</t>
  </si>
  <si>
    <t>flw.mtr.start</t>
  </si>
  <si>
    <t>flw.mtr.end</t>
  </si>
  <si>
    <t>flw.mtr.notes</t>
  </si>
  <si>
    <t>sea.state.weather</t>
  </si>
  <si>
    <t>deploy.notes</t>
  </si>
  <si>
    <t>mesh.size</t>
  </si>
  <si>
    <t>ship.spd</t>
  </si>
  <si>
    <t>wire.out.angle</t>
  </si>
  <si>
    <t>catch.wt</t>
  </si>
  <si>
    <t>table</t>
  </si>
  <si>
    <t>column heading</t>
  </si>
  <si>
    <t>notes</t>
  </si>
  <si>
    <t>sample.id</t>
  </si>
  <si>
    <t>taxon</t>
  </si>
  <si>
    <t>wt.g</t>
  </si>
  <si>
    <t>SL.mm</t>
  </si>
  <si>
    <t>FL.mm</t>
  </si>
  <si>
    <t>TL.mm</t>
  </si>
  <si>
    <t>gape.wd.mm</t>
  </si>
  <si>
    <t>gape.ht.mm</t>
  </si>
  <si>
    <t>photo</t>
  </si>
  <si>
    <t>station data</t>
  </si>
  <si>
    <t>catch data</t>
  </si>
  <si>
    <t>dissection data</t>
  </si>
  <si>
    <t>NA</t>
  </si>
  <si>
    <t>units/format</t>
  </si>
  <si>
    <t>dd.mmmm</t>
  </si>
  <si>
    <t>time zone for times</t>
  </si>
  <si>
    <t>longitude at which net was retrieved (reached surface)</t>
  </si>
  <si>
    <t>latitude at which net was retrieved (reached surface)</t>
  </si>
  <si>
    <t>longitude at which net was deployed (left surface)</t>
  </si>
  <si>
    <t>latitude at which net was deployed (left surface)</t>
  </si>
  <si>
    <t>time at which net was deployed</t>
  </si>
  <si>
    <t>time at which max depth reached</t>
  </si>
  <si>
    <t>time at which haul started (may not be same as t.maxd if net arrives at max depth prior to triggering of second cod-end)</t>
  </si>
  <si>
    <t>time at which net returned to surface</t>
  </si>
  <si>
    <t>time at which net was bought onto trawl deck (difference with t.surface will be an indicator of if a net sat in vessel's wash for excessive period)</t>
  </si>
  <si>
    <t>total combined weight of catch in all cod-ends</t>
  </si>
  <si>
    <t>tot.codend.wt</t>
  </si>
  <si>
    <t>catch.wt.extra</t>
  </si>
  <si>
    <t>total weight (or estimated weight) of catch retained in IYGPT forward of MIDOC (not in cod-ends)</t>
  </si>
  <si>
    <t>g</t>
  </si>
  <si>
    <t>mm, mm, mm, mm, mm, mm</t>
  </si>
  <si>
    <t>timer program of MIDOC (number of minutes each codend open)</t>
  </si>
  <si>
    <t>was a camera on the net?</t>
  </si>
  <si>
    <t>if camera was used what was the program for the strobe (NA if no light used)</t>
  </si>
  <si>
    <t>L</t>
  </si>
  <si>
    <t>reading on flow metre prior to deployment</t>
  </si>
  <si>
    <t>reading on flow metre upon retrieval</t>
  </si>
  <si>
    <t>notes on flow metre (unit ID and calibration info)</t>
  </si>
  <si>
    <t>notes on sea state and weather (wind speed and direction, swell height and direction relative to ship)</t>
  </si>
  <si>
    <t>other additional  notes on deployment (problems, evidence net was tangled etc.)</t>
  </si>
  <si>
    <t>sampling station unique identifier</t>
  </si>
  <si>
    <t>n from  1 to 6</t>
  </si>
  <si>
    <t>1 is cod-end open from surface to max depth, 2-6 are cod ends opened during haul</t>
  </si>
  <si>
    <t>m</t>
  </si>
  <si>
    <t>max depth of stratum for cod-end</t>
  </si>
  <si>
    <t>min depth of stratum for cod-end</t>
  </si>
  <si>
    <t>mm</t>
  </si>
  <si>
    <t>mesh size of cod-end</t>
  </si>
  <si>
    <t>kt</t>
  </si>
  <si>
    <t>deg</t>
  </si>
  <si>
    <t>angle of cable from ship</t>
  </si>
  <si>
    <t>speed of ship during haul, to be recorded for specific co</t>
  </si>
  <si>
    <t>total weight of catch in cod-end</t>
  </si>
  <si>
    <t>dd.mm.yyyy</t>
  </si>
  <si>
    <t>unique identifier of individual fish</t>
  </si>
  <si>
    <t>species or morphospecies of individual fish</t>
  </si>
  <si>
    <t>wet weight of individual fish</t>
  </si>
  <si>
    <t>height of gape when mouth fully extended</t>
  </si>
  <si>
    <t>width of gape when mouth fully extended</t>
  </si>
  <si>
    <t>Y/N</t>
  </si>
  <si>
    <t>other notes including whether subsamples (stomach, tissue for stable isotopes) were retained separately</t>
  </si>
  <si>
    <t>flag indicating whether photos of specimen were taken</t>
  </si>
  <si>
    <t>standard length</t>
  </si>
  <si>
    <t>fork length</t>
  </si>
  <si>
    <t>total length</t>
  </si>
  <si>
    <t>13.01.2016</t>
  </si>
  <si>
    <t>UTC +10</t>
  </si>
  <si>
    <t>hh:mm, 24 hour, UTC</t>
  </si>
  <si>
    <t>105, 30, 30, 30, 30</t>
  </si>
  <si>
    <t>N</t>
  </si>
  <si>
    <t>wind ~20kt (beaufort 5), confused sea ~2-3m</t>
  </si>
  <si>
    <t>crew had dificulties with winches, and could not get net to 1000m. As a result the first stratum is 800-800m. No catch in cod-end 2, indicating that net may have been tangled. Wires tangled on retrieval (starboard side trawl door appeared to have flipped), so net sat in vessel's wash at and near surface for approximately 45 minutes</t>
  </si>
  <si>
    <t>catch.wt.tot</t>
  </si>
  <si>
    <t>TRIAL</t>
  </si>
  <si>
    <t>salpa sp</t>
  </si>
  <si>
    <t xml:space="preserve">45 mm diameter, n = 5 individuals </t>
  </si>
  <si>
    <t>chaetognaths</t>
  </si>
  <si>
    <t>many individuals, roughtly 40mm individuals</t>
  </si>
  <si>
    <t>phylosoma sp</t>
  </si>
  <si>
    <t>4 individuals, photographs of one representative</t>
  </si>
  <si>
    <t>combined sample</t>
  </si>
  <si>
    <t>combined sample: fish larvae, crustaceans, chaetognaths</t>
  </si>
  <si>
    <t>squid</t>
  </si>
  <si>
    <t>cranchid squid</t>
  </si>
  <si>
    <t>&lt;1</t>
  </si>
  <si>
    <t>squid tentacles</t>
  </si>
  <si>
    <t>siphonophores</t>
  </si>
  <si>
    <t>7 specimens, different sizes</t>
  </si>
  <si>
    <t>crustaceans</t>
  </si>
  <si>
    <t>5 individuals, decapods</t>
  </si>
  <si>
    <t>3 individuals, assorted sizes</t>
  </si>
  <si>
    <t>decapods</t>
  </si>
  <si>
    <t>themisto gaudicaudi</t>
  </si>
  <si>
    <t>10 individuals</t>
  </si>
  <si>
    <t>10 individuals, average ~10mm</t>
  </si>
  <si>
    <t>decapod</t>
  </si>
  <si>
    <t>amphipod</t>
  </si>
  <si>
    <t>1 individual</t>
  </si>
  <si>
    <t>thysanoessa macrura</t>
  </si>
  <si>
    <t>10 individuals, 10-20mm</t>
  </si>
  <si>
    <t>fish larvae</t>
  </si>
  <si>
    <t>6 individuals, to be identified</t>
  </si>
  <si>
    <t>5 individuals, to be identified</t>
  </si>
  <si>
    <t>7 individuals, to be identified</t>
  </si>
  <si>
    <t>serrivomer sp</t>
  </si>
  <si>
    <t>1 individual, saw-tooth eel</t>
  </si>
  <si>
    <t>unidentified anchovy-like fish</t>
  </si>
  <si>
    <t>6 fish, various sizes</t>
  </si>
  <si>
    <t>many individuals</t>
  </si>
  <si>
    <t>small, black. 5 individuals to be identified</t>
  </si>
  <si>
    <t>large fish</t>
  </si>
  <si>
    <t>head and body (detached)</t>
  </si>
  <si>
    <t>long-slim eel-like fish</t>
  </si>
  <si>
    <t>3 individuals (10g TL292 SL270, 1g TL106 SL100, 4g TL145 SL137</t>
  </si>
  <si>
    <t>long eel-like fish</t>
  </si>
  <si>
    <t>mixed fish/larvae</t>
  </si>
  <si>
    <t>TRIAL_CE6_001</t>
  </si>
  <si>
    <t>TRIAL_CE6_002</t>
  </si>
  <si>
    <t>TRIAL_CE6_003</t>
  </si>
  <si>
    <t>TRIAL_CE6_004</t>
  </si>
  <si>
    <t>TRIAL_CE6_005</t>
  </si>
  <si>
    <t>TRIAL_CE6_006</t>
  </si>
  <si>
    <t>TRIAL_CE6_007</t>
  </si>
  <si>
    <t>TRIAL_CE6_008</t>
  </si>
  <si>
    <t>TRIAL_CE6_009</t>
  </si>
  <si>
    <t>TRIAL_CE6_010</t>
  </si>
  <si>
    <t>TRIAL_CE6_011</t>
  </si>
  <si>
    <t>TRIAL_CE6_012</t>
  </si>
  <si>
    <t>TRIAL_CE6_013</t>
  </si>
  <si>
    <t>TRIAL_CE6_014</t>
  </si>
  <si>
    <t>TRIAL_CE6_015</t>
  </si>
  <si>
    <t>TRIAL_CE6_016</t>
  </si>
  <si>
    <t>TRIAL_CE6_017</t>
  </si>
  <si>
    <t>TRIAL_CE6_018</t>
  </si>
  <si>
    <t>TRIAL_CE6_019</t>
  </si>
  <si>
    <t>TRIAL_CE6_020</t>
  </si>
  <si>
    <t>TRIAL_CE6_021</t>
  </si>
  <si>
    <t>TRIAL_CE6_022</t>
  </si>
  <si>
    <t>TRIAL_CE6_023</t>
  </si>
  <si>
    <t>TRIAL_CE6_024</t>
  </si>
  <si>
    <t>TRIAL_CE6_025</t>
  </si>
  <si>
    <t>TRIAL_CE6_026</t>
  </si>
  <si>
    <t>TRIAL_CE5_001</t>
  </si>
  <si>
    <t>TRIAL_CE5_002</t>
  </si>
  <si>
    <t>TRIAL_CE5_003</t>
  </si>
  <si>
    <t>TRIAL_CE5_004</t>
  </si>
  <si>
    <t>TRIAL_CE5_005</t>
  </si>
  <si>
    <t>TRIAL_CE5_006</t>
  </si>
  <si>
    <t>mixed fish larvae and crustaceans</t>
  </si>
  <si>
    <t>siphonophore</t>
  </si>
  <si>
    <t>75mm x 25mm</t>
  </si>
  <si>
    <t>multiple specimens</t>
  </si>
  <si>
    <t>argyropelecus sp</t>
  </si>
  <si>
    <t>hatchet fish</t>
  </si>
  <si>
    <t>TRIAL_CE5_007</t>
  </si>
  <si>
    <t>TRIAL_CE5_008</t>
  </si>
  <si>
    <t>TRIAL_CE5_009</t>
  </si>
  <si>
    <t>TRIAL_CE5_010</t>
  </si>
  <si>
    <t>TRIAL_CE5_011</t>
  </si>
  <si>
    <t>TRIAL_CE5_012</t>
  </si>
  <si>
    <t>TRIAL_CE5_013</t>
  </si>
  <si>
    <t>TRIAL_CE5_014</t>
  </si>
  <si>
    <t>myctophid</t>
  </si>
  <si>
    <t>hatchet fish 2 specimens: 1g  TL32  SL25, 1g TL25 SL21</t>
  </si>
  <si>
    <t>1 individual, bad condition, no length taken</t>
  </si>
  <si>
    <t>2 individuals, bad condition</t>
  </si>
  <si>
    <t>TRIAL_CE5_015</t>
  </si>
  <si>
    <t>TRIAL_CE5_016</t>
  </si>
  <si>
    <t>TRIAL_CE5_017</t>
  </si>
  <si>
    <t>TRIAL_CE5_018</t>
  </si>
  <si>
    <t>TRIAL_CE5_019</t>
  </si>
  <si>
    <t>TRIAL_CE5_020</t>
  </si>
  <si>
    <t>myctophids</t>
  </si>
  <si>
    <t>17 specimens, various lengths</t>
  </si>
  <si>
    <t>TRIAL_CE4_001</t>
  </si>
  <si>
    <t>TRIAL_CE4_002</t>
  </si>
  <si>
    <t>TRIAL_CE4_003</t>
  </si>
  <si>
    <t>TRIAL_CE4_004</t>
  </si>
  <si>
    <t>TRIAL_CE4_005</t>
  </si>
  <si>
    <t>TRIAL_CE4_006</t>
  </si>
  <si>
    <t>TRIAL_CE4_007</t>
  </si>
  <si>
    <t>mantle length 40mm</t>
  </si>
  <si>
    <t>2 specimens</t>
  </si>
  <si>
    <t>crustacean</t>
  </si>
  <si>
    <t>Phosichthys sp</t>
  </si>
  <si>
    <t>TRIAL_CE4_008</t>
  </si>
  <si>
    <t>TRIAL_CE4_009</t>
  </si>
  <si>
    <t>TRIAL_CE4_010</t>
  </si>
  <si>
    <t>TRIAL_CE4_011</t>
  </si>
  <si>
    <t>TRIAL_CE4_012</t>
  </si>
  <si>
    <t>Stomiidae</t>
  </si>
  <si>
    <t>TRIAL_CE4_013</t>
  </si>
  <si>
    <t>TRIAL_CE4_014</t>
  </si>
  <si>
    <t>TRIAL_CE4_015</t>
  </si>
  <si>
    <t>TRIAL_CE4_016</t>
  </si>
  <si>
    <t>TRIAL_CE4_017</t>
  </si>
  <si>
    <t>TRIAL_CE4_018</t>
  </si>
  <si>
    <t>TRIAL_CE4_019</t>
  </si>
  <si>
    <t>Electrona sp.</t>
  </si>
  <si>
    <t>TRIAL_CE4_020</t>
  </si>
  <si>
    <t>TRIAL_CE4_021</t>
  </si>
  <si>
    <t>TRIAL_CE4_022</t>
  </si>
  <si>
    <t>TRIAL_CE4_023</t>
  </si>
  <si>
    <t>6 specimens</t>
  </si>
  <si>
    <t>Myctophids</t>
  </si>
  <si>
    <t>4 specimens, poor condition</t>
  </si>
  <si>
    <t>TRIAL_CE4_024</t>
  </si>
  <si>
    <t>TRIAL_CE4_025</t>
  </si>
  <si>
    <t>TRIAL_CE4_026</t>
  </si>
  <si>
    <t>Small black fish</t>
  </si>
  <si>
    <t>2 specimens in 1 bag; &lt;1g TL44 SL38, &lt;1g TL33 SL30</t>
  </si>
  <si>
    <t>2 specimens in 1 bag; &lt;1g TL30 SL26, &lt;1g TL29 SL25</t>
  </si>
  <si>
    <t>TRIAL_CE3_001</t>
  </si>
  <si>
    <t>TRIAL_CE3_002</t>
  </si>
  <si>
    <t>TRIAL_CE3_003</t>
  </si>
  <si>
    <t>TRIAL_CE3_004</t>
  </si>
  <si>
    <t>TRIAL_CE3_005</t>
  </si>
  <si>
    <t>TRIAL_CE3_006</t>
  </si>
  <si>
    <t>TRIAL_CE3_007</t>
  </si>
  <si>
    <t>TRIAL_CE3_008</t>
  </si>
  <si>
    <t>TRIAL_CE3_009</t>
  </si>
  <si>
    <t>TRIAL_CE3_010</t>
  </si>
  <si>
    <t>TRIAL_CE3_011</t>
  </si>
  <si>
    <t>TRIAL_CE3_012</t>
  </si>
  <si>
    <t>TRIAL_CE3_013</t>
  </si>
  <si>
    <t>TRIAL_CE3_014</t>
  </si>
  <si>
    <t>TRIAL_CE3_015</t>
  </si>
  <si>
    <t>TRIAL_CE3_016</t>
  </si>
  <si>
    <t>TRIAL_CE3_017</t>
  </si>
  <si>
    <t>TRIAL_CE3_018</t>
  </si>
  <si>
    <t>TRIAL_CE3_019</t>
  </si>
  <si>
    <t>TRIAL_CE3_020</t>
  </si>
  <si>
    <t>TRIAL_CE3_021</t>
  </si>
  <si>
    <t>TRIAL_CE3_022</t>
  </si>
  <si>
    <t>TRIAL_CE3_023</t>
  </si>
  <si>
    <t>TRIAL_CE3_024</t>
  </si>
  <si>
    <t>TRIAL_CE3_025</t>
  </si>
  <si>
    <t>TRIAL_CE3_026</t>
  </si>
  <si>
    <t>TRIAL_CE3_027</t>
  </si>
  <si>
    <t>TRIAL_CE3_028</t>
  </si>
  <si>
    <t>no lengths</t>
  </si>
  <si>
    <t>19 individuals</t>
  </si>
  <si>
    <t>multiple individuals</t>
  </si>
  <si>
    <t>long black fish</t>
  </si>
  <si>
    <t>black fish</t>
  </si>
  <si>
    <t>2 specimens in 1 bag; 1g TL 50 SL 48; &lt;1g TL35 SL31</t>
  </si>
  <si>
    <t>no length</t>
  </si>
  <si>
    <t>krill with dark behind eyes, multiple specimens</t>
  </si>
  <si>
    <t>red crustacean</t>
  </si>
  <si>
    <t>2 individuals</t>
  </si>
  <si>
    <t>red spots, not cranchid</t>
  </si>
  <si>
    <t>TRIAL_CE1_001</t>
  </si>
  <si>
    <t>TRIAL_CE1_002</t>
  </si>
  <si>
    <t>TRIAL_CE1_003</t>
  </si>
  <si>
    <t>TRIAL_CE1_004</t>
  </si>
  <si>
    <t>TRIAL_CE1_005</t>
  </si>
  <si>
    <t>TRIAL_CE1_006</t>
  </si>
  <si>
    <t>TRIAL_CE1_007</t>
  </si>
  <si>
    <t>TRIAL_CE1_008</t>
  </si>
  <si>
    <t>TRIAL_CE1_009</t>
  </si>
  <si>
    <t>TRIAL_CE1_010</t>
  </si>
  <si>
    <t>TRIAL_CE1_011</t>
  </si>
  <si>
    <t>TRIAL_CE1_012</t>
  </si>
  <si>
    <t>TRIAL_CE1_013</t>
  </si>
  <si>
    <t>TRIAL_CE1_014</t>
  </si>
  <si>
    <t>TRIAL_CE1_015</t>
  </si>
  <si>
    <t>TRIAL_CE1_016</t>
  </si>
  <si>
    <t>TRIAL_CE1_017</t>
  </si>
  <si>
    <t>jelly (cnidarian)</t>
  </si>
  <si>
    <t>single individual</t>
  </si>
  <si>
    <t>y</t>
  </si>
  <si>
    <t>many individuals; with othe  gelatinous material</t>
  </si>
  <si>
    <t>9 individuals</t>
  </si>
  <si>
    <t>6 individuals</t>
  </si>
  <si>
    <t>silver fish</t>
  </si>
  <si>
    <t>white fish</t>
  </si>
  <si>
    <t>no lengths, 2 individuals</t>
  </si>
  <si>
    <t>mother fucking aliens</t>
  </si>
  <si>
    <t>2 individuals and  their houses</t>
  </si>
  <si>
    <t>wire.out</t>
  </si>
  <si>
    <t>midoc.stn</t>
  </si>
  <si>
    <t>voyage.stn.id</t>
  </si>
  <si>
    <t>t.haul.start.UTC</t>
  </si>
  <si>
    <t>t.surface.UTC</t>
  </si>
  <si>
    <t>25.01.2016</t>
  </si>
  <si>
    <t>Y</t>
  </si>
  <si>
    <t>MIDOC02_CE4_01</t>
  </si>
  <si>
    <t>MIDOC02_CE4_02</t>
  </si>
  <si>
    <t>MIDOC02_CE4_03</t>
  </si>
  <si>
    <t>MIDOC02_CE4_04</t>
  </si>
  <si>
    <t>MIDOC02_CE4_05</t>
  </si>
  <si>
    <t>MIDOC02_CE4_06</t>
  </si>
  <si>
    <t>MIDOC02_CE4_07</t>
  </si>
  <si>
    <t>MIDOC02_CE4_08</t>
  </si>
  <si>
    <t>MIDOC02_CE4_09</t>
  </si>
  <si>
    <t>MIDOC02_CE4_10</t>
  </si>
  <si>
    <t>MIDOC02_CE4_11</t>
  </si>
  <si>
    <t>MIDOC02_CE4_12</t>
  </si>
  <si>
    <t>MIDOC02_CE4_13</t>
  </si>
  <si>
    <t>MIDOC02_CE4_14</t>
  </si>
  <si>
    <t>MIDOC02_CE4_15</t>
  </si>
  <si>
    <t>MIDOC02_CE4_16</t>
  </si>
  <si>
    <t>Bathylagidae</t>
  </si>
  <si>
    <t>Remaining gelatinous</t>
  </si>
  <si>
    <t>Medusa (cnidarian)</t>
  </si>
  <si>
    <t>Atolia (cnidarian)</t>
  </si>
  <si>
    <t>5 specimens</t>
  </si>
  <si>
    <t>Salpa thompsoni</t>
  </si>
  <si>
    <t>Cranchidae squid</t>
  </si>
  <si>
    <t>Decapods</t>
  </si>
  <si>
    <t>11 specimens</t>
  </si>
  <si>
    <t>Euphausiids</t>
  </si>
  <si>
    <t>11 specimens; Thysanoessa macrura, Euphausia triacantha</t>
  </si>
  <si>
    <t>Gymnoscopelus sp</t>
  </si>
  <si>
    <t>MIDOC02_CE4_17</t>
  </si>
  <si>
    <t>MIDOC02_CE4_18</t>
  </si>
  <si>
    <t>MIDOC02_CE4_19</t>
  </si>
  <si>
    <t>MIDOC02_CE4_20</t>
  </si>
  <si>
    <t>MIDOC02_CE4_21</t>
  </si>
  <si>
    <t>MIDOC02_CE4_22</t>
  </si>
  <si>
    <t>MIDOC02_CE4_23</t>
  </si>
  <si>
    <t>MIDOC02_CE4_24</t>
  </si>
  <si>
    <t>MIDOC02_CE4_25</t>
  </si>
  <si>
    <t>MIDOC02_CE4_26</t>
  </si>
  <si>
    <t>MIDOC02_CE4_27</t>
  </si>
  <si>
    <t>MIDOC02_CE4_28</t>
  </si>
  <si>
    <t>MIDOC02_CE4_29</t>
  </si>
  <si>
    <t>MIDOC02_CE4_30</t>
  </si>
  <si>
    <t>MIDOC02_CE4_31</t>
  </si>
  <si>
    <t>MIDOC02_CE4_32</t>
  </si>
  <si>
    <t>Ostracods</t>
  </si>
  <si>
    <t>Circular, orange; 6 specimens</t>
  </si>
  <si>
    <t>Salps</t>
  </si>
  <si>
    <t>Amphipod</t>
  </si>
  <si>
    <t>Electrona sp</t>
  </si>
  <si>
    <t xml:space="preserve">Macrouridae </t>
  </si>
  <si>
    <t>Fish larvae</t>
  </si>
  <si>
    <t>ID TBD</t>
  </si>
  <si>
    <t>MIDOC02_CE4_33</t>
  </si>
  <si>
    <t>MIDOC02_CE4_34</t>
  </si>
  <si>
    <t>MIDOC02_CE4_35</t>
  </si>
  <si>
    <t>MIDOC02_CE4_36</t>
  </si>
  <si>
    <t>MIDOC02_CE4_37</t>
  </si>
  <si>
    <t>MIDOC02_CE4_38</t>
  </si>
  <si>
    <t>Silver fish</t>
  </si>
  <si>
    <t>Chaetognaths, crustaceans</t>
  </si>
  <si>
    <t>Sawtooth sp 2</t>
  </si>
  <si>
    <t>MIDOC02_CE5_01</t>
  </si>
  <si>
    <t>MIDOC02_CE5_02</t>
  </si>
  <si>
    <t>MIDOC02_CE5_03</t>
  </si>
  <si>
    <t>MIDOC02_CE5_04</t>
  </si>
  <si>
    <t>MIDOC02_CE5_05</t>
  </si>
  <si>
    <t>MIDOC02_CE5_06</t>
  </si>
  <si>
    <t>MIDOC02_CE5_07</t>
  </si>
  <si>
    <t>MIDOC02_CE5_08</t>
  </si>
  <si>
    <t>MIDOC02_CE5_09</t>
  </si>
  <si>
    <t>MIDOC02_CE5_10</t>
  </si>
  <si>
    <t>MIDOC02_CE5_11</t>
  </si>
  <si>
    <t>MIDOC02_CE5_12</t>
  </si>
  <si>
    <t>MIDOC02_CE5_13</t>
  </si>
  <si>
    <t>3 specimens</t>
  </si>
  <si>
    <t>Calycopsis borchgrevinki</t>
  </si>
  <si>
    <t>Cnidarian</t>
  </si>
  <si>
    <t>Gelatinous mass</t>
  </si>
  <si>
    <t>Round, clear, 100mm diameter</t>
  </si>
  <si>
    <t>Crustaceans</t>
  </si>
  <si>
    <t>Euphausiids, decapods, amphipods</t>
  </si>
  <si>
    <t>Mixed fish</t>
  </si>
  <si>
    <t>Gelatinous mollusc/snail</t>
  </si>
  <si>
    <t>MIDOC02_CE6_01</t>
  </si>
  <si>
    <t>MIDOC02_CE6_02</t>
  </si>
  <si>
    <t>MIDOC02_CE6_03</t>
  </si>
  <si>
    <t>MIDOC02_CE6_04</t>
  </si>
  <si>
    <t>Gelatinous/crustaceans</t>
  </si>
  <si>
    <t>Crustaceans, salps &amp; other gelatinous (307g retained)</t>
  </si>
  <si>
    <t>Squid</t>
  </si>
  <si>
    <t>Mantle length 84mm; mantle only &amp; 2 heads</t>
  </si>
  <si>
    <t>Ptomopterus</t>
  </si>
  <si>
    <t>3 individuals</t>
  </si>
  <si>
    <t>Fish parts</t>
  </si>
  <si>
    <t>MIDOC02_CE1_01</t>
  </si>
  <si>
    <t>Fish</t>
  </si>
  <si>
    <t>MIDOC02_CE1_02</t>
  </si>
  <si>
    <t>MIDOC02_CE1_03</t>
  </si>
  <si>
    <t>MIDOC02_CE1_04</t>
  </si>
  <si>
    <t>MIDOC02_CE1_05</t>
  </si>
  <si>
    <t>MIDOC02_CE2_01</t>
  </si>
  <si>
    <t>MIDOC02_CE2_02</t>
  </si>
  <si>
    <t>MIDOC02_CE2_03</t>
  </si>
  <si>
    <t>MIDOC02_CE2_04</t>
  </si>
  <si>
    <t>MIDOC02_CE2_05</t>
  </si>
  <si>
    <t>MIDOC02_CE2_06</t>
  </si>
  <si>
    <t>TL from photo</t>
  </si>
  <si>
    <t>16 specimens; Electrona sp, fish larvae, macrouridae; Mixed fish tray weight 34g</t>
  </si>
  <si>
    <t>Bathylagidae fish tray weight 794g</t>
  </si>
  <si>
    <t>MIDOC02_CE4_TRAY</t>
  </si>
  <si>
    <t>Remaining fish</t>
  </si>
  <si>
    <t>MIDOC02_CE2_07</t>
  </si>
  <si>
    <t>Gelatinous</t>
  </si>
  <si>
    <t>Subsample retained 123g</t>
  </si>
  <si>
    <t>Gelatinous &amp; crustaceans</t>
  </si>
  <si>
    <t>Mainly salps, crustaceans; subsample 189g retained</t>
  </si>
  <si>
    <t xml:space="preserve">Subsample retained 154g </t>
  </si>
  <si>
    <t>MIDOC02_CE3_01</t>
  </si>
  <si>
    <t>MIDOC02_CE3_02</t>
  </si>
  <si>
    <t>MIDOC02_CE3_03</t>
  </si>
  <si>
    <t>MIDOC02_CE3_04</t>
  </si>
  <si>
    <t>MIDOC02_CE3_05</t>
  </si>
  <si>
    <t>MIDOC02_CE3_06</t>
  </si>
  <si>
    <t>MIDOC02_CE3_07</t>
  </si>
  <si>
    <t>gelatinous</t>
  </si>
  <si>
    <t>Mantle length 43mm</t>
  </si>
  <si>
    <t>Subsample 88g</t>
  </si>
  <si>
    <t>Lengths from photos</t>
  </si>
  <si>
    <t>Ethanol; lengths from photos</t>
  </si>
  <si>
    <t>24.1.2016</t>
  </si>
  <si>
    <t>UTC+6</t>
  </si>
  <si>
    <t>90, 30, 30, 30, 30</t>
  </si>
  <si>
    <t>1 per 30</t>
  </si>
  <si>
    <t>wind ~10kt, 2-3m swell and minimal sea (good conditions)</t>
  </si>
  <si>
    <t>swept volumne not valid because of cable offset (see general notes). looked good going in with no obvious twist. Scanmar sensors not working - depth and door spread only. Door spread very wide at ~125-130m (should be ~50).</t>
  </si>
  <si>
    <t>25.1.2016</t>
  </si>
  <si>
    <t>2-3m swell, minimal sea</t>
  </si>
  <si>
    <t>winch and scanmar problems. Depth strata need to be checked from on-board sensors, especially deepest 3. 500 m excess cable on 1 side. Net likely dipped to ~1500m, as a couple of floats imploded.</t>
  </si>
  <si>
    <t>relevant shots</t>
  </si>
  <si>
    <t>midoc_01 and 02</t>
  </si>
  <si>
    <t xml:space="preserve">line out sensor in the port-side winch appears to be faulty. As a result, the trawl display was showing that the trawl doors were not even. Trying to keep the doors even resulted mis-matched line-out length, so net was not opened properly and also causing problems with teh scanmar sensors. As a result, swept volumes cannot be calculated for stations 1 and 2 </t>
  </si>
  <si>
    <t>midoc02</t>
  </si>
  <si>
    <t>this was the worst shot for the line out problem. Almost 500m of extra cable was out on 1 side so net was not fishing effectively.</t>
  </si>
  <si>
    <t>midoc 03</t>
  </si>
  <si>
    <t xml:space="preserve">net flown ignoring line-out on stbd side, flew very well </t>
  </si>
  <si>
    <t>MIDOC01</t>
  </si>
  <si>
    <t>front.of.net</t>
  </si>
  <si>
    <t>24.01.2016</t>
  </si>
  <si>
    <t>MIDOC01_FRONT_01</t>
  </si>
  <si>
    <t>wt.kg</t>
  </si>
  <si>
    <t>barracouda-like fish</t>
  </si>
  <si>
    <t>MIDOC01_FRONT_02</t>
  </si>
  <si>
    <t>MIDOC01_FRONT_03</t>
  </si>
  <si>
    <t>MIDOC01_FRONT_04</t>
  </si>
  <si>
    <t>MIDOC01_FRONT_05</t>
  </si>
  <si>
    <t>icefish larvae</t>
  </si>
  <si>
    <t>smaller icefish specimen not retained</t>
  </si>
  <si>
    <t>squid head and tentacles</t>
  </si>
  <si>
    <t>mantle length</t>
  </si>
  <si>
    <t>no head, only tentacles</t>
  </si>
  <si>
    <t>MIDOC01_CE1_01</t>
  </si>
  <si>
    <t>rudder fish</t>
  </si>
  <si>
    <t>Label says CE6, should say CE1; muscle plug, otoliths and guts retained retained</t>
  </si>
  <si>
    <t>MIDOC01_CE1_02</t>
  </si>
  <si>
    <t>medusa jellies</t>
  </si>
  <si>
    <t>5 individuals</t>
  </si>
  <si>
    <t>MIDOC01_CE1_03</t>
  </si>
  <si>
    <t>atolia jellies</t>
  </si>
  <si>
    <t>MIDOC01_CE1_04</t>
  </si>
  <si>
    <t>MIDOC01_CE1_05</t>
  </si>
  <si>
    <t>MIDOC01_CE1_06</t>
  </si>
  <si>
    <t>MIDOC01_CE1_07</t>
  </si>
  <si>
    <t>MIDOC01_CE1_08</t>
  </si>
  <si>
    <t>MIDOC01_CE1_09</t>
  </si>
  <si>
    <t>MIDOC01_CE1_10</t>
  </si>
  <si>
    <t>MIDOC01_CE1_11</t>
  </si>
  <si>
    <t>MIDOC01_CE1_12</t>
  </si>
  <si>
    <t>MIDOC01_CE1_13</t>
  </si>
  <si>
    <t>MIDOC01_CE1_14</t>
  </si>
  <si>
    <t>MIDOC01_CE1_15</t>
  </si>
  <si>
    <t>MIDOC01_CE1_16</t>
  </si>
  <si>
    <t>MIDOC01_CE1_17</t>
  </si>
  <si>
    <t>MIDOC01_CE1_18</t>
  </si>
  <si>
    <t>MIDOC01_CE1_19</t>
  </si>
  <si>
    <t>MIDOC01_CE1_20</t>
  </si>
  <si>
    <t>MIDOC01_CE1_21</t>
  </si>
  <si>
    <t>MIDOC01_CE1_22</t>
  </si>
  <si>
    <t>tray</t>
  </si>
  <si>
    <t>salps</t>
  </si>
  <si>
    <t>comb jellies</t>
  </si>
  <si>
    <t>tray; 0.180 kg discarded</t>
  </si>
  <si>
    <t>MIDOC01_CE1_salps</t>
  </si>
  <si>
    <t>MIDOC01_CE1_23</t>
  </si>
  <si>
    <t>MIDOC01_CE1_24</t>
  </si>
  <si>
    <t>MIDOC01_CE1_krill</t>
  </si>
  <si>
    <t>euphausiids</t>
  </si>
  <si>
    <t>Euphausia tricantha, E. superba, T. macrura</t>
  </si>
  <si>
    <t>MIDOC01_CE1_decapods</t>
  </si>
  <si>
    <t>MIDOC01_CE1_25</t>
  </si>
  <si>
    <t>Pteropod</t>
  </si>
  <si>
    <t>MIDOC01_CE1_26</t>
  </si>
  <si>
    <t>MIDOC01_CE1_27</t>
  </si>
  <si>
    <t>MIDOC01_CE1_28</t>
  </si>
  <si>
    <t>MIDOC01_CE1_29</t>
  </si>
  <si>
    <t>MIDOC01_CE1_30</t>
  </si>
  <si>
    <t>MIDOC01_CE1_31</t>
  </si>
  <si>
    <t>MIDOC01_CE1_32</t>
  </si>
  <si>
    <t>MIDOC01_CE1_33</t>
  </si>
  <si>
    <t>MIDOC01_CE1_34</t>
  </si>
  <si>
    <t>MIDOC01_CE1_35</t>
  </si>
  <si>
    <t>MIDOC01_CE1_36</t>
  </si>
  <si>
    <t>MIDOC01_CE1_37</t>
  </si>
  <si>
    <t>MIDOC01_CE1_38</t>
  </si>
  <si>
    <t>MIDOC01_CE1_39</t>
  </si>
  <si>
    <t>MIDOC01_CE1_40</t>
  </si>
  <si>
    <t>MIDOC01_CE1_41</t>
  </si>
  <si>
    <t>MIDOC01_CE1_42</t>
  </si>
  <si>
    <t>MIDOC01_CE1_43</t>
  </si>
  <si>
    <t>MIDOC01_CE1_44</t>
  </si>
  <si>
    <t>MIDOC01_CE1_45</t>
  </si>
  <si>
    <t>MIDOC01_CE1_46</t>
  </si>
  <si>
    <t>MIDOC01_CE1_47</t>
  </si>
  <si>
    <t>MIDOC01_CE1_48</t>
  </si>
  <si>
    <t>MIDOC01_CE1_49</t>
  </si>
  <si>
    <t>MIDOC01_CE1_50</t>
  </si>
  <si>
    <t>MIDOC01_CE1_51</t>
  </si>
  <si>
    <t>MIDOC01_CE1_52</t>
  </si>
  <si>
    <t>MIDOC01_CE1_53</t>
  </si>
  <si>
    <t>MIDOC01_CE1_54</t>
  </si>
  <si>
    <t>MIDOC01_CE1_55</t>
  </si>
  <si>
    <t>MIDOC01_CE1_56</t>
  </si>
  <si>
    <t>Unidentified fish</t>
  </si>
  <si>
    <t>most likely E. antarctica</t>
  </si>
  <si>
    <t>to be identified</t>
  </si>
  <si>
    <t>discards</t>
  </si>
  <si>
    <t>14 individuals</t>
  </si>
  <si>
    <t>MIDOC01_CE1_57</t>
  </si>
  <si>
    <t>MIDOC01_CE1_58</t>
  </si>
  <si>
    <t>MIDOC01_CE1_59</t>
  </si>
  <si>
    <t>MIDOC01_CE1_60</t>
  </si>
  <si>
    <t>MIDOC01_CE1_61</t>
  </si>
  <si>
    <t>MIDOC01_CE1_62</t>
  </si>
  <si>
    <t>MIDOC01_CE1_63</t>
  </si>
  <si>
    <t>MIDOC01_CE1_64</t>
  </si>
  <si>
    <t>MIDOC01_CE1_65</t>
  </si>
  <si>
    <t>MIDOC01_CE1_66</t>
  </si>
  <si>
    <t>MIDOC01_CE1_67</t>
  </si>
  <si>
    <t>MIDOC01_CE1_68</t>
  </si>
  <si>
    <t>MIDOC01_CE1_69</t>
  </si>
  <si>
    <t>MIDOC01_CE1_70</t>
  </si>
  <si>
    <t>MIDOC01_CE1_71</t>
  </si>
  <si>
    <t>MIDOC01_CE1_72</t>
  </si>
  <si>
    <t>MIDOC01_CE1_73</t>
  </si>
  <si>
    <t>MIDOC01_CE1_74</t>
  </si>
  <si>
    <t>MIDOC01_CE1_75</t>
  </si>
  <si>
    <t>MIDOC01_CE1_76</t>
  </si>
  <si>
    <t>MIDOC01_CE1_77</t>
  </si>
  <si>
    <t>MIDOC01_CE1_78</t>
  </si>
  <si>
    <t>MIDOC01_CE1_79</t>
  </si>
  <si>
    <t>MIDOC01_CE1_80</t>
  </si>
  <si>
    <t>MIDOC01_CE1_81</t>
  </si>
  <si>
    <t>MIDOC01_CE1_82</t>
  </si>
  <si>
    <t>MIDOC01_CE1_83</t>
  </si>
  <si>
    <t>MIDOC01_CE1_84</t>
  </si>
  <si>
    <t>MIDOC01_CE1_85</t>
  </si>
  <si>
    <t>MIDOC01_CE1_86</t>
  </si>
  <si>
    <t>MIDOC01_CE1_87</t>
  </si>
  <si>
    <t>MIDOC01_CE1_88</t>
  </si>
  <si>
    <t>MIDOC01_CE1_89</t>
  </si>
  <si>
    <t>MIDOC01_CE1_90</t>
  </si>
  <si>
    <t>MIDOC01_CE1_91</t>
  </si>
  <si>
    <t>MIDOC01_CE1_92</t>
  </si>
  <si>
    <t>MIDOC01_CE1_93</t>
  </si>
  <si>
    <t>MIDOC01_CE1_94</t>
  </si>
  <si>
    <t>MIDOC01_CE1_95</t>
  </si>
  <si>
    <t>MIDOC01_CE1_96</t>
  </si>
  <si>
    <t>MIDOC01_CE1_97</t>
  </si>
  <si>
    <t>MIDOC01_CE1_98</t>
  </si>
  <si>
    <t>MIDOC01_CE1_99</t>
  </si>
  <si>
    <t>MIDOC01_CE1_100</t>
  </si>
  <si>
    <t>MIDOC01_CE1_101</t>
  </si>
  <si>
    <t>MIDOC01_CE1_102</t>
  </si>
  <si>
    <t>MIDOC01_CE1_103</t>
  </si>
  <si>
    <t>MIDOC01_CE1_104</t>
  </si>
  <si>
    <t>MIDOC01_CE1_105</t>
  </si>
  <si>
    <t>MIDOC01_CE1_106</t>
  </si>
  <si>
    <t>MIDOC01_CE1_107</t>
  </si>
  <si>
    <t>MIDOC01_CE1_108</t>
  </si>
  <si>
    <t>MIDOC01_CE1_109</t>
  </si>
  <si>
    <t>MIDOC01_CE1_110</t>
  </si>
  <si>
    <t>MIDOC01_CE1_111</t>
  </si>
  <si>
    <t>MIDOC01_CE1_112</t>
  </si>
  <si>
    <t>MIDOC01_CE1_113</t>
  </si>
  <si>
    <t>MIDOC01_CE1_114</t>
  </si>
  <si>
    <t>Silverfish</t>
  </si>
  <si>
    <t>Sawtooth</t>
  </si>
  <si>
    <t>Chaetognaths</t>
  </si>
  <si>
    <t>sp. 1</t>
  </si>
  <si>
    <t>sp. 2</t>
  </si>
  <si>
    <t>sp. 3</t>
  </si>
  <si>
    <t>sp. 4</t>
  </si>
  <si>
    <t>sp. 5</t>
  </si>
  <si>
    <t>CE1 (IDs 58-62)</t>
  </si>
  <si>
    <t>Gymnoscopelus sp. 5</t>
  </si>
  <si>
    <t>CE1</t>
  </si>
  <si>
    <t>MIDOC01_CE6_01</t>
  </si>
  <si>
    <t>MIDOC01_CE6_02</t>
  </si>
  <si>
    <t>Electrona sp. 2</t>
  </si>
  <si>
    <t xml:space="preserve">Electrona sp. 2 </t>
  </si>
  <si>
    <t>CE1; log2 size class #2</t>
  </si>
  <si>
    <t>CE1; log2 size class #3</t>
  </si>
  <si>
    <t>Electrona sp. 3</t>
  </si>
  <si>
    <t>MIDOC01_CE6_03</t>
  </si>
  <si>
    <t>MIDOC01_CE6_04</t>
  </si>
  <si>
    <t>MIDOC01_CE6_05</t>
  </si>
  <si>
    <t>MIDOC01_CE6_06</t>
  </si>
  <si>
    <t>MIDOC01_CE6_07</t>
  </si>
  <si>
    <t>MIDOC01_CE6_08</t>
  </si>
  <si>
    <t>MIDOC01_CE6_09</t>
  </si>
  <si>
    <t>MIDOC01_CE6_10</t>
  </si>
  <si>
    <t>MIDOC01_CE6_11</t>
  </si>
  <si>
    <t>MIDOC01_CE6_12</t>
  </si>
  <si>
    <t>MIDOC01_CE6_13</t>
  </si>
  <si>
    <t>MIDOC01_CE6_14</t>
  </si>
  <si>
    <t>Gymnoscopelus sp. 1</t>
  </si>
  <si>
    <t>4 specimens</t>
  </si>
  <si>
    <t>Sawtooth sp. 2</t>
  </si>
  <si>
    <t>Armless flounder</t>
  </si>
  <si>
    <t>Assorted fish</t>
  </si>
  <si>
    <t>salps &amp; gelatinous</t>
  </si>
  <si>
    <t>ptomopterus</t>
  </si>
  <si>
    <t>ctenophore</t>
  </si>
  <si>
    <t>MIDOC01_CE6_15</t>
  </si>
  <si>
    <t>MIDOC01_CE6_16</t>
  </si>
  <si>
    <t>MIDOC01_CE6_17</t>
  </si>
  <si>
    <t>chaetognath</t>
  </si>
  <si>
    <t>assorted crustaceans</t>
  </si>
  <si>
    <t>MIDOC01_CE2_01</t>
  </si>
  <si>
    <t>MIDOC01_CE2_02</t>
  </si>
  <si>
    <t>MIDOC01_CE2_03</t>
  </si>
  <si>
    <t>MIDOC01_CE2_04</t>
  </si>
  <si>
    <t>MIDOC01_CE2_05</t>
  </si>
  <si>
    <t>MIDOC01_CE2_06</t>
  </si>
  <si>
    <t>MIDOC01_CE2_07</t>
  </si>
  <si>
    <t>MIDOC01_CE2_08</t>
  </si>
  <si>
    <t>MIDOC01_CE2_09</t>
  </si>
  <si>
    <t>MIDOC01_CE2_10</t>
  </si>
  <si>
    <t>MIDOC01_CE2_11</t>
  </si>
  <si>
    <t>salps &amp; crustaceans</t>
  </si>
  <si>
    <t>squids</t>
  </si>
  <si>
    <t>Sawtooth fish</t>
  </si>
  <si>
    <t>many</t>
  </si>
  <si>
    <t>13 specimens</t>
  </si>
  <si>
    <t>MIDOC01_CE5_01</t>
  </si>
  <si>
    <t>MIDOC01_CE5_02</t>
  </si>
  <si>
    <t>MIDOC01_CE5_03</t>
  </si>
  <si>
    <t>MIDOC01_CE5_04</t>
  </si>
  <si>
    <t>MIDOC01_CE5_05</t>
  </si>
  <si>
    <t>MIDOC01_CE5_06</t>
  </si>
  <si>
    <t>salps, crustaceans, larval fish</t>
  </si>
  <si>
    <t>27 specimens</t>
  </si>
  <si>
    <t>7 specimens</t>
  </si>
  <si>
    <t>CE6</t>
  </si>
  <si>
    <t>CE2</t>
  </si>
  <si>
    <t>MIDOC01_CE3_01</t>
  </si>
  <si>
    <t>MIDOC01_CE3_02</t>
  </si>
  <si>
    <t>MIDOC01_CE3_03</t>
  </si>
  <si>
    <t>MIDOC01_CE3_04</t>
  </si>
  <si>
    <t>MIDOC01_CE3_05</t>
  </si>
  <si>
    <t>MIDOC01_CE3_06</t>
  </si>
  <si>
    <t>MIDOC01_CE3_07</t>
  </si>
  <si>
    <t>MIDOC01_CE3_08</t>
  </si>
  <si>
    <t>MIDOC01_CE4_01</t>
  </si>
  <si>
    <t>MIDOC01_CE4_02</t>
  </si>
  <si>
    <t>MIDOC01_CE4_03</t>
  </si>
  <si>
    <t>MIDOC01_CE4_04</t>
  </si>
  <si>
    <t>MIDOC01_CE4_05</t>
  </si>
  <si>
    <t>MIDOC01_CE4_06</t>
  </si>
  <si>
    <t>MIDOC01_CE4_07</t>
  </si>
  <si>
    <t>MIDOC01_CE4_08</t>
  </si>
  <si>
    <t>MIDOC01_CE4_09</t>
  </si>
  <si>
    <t>cnidarian &amp; crustaceans</t>
  </si>
  <si>
    <t>larval fish</t>
  </si>
  <si>
    <t>20 specimens</t>
  </si>
  <si>
    <t>28 specimens</t>
  </si>
  <si>
    <t>violet cod</t>
  </si>
  <si>
    <t>ID TBD; 5 specimens</t>
  </si>
  <si>
    <t>8 specimens</t>
  </si>
  <si>
    <t>19 specimens</t>
  </si>
  <si>
    <t>12 specimens</t>
  </si>
  <si>
    <t>9 specimens</t>
  </si>
  <si>
    <t>voyage.stn</t>
  </si>
  <si>
    <t>KX09</t>
  </si>
  <si>
    <t>MIDOC02</t>
  </si>
  <si>
    <t>MIDOC03</t>
  </si>
  <si>
    <t>MIDOC04</t>
  </si>
  <si>
    <t>MIDOC_03_CE2_TRAY1</t>
  </si>
  <si>
    <t>includes 01-03</t>
  </si>
  <si>
    <t>MIDOC_03_CE2_TRAY2</t>
  </si>
  <si>
    <t>small individuals</t>
  </si>
  <si>
    <t>MIDOC_03_CE2_01</t>
  </si>
  <si>
    <t>MIDOC_03_CE2_02</t>
  </si>
  <si>
    <t>MIDOC_03_CE2_03</t>
  </si>
  <si>
    <t>MIDOC_03_CE2_04</t>
  </si>
  <si>
    <t>MIDOC_03_CE2_05</t>
  </si>
  <si>
    <t>MIDOC_03_CE2_06</t>
  </si>
  <si>
    <t>MIDOC_03_CE2_07</t>
  </si>
  <si>
    <t>midoc.station.id</t>
  </si>
  <si>
    <t>mixed inverts and salps</t>
  </si>
  <si>
    <t>MIDOC_03_CE2_TRAY3</t>
  </si>
  <si>
    <t>includes 09-19</t>
  </si>
  <si>
    <t>MIDOC_03_CE2_08</t>
  </si>
  <si>
    <t>5 individuals, in ethanol</t>
  </si>
  <si>
    <t>MIDOC_03_CE2_09</t>
  </si>
  <si>
    <t>MIDOC_03_CE2_10</t>
  </si>
  <si>
    <t>MIDOC_03_CE2_11</t>
  </si>
  <si>
    <t>MIDOC_03_CE2_12</t>
  </si>
  <si>
    <t>MIDOC_03_CE2_13</t>
  </si>
  <si>
    <t>MIDOC_03_CE2_14</t>
  </si>
  <si>
    <t>MIDOC_03_CE2_15</t>
  </si>
  <si>
    <t>MIDOC_03_CE2_16</t>
  </si>
  <si>
    <t>MIDOC_03_CE2_17</t>
  </si>
  <si>
    <t>MIDOC_03_CE2_18</t>
  </si>
  <si>
    <t>MIDOC_03_CE2_19</t>
  </si>
  <si>
    <t>fish</t>
  </si>
  <si>
    <t>individuals from tray 3, bagged individually but not weighed</t>
  </si>
  <si>
    <t>MIDOC_03_CE2_23</t>
  </si>
  <si>
    <t>in ethanol</t>
  </si>
  <si>
    <t>MIDOC_03_CE2_21</t>
  </si>
  <si>
    <t>MIDOC_03_CE2_20</t>
  </si>
  <si>
    <t>MIDOC_03_CE2_22</t>
  </si>
  <si>
    <t>subsample of 0.320 retained</t>
  </si>
  <si>
    <t>MIDOC_03_CE3_TRAY1</t>
  </si>
  <si>
    <t>voyage.wp</t>
  </si>
  <si>
    <t>WP0302</t>
  </si>
  <si>
    <t>includes 01-03+06(ethanol)</t>
  </si>
  <si>
    <t>MIDOC_03_CE3_TRAY2</t>
  </si>
  <si>
    <t>MIDOC_03_CE3_01</t>
  </si>
  <si>
    <t>MIDOC_03_CE3_02</t>
  </si>
  <si>
    <t>MIDOC_03_CE3_03</t>
  </si>
  <si>
    <t>MIDOC_03_CE3_04</t>
  </si>
  <si>
    <t>MIDOC_03_CE3_05</t>
  </si>
  <si>
    <t>MIDOC_03_CE3_06</t>
  </si>
  <si>
    <t>MIDOC_03_CE3_TRAY3</t>
  </si>
  <si>
    <t>myctophids and other fish</t>
  </si>
  <si>
    <t>MIDOC_03_CE3_07</t>
  </si>
  <si>
    <t>MIDOC_03_CE3_08</t>
  </si>
  <si>
    <t>MIDOC_03_CE3_09</t>
  </si>
  <si>
    <t>MIDOC_03_CE3_10</t>
  </si>
  <si>
    <t>MIDOC_03_CE3_11</t>
  </si>
  <si>
    <t>k. andersonii</t>
  </si>
  <si>
    <t>subsample retained of 0.426kg</t>
  </si>
  <si>
    <t>n=5 in ethanol</t>
  </si>
  <si>
    <t>includes 03_07 to 03_20</t>
  </si>
  <si>
    <t>MIDOC_03_CE3_TRAY4</t>
  </si>
  <si>
    <t>MIDOC_03_CE3_22</t>
  </si>
  <si>
    <t>MIDOC_03_CE3_21</t>
  </si>
  <si>
    <t>MIDOC_03_CE3_12</t>
  </si>
  <si>
    <t>MIDOC_03_CE3_13</t>
  </si>
  <si>
    <t>MIDOC_03_CE3_14</t>
  </si>
  <si>
    <t>MIDOC_03_CE3_15</t>
  </si>
  <si>
    <t>MIDOC_03_CE3_16</t>
  </si>
  <si>
    <t>MIDOC_03_CE3_17</t>
  </si>
  <si>
    <t>MIDOC_03_CE3_18</t>
  </si>
  <si>
    <t>MIDOC_03_CE3_19</t>
  </si>
  <si>
    <t>MIDOC_03_CE3_20</t>
  </si>
  <si>
    <t>MIDOC_03_CE3_31</t>
  </si>
  <si>
    <t>MIDOC_03_CE3_23</t>
  </si>
  <si>
    <t>MIDOC_03_CE3_24</t>
  </si>
  <si>
    <t>MIDOC_03_CE3_25</t>
  </si>
  <si>
    <t>MIDOC_03_CE3_26</t>
  </si>
  <si>
    <t>MIDOC_03_CE3_27</t>
  </si>
  <si>
    <t>MIDOC_03_CE3_28</t>
  </si>
  <si>
    <t>MIDOC_03_CE3_29</t>
  </si>
  <si>
    <t>MIDOC_03_CE3_30</t>
  </si>
  <si>
    <t>MIDOC_03_CE3_32</t>
  </si>
  <si>
    <t>MIDOC_03_CE3_33</t>
  </si>
  <si>
    <t>MIDOC_03_CE3_34</t>
  </si>
  <si>
    <t>MIDOC_03_CE3_35</t>
  </si>
  <si>
    <t>MIDOC_03_CE3_TRAY5</t>
  </si>
  <si>
    <t>MIDOC_03_CE3_37</t>
  </si>
  <si>
    <t>MIDOC_03_CE3_36</t>
  </si>
  <si>
    <t>MIDOC_03_CE3_38</t>
  </si>
  <si>
    <t>assorted medusae</t>
  </si>
  <si>
    <t>fish - rat tails?</t>
  </si>
  <si>
    <t>n.individuals</t>
  </si>
  <si>
    <t>multiple</t>
  </si>
  <si>
    <t>n</t>
  </si>
  <si>
    <t>little black guy</t>
  </si>
  <si>
    <t>5 individuals in ethanol</t>
  </si>
  <si>
    <t>5 small individuals in ethanol</t>
  </si>
  <si>
    <t>5 large individuals in ethanol</t>
  </si>
  <si>
    <t>ostracods, squid and gelatinous</t>
  </si>
  <si>
    <t>all weighed - samples 37,36,38</t>
  </si>
  <si>
    <t>ostracods</t>
  </si>
  <si>
    <t>MIDOC_03_CE4_01</t>
  </si>
  <si>
    <t>in tray 1 photo</t>
  </si>
  <si>
    <t>MIDOC_03_CE4_02</t>
  </si>
  <si>
    <t>MIDOC_03_CE4_03</t>
  </si>
  <si>
    <t>MIDOC_03_CE4_04</t>
  </si>
  <si>
    <t>MIDOC_03_CE4_05</t>
  </si>
  <si>
    <t>MIDOC_03_CE4_06</t>
  </si>
  <si>
    <t>MIDOC_03_CE4_07</t>
  </si>
  <si>
    <t>MIDOC_03_CE4_08</t>
  </si>
  <si>
    <t>MIDOC_03_CE4_09</t>
  </si>
  <si>
    <t>MIDOC_03_CE4_10</t>
  </si>
  <si>
    <t>MIDOC_03_CE4_11</t>
  </si>
  <si>
    <t>MIDOC_03_CE4_12</t>
  </si>
  <si>
    <t>MIDOC_03_CE4_33</t>
  </si>
  <si>
    <t>MIDOC_03_CE4_34</t>
  </si>
  <si>
    <t>Sawtooth sp 3</t>
  </si>
  <si>
    <t>sawtooth</t>
  </si>
  <si>
    <t>0.455 kg retained; in tray 2 photo</t>
  </si>
  <si>
    <t>0.432 retained</t>
  </si>
  <si>
    <t>MIDOC_03_CE4_13</t>
  </si>
  <si>
    <t>MIDOC_03_CE4_18</t>
  </si>
  <si>
    <t>MIDOC_03_CE4_19</t>
  </si>
  <si>
    <t>MIDOC_03_CE4_20</t>
  </si>
  <si>
    <t>MIDOC_03_CE4_21</t>
  </si>
  <si>
    <t>MIDOC_03_CE4_22</t>
  </si>
  <si>
    <t>MIDOC_03_CE4_15</t>
  </si>
  <si>
    <t>MIDOC_03_CE4_16</t>
  </si>
  <si>
    <t>MIDOC_03_CE4_17</t>
  </si>
  <si>
    <t>MIDOC_03_CE4_14</t>
  </si>
  <si>
    <t>MIDOC_03_CE4_35</t>
  </si>
  <si>
    <t>MIDOC_03_CE4_36</t>
  </si>
  <si>
    <t>MIDOC_03_CE4_23</t>
  </si>
  <si>
    <t>MIDOC_03_CE4_24</t>
  </si>
  <si>
    <t>MIDOC_03_CE4_25</t>
  </si>
  <si>
    <t>MIDOC_03_CE4_26</t>
  </si>
  <si>
    <t>MIDOC_03_CE4_27</t>
  </si>
  <si>
    <t>Jellyfish</t>
  </si>
  <si>
    <t>in tray photo 0423-0442</t>
  </si>
  <si>
    <t>in tray photo 0423-0443</t>
  </si>
  <si>
    <t>in tray photo 0423-0444</t>
  </si>
  <si>
    <t>in tray photo 0423-0445</t>
  </si>
  <si>
    <t>in tray photo 0423-0446</t>
  </si>
  <si>
    <t>MIDOC_03_CE4_28</t>
  </si>
  <si>
    <t>MIDOC_03_CE4_29</t>
  </si>
  <si>
    <t>MIDOC_03_CE4_30</t>
  </si>
  <si>
    <t>MIDOC_03_CE4_31</t>
  </si>
  <si>
    <t>MIDOC_03_CE4_32</t>
  </si>
  <si>
    <t>MIDOC_03_CE4_42</t>
  </si>
  <si>
    <t>MIDOC_03_CE4_TRAY3</t>
  </si>
  <si>
    <t>MIDOC_03_CE4_37</t>
  </si>
  <si>
    <t>MIDOC_03_CE4_38</t>
  </si>
  <si>
    <t>MIDOC_03_CE4_39</t>
  </si>
  <si>
    <t>MIDOC_03_CE4_40</t>
  </si>
  <si>
    <t>MIDOC_03_CE4_41</t>
  </si>
  <si>
    <t>MIDOC_03_CE4_48</t>
  </si>
  <si>
    <t>MIDOC_03_CE4_44</t>
  </si>
  <si>
    <t>MIDOC_03_CE4_45</t>
  </si>
  <si>
    <t>MIDOC_03_CE4_43</t>
  </si>
  <si>
    <t>MIDOC_03_CE4_46</t>
  </si>
  <si>
    <t>MIDOC_03_CE4_47</t>
  </si>
  <si>
    <t>mixed inverts</t>
  </si>
  <si>
    <t>Calycopsis</t>
  </si>
  <si>
    <t>includes 37 to 41 and 48; discarded weight 0.097</t>
  </si>
  <si>
    <t>4 individuals</t>
  </si>
  <si>
    <t>all retained</t>
  </si>
  <si>
    <t>17 individuals</t>
  </si>
  <si>
    <t>MIDOC_03_CE5_TRAY1</t>
  </si>
  <si>
    <t>MIDOC_03_CE5_01</t>
  </si>
  <si>
    <t>MIDOC_03_CE5_02</t>
  </si>
  <si>
    <t>MIDOC_03_CE5_03</t>
  </si>
  <si>
    <t>MIDOC_03_CE5_04</t>
  </si>
  <si>
    <t>MIDOC_03_CE5_05</t>
  </si>
  <si>
    <t>MIDOC_03_CE5_06</t>
  </si>
  <si>
    <t>sawtooth larvae</t>
  </si>
  <si>
    <t>MIDOC_03_CE5_TRAY2</t>
  </si>
  <si>
    <t>includes 05_11 to 05_21</t>
  </si>
  <si>
    <t>MIDOC_03_CE5_11</t>
  </si>
  <si>
    <t>MIDOC_03_CE5_10</t>
  </si>
  <si>
    <t>MIDOC_03_CE5_12</t>
  </si>
  <si>
    <t>MIDOC_03_CE5_13</t>
  </si>
  <si>
    <t>MIDOC_03_CE5_14</t>
  </si>
  <si>
    <t>MIDOC_03_CE5_15</t>
  </si>
  <si>
    <t>MIDOC_03_CE5_16</t>
  </si>
  <si>
    <t>MIDOC_03_CE5_17</t>
  </si>
  <si>
    <t>MIDOC_03_CE5_18</t>
  </si>
  <si>
    <t>MIDOC_03_CE5_19</t>
  </si>
  <si>
    <t>MIDOC_03_CE5_20</t>
  </si>
  <si>
    <t>MIDOC_03_CE5_21</t>
  </si>
  <si>
    <t>MIDOC_03_CE5_TRAY3</t>
  </si>
  <si>
    <t>8 individuals in ethanol</t>
  </si>
  <si>
    <t>MIDOC_03_CE5_23</t>
  </si>
  <si>
    <t>MIDOC_03_CE5_24</t>
  </si>
  <si>
    <t>MIDOC_03_CE5_25</t>
  </si>
  <si>
    <t>MIDOC_03_CE5_27</t>
  </si>
  <si>
    <t>MIDOC_03_CE5_30</t>
  </si>
  <si>
    <t>MIDOC_03_CE5_26</t>
  </si>
  <si>
    <t>MIDOC_03_CE5_22</t>
  </si>
  <si>
    <t>MIDOC_03_CE5_28</t>
  </si>
  <si>
    <t>MIDOC_03_CE5_31</t>
  </si>
  <si>
    <t>MIDOC_03_CE5_39</t>
  </si>
  <si>
    <t>MIDOC_03_CE5_32</t>
  </si>
  <si>
    <t>MIDOC_03_CE5_33</t>
  </si>
  <si>
    <t>MIDOC_03_CE5_07</t>
  </si>
  <si>
    <t>Mixed euphausiids</t>
  </si>
  <si>
    <t>Mixed gelatinous</t>
  </si>
  <si>
    <t>10 individuals in ethanol</t>
  </si>
  <si>
    <t>MIDOC_03_CE6_TRAY1</t>
  </si>
  <si>
    <t>MIDOC_03_CE6_10</t>
  </si>
  <si>
    <t>MIDOC_03_CE6_01</t>
  </si>
  <si>
    <t>MIDOC_03_CE6_02</t>
  </si>
  <si>
    <t>MIDOC_03_CE6_03</t>
  </si>
  <si>
    <t>MIDOC_03_CE6_04</t>
  </si>
  <si>
    <t>MIDOC_03_CE6_05</t>
  </si>
  <si>
    <t>MIDOC_03_CE6_06</t>
  </si>
  <si>
    <t>MIDOC_03_CE6_07</t>
  </si>
  <si>
    <t>MIDOC_03_CE6_08</t>
  </si>
  <si>
    <t>sawtooth sp 1</t>
  </si>
  <si>
    <t>includes 06_01 to 06_11</t>
  </si>
  <si>
    <t>MIDOC_03_CE6_09</t>
  </si>
  <si>
    <t>MIDOC_03_CE6_11</t>
  </si>
  <si>
    <t>MIDOC_03_CE6_TRAY2</t>
  </si>
  <si>
    <t>MIDOC_03_CE6_12</t>
  </si>
  <si>
    <t>MIDOC_03_CE6_13</t>
  </si>
  <si>
    <t>MIDOC_03_CE6_14</t>
  </si>
  <si>
    <t>MIDOC_03_CE6_15</t>
  </si>
  <si>
    <t>MIDOC_03_CE6_16</t>
  </si>
  <si>
    <t>MIDOC_03_CE6_17</t>
  </si>
  <si>
    <t>MIDOC_03_CE6_18</t>
  </si>
  <si>
    <t>MIDOC_03_CE6_19</t>
  </si>
  <si>
    <t>MIDOC_03_CE6_20</t>
  </si>
  <si>
    <t>MIDOC_03_CE6_21</t>
  </si>
  <si>
    <t>MIDOC_03_CE6_22</t>
  </si>
  <si>
    <t>MIDOC_03_CE6_23</t>
  </si>
  <si>
    <t>MIDOC_03_CE6_24</t>
  </si>
  <si>
    <t>MIDOC_03_CE6_25</t>
  </si>
  <si>
    <t>MIDOC_03_CE6_26</t>
  </si>
  <si>
    <t>includes 06_12 to 06_26</t>
  </si>
  <si>
    <t>MIDOC_03_CE6_TRAY3</t>
  </si>
  <si>
    <t>MIDOC_03_CE6_29</t>
  </si>
  <si>
    <t>MIDOC_03_CE6_30</t>
  </si>
  <si>
    <t>MIDOC_03_CE6_31</t>
  </si>
  <si>
    <t>MIDOC_03_CE6_32</t>
  </si>
  <si>
    <t>MIDOC_03_CE6_33</t>
  </si>
  <si>
    <t>MIDOC_03_CE6_34</t>
  </si>
  <si>
    <t>MIDOC_03_CE6_35</t>
  </si>
  <si>
    <t>Rat tail</t>
  </si>
  <si>
    <t>MIDOC_03_CE6_TRAY4</t>
  </si>
  <si>
    <t>to.check</t>
  </si>
  <si>
    <t>check in photos if this tray contains the following electrona individuals</t>
  </si>
  <si>
    <t>MIDOC_03_CE6_37</t>
  </si>
  <si>
    <t>MIDOC_03_CE6_38</t>
  </si>
  <si>
    <t>MIDOC_03_CE6_39</t>
  </si>
  <si>
    <t>MIDOC_03_CE6_40</t>
  </si>
  <si>
    <t>MIDOC_03_CE6_41</t>
  </si>
  <si>
    <t>MIDOC_03_CE6_42</t>
  </si>
  <si>
    <t>MIDOC_03_CE6_43</t>
  </si>
  <si>
    <t>MIDOC_03_CE6_44</t>
  </si>
  <si>
    <t>MIDOC_03_CE6_45</t>
  </si>
  <si>
    <t>MIDOC_03_CE6_46</t>
  </si>
  <si>
    <t>MIDOC_03_CE6_47</t>
  </si>
  <si>
    <t>MIDOC_03_CE6_48</t>
  </si>
  <si>
    <t>MIDOC_03_CE6_49</t>
  </si>
  <si>
    <t>MIDOC_03_CE6_50</t>
  </si>
  <si>
    <t>MIDOC_03_CE6_51</t>
  </si>
  <si>
    <t>MIDOC_03_CE6_52</t>
  </si>
  <si>
    <t>MIDOC_03_CE6_53</t>
  </si>
  <si>
    <t>MIDOC_03_CE6_54</t>
  </si>
  <si>
    <t>MIDOC_03_CE6_55</t>
  </si>
  <si>
    <t>MIDOC_03_CE6_56</t>
  </si>
  <si>
    <t>MIDOC_03_CE6_57</t>
  </si>
  <si>
    <t>MIDOC_03_CE6_59</t>
  </si>
  <si>
    <t>MIDOC_03_CE6_58</t>
  </si>
  <si>
    <t>MIDOC_03_CE6_60</t>
  </si>
  <si>
    <t>mixed gelatinous</t>
  </si>
  <si>
    <t>0.249kg retained</t>
  </si>
  <si>
    <t>Mastidoteuthys</t>
  </si>
  <si>
    <t>Mixed crustaceans</t>
  </si>
  <si>
    <t>Atiolia jellyfish</t>
  </si>
  <si>
    <t>large size-class from tray, retained in ethanol</t>
  </si>
  <si>
    <t>smallest size-class from tray, retained in ethanol</t>
  </si>
  <si>
    <t>medium size-class from tray, retained in ethanol</t>
  </si>
  <si>
    <t>subsample of 0.139 retained</t>
  </si>
  <si>
    <t>0.012 tentacle retained</t>
  </si>
  <si>
    <t>MIDOC_03_CE1_01</t>
  </si>
  <si>
    <t>MIDOC_03_CE1_02</t>
  </si>
  <si>
    <t>MIDOC_03_CE1_03</t>
  </si>
  <si>
    <t>MIDOC_03_CE1_04</t>
  </si>
  <si>
    <t>mixed fish</t>
  </si>
  <si>
    <t>squid, amphipods, calycopsis, salps</t>
  </si>
  <si>
    <t>26.1.2016</t>
  </si>
  <si>
    <t>MIDOC_04_CE2_01</t>
  </si>
  <si>
    <t>MIDOC_04_CE2_02</t>
  </si>
  <si>
    <t>MIDOC_04_CE2_03</t>
  </si>
  <si>
    <t>MIDOC_04_CE2_04</t>
  </si>
  <si>
    <t>medusae</t>
  </si>
  <si>
    <t>subsample retained 0.375</t>
  </si>
  <si>
    <t>MIDOC_04_CE2_TRAY1</t>
  </si>
  <si>
    <t>MIDOC_04_CE2_05</t>
  </si>
  <si>
    <t>MIDOC_04_CE2_06</t>
  </si>
  <si>
    <t>includes 02_02 to  02_07</t>
  </si>
  <si>
    <t>check if 02_07 is among ethanol samples; not recorded on data sheet</t>
  </si>
  <si>
    <t>MIDOC_04_CE2_TRAY2</t>
  </si>
  <si>
    <t>Myctophids and squid</t>
  </si>
  <si>
    <t>MIDOC_04_CE2_08</t>
  </si>
  <si>
    <t>MIDOC_04_CE2_09</t>
  </si>
  <si>
    <t>MIDOC_04_CE2_10</t>
  </si>
  <si>
    <t>MIDOC_04_CE2_11</t>
  </si>
  <si>
    <t>MIDOC_04_CE2_12</t>
  </si>
  <si>
    <t>MIDOC_04_CE2_13</t>
  </si>
  <si>
    <t>MIDOC_04_CE2_14</t>
  </si>
  <si>
    <t>MIDOC_04_CE2_15</t>
  </si>
  <si>
    <t>MIDOC_04_CE2_16</t>
  </si>
  <si>
    <t>MIDOC_04_CE2_17</t>
  </si>
  <si>
    <t>MIDOC_04_CE2_18</t>
  </si>
  <si>
    <t>MIDOC_04_CE2_19</t>
  </si>
  <si>
    <t>MIDOC_04_CE2_20</t>
  </si>
  <si>
    <t>MIDOC_04_CE2_21</t>
  </si>
  <si>
    <t>MIDOC_04_CE2_22</t>
  </si>
  <si>
    <t>MIDOC_04_CE2_23</t>
  </si>
  <si>
    <t>Myctophid</t>
  </si>
  <si>
    <t>K. andersonii?</t>
  </si>
  <si>
    <t>check ID, species not recorded on sheet</t>
  </si>
  <si>
    <t>MIDOC_04_CE2_38</t>
  </si>
  <si>
    <t>MIDOC_04_CE2_37</t>
  </si>
  <si>
    <t>MIDOC_04_CE2_25</t>
  </si>
  <si>
    <t>MIDOC_04_CE2_24</t>
  </si>
  <si>
    <t>MIDOC_04_CE2_26</t>
  </si>
  <si>
    <t>MIDOC_04_CE2_27</t>
  </si>
  <si>
    <t>MIDOC_04_CE2_28</t>
  </si>
  <si>
    <t>mixed jellies</t>
  </si>
  <si>
    <t>ostracods and other inverts</t>
  </si>
  <si>
    <t>subsample of 0.176 kg retained</t>
  </si>
  <si>
    <t>catch.wt.extra.kg</t>
  </si>
  <si>
    <t>MIDOC_04_CE2_29</t>
  </si>
  <si>
    <t>MIDOC_04_CE2_30</t>
  </si>
  <si>
    <t>MIDOC_04_CE2_31</t>
  </si>
  <si>
    <t>MIDOC_04_CE2_32</t>
  </si>
  <si>
    <t>MIDOC_04_CE2_33</t>
  </si>
  <si>
    <t>MIDOC_04_CE2_34</t>
  </si>
  <si>
    <t>MIDOC_04_CE2_35</t>
  </si>
  <si>
    <t>MIDOC_04_CE2_36</t>
  </si>
  <si>
    <t>MIDOC_04_CE2_discards</t>
  </si>
  <si>
    <t>lampydactus</t>
  </si>
  <si>
    <t>bag of 5 individuals</t>
  </si>
  <si>
    <t>tray weight missed, so discards recorded</t>
  </si>
  <si>
    <t>MIDOC_04_CE4_01</t>
  </si>
  <si>
    <t>MIDOC_04_CE4_02</t>
  </si>
  <si>
    <t>MIDOC_04_CE4_03</t>
  </si>
  <si>
    <t>MIDOC_04_CE4_04</t>
  </si>
  <si>
    <t>MIDOC_04_CE4_16</t>
  </si>
  <si>
    <t>ostracods et al</t>
  </si>
  <si>
    <t>includes 04_06 to 04_15</t>
  </si>
  <si>
    <t>MIDOC_04_CE4_TRAY1</t>
  </si>
  <si>
    <t>MIDOC_04_CE4_06</t>
  </si>
  <si>
    <t>MIDOC_04_CE4_05</t>
  </si>
  <si>
    <t>MIDOC_04_CE4_07</t>
  </si>
  <si>
    <t>MIDOC_04_CE4_08</t>
  </si>
  <si>
    <t>MIDOC_04_CE4_09</t>
  </si>
  <si>
    <t>MIDOC_04_CE4_TRAY2</t>
  </si>
  <si>
    <t>MIDOC_04_CE4_10</t>
  </si>
  <si>
    <t>MIDOC_04_CE4_11</t>
  </si>
  <si>
    <t>MIDOC_04_CE4_12</t>
  </si>
  <si>
    <t>MIDOC_04_CE4_13</t>
  </si>
  <si>
    <t>MIDOC_04_CE4_14</t>
  </si>
  <si>
    <t>MIDOC_04_CE4_15</t>
  </si>
  <si>
    <t>MIDOC_04_CE4_32</t>
  </si>
  <si>
    <t>MIDOC_04_CE4_33</t>
  </si>
  <si>
    <t>MIDOC_04_CE4_18</t>
  </si>
  <si>
    <t>MIDOC_04_CE4_19</t>
  </si>
  <si>
    <t>MIDOC_04_CE4_20</t>
  </si>
  <si>
    <t>check that myctophid - not specified on data sheet</t>
  </si>
  <si>
    <t>0.271 kg retained</t>
  </si>
  <si>
    <t>crustacean crap and fish scales</t>
  </si>
  <si>
    <t>MIDOC01_no_ID1</t>
  </si>
  <si>
    <t>MIDOC01_no_ID2</t>
  </si>
  <si>
    <t>MIDOC01_no_ID3</t>
  </si>
  <si>
    <t>MIDOC01_no_ID4</t>
  </si>
  <si>
    <t>MIDOC_04_CE4_21</t>
  </si>
  <si>
    <t>MIDOC_04_CE4_22</t>
  </si>
  <si>
    <t>MIDOC_04_CE4_23</t>
  </si>
  <si>
    <t>MIDOC_04_CE4_24</t>
  </si>
  <si>
    <t>MIDOC_04_CE4_25</t>
  </si>
  <si>
    <t>MIDOC_04_CE4_26</t>
  </si>
  <si>
    <t>MIDOC_04_CE4_27</t>
  </si>
  <si>
    <t>MIDOC_04_CE4_28</t>
  </si>
  <si>
    <t>MIDOC_04_CE4_29</t>
  </si>
  <si>
    <t>MIDOC_04_CE4_30</t>
  </si>
  <si>
    <t>MIDOC_04_CE4_31</t>
  </si>
  <si>
    <t>MIDOC_04_CE4_34</t>
  </si>
  <si>
    <t>MIDOC_04_CE4_35</t>
  </si>
  <si>
    <t>MIDOC_04_CE4_36</t>
  </si>
  <si>
    <t>MIDOC_04_CE3_01</t>
  </si>
  <si>
    <t>0.181 kg sample retained</t>
  </si>
  <si>
    <t>MIDOC_04_CE3_02</t>
  </si>
  <si>
    <t>MIDOC_04_CE3_TRAY1</t>
  </si>
  <si>
    <t>0.365 discarded</t>
  </si>
  <si>
    <t>MIDOC_04_CE3_03</t>
  </si>
  <si>
    <t>MIDOC_04_CE3_04</t>
  </si>
  <si>
    <t>MIDOC_04_CE3_11</t>
  </si>
  <si>
    <t>MIDOC_04_CE3_TRAY2</t>
  </si>
  <si>
    <t>MIDOC_04_CE3_05</t>
  </si>
  <si>
    <t>MIDOC_04_CE3_06</t>
  </si>
  <si>
    <t>MIDOC_04_CE3_08</t>
  </si>
  <si>
    <t>MIDOC_04_CE3_40</t>
  </si>
  <si>
    <t>MIDOC_04_CE3_TRAY3</t>
  </si>
  <si>
    <t>MIDOC_04_CE3_07</t>
  </si>
  <si>
    <t>MIDOC_04_CE3_09</t>
  </si>
  <si>
    <t>MIDOC_04_CE3_10</t>
  </si>
  <si>
    <t>MIDOC_04_CE3_43</t>
  </si>
  <si>
    <t>0.462 retained</t>
  </si>
  <si>
    <t>MIDOC_04_CE3_42</t>
  </si>
  <si>
    <t>MIDOC_04_CE3_12</t>
  </si>
  <si>
    <t>MIDOC_04_CE3_13</t>
  </si>
  <si>
    <t>MIDOC_04_CE3_33</t>
  </si>
  <si>
    <t>MIDOC_04_CE3_TRAY4</t>
  </si>
  <si>
    <t>MIDOC_04_CE3_27</t>
  </si>
  <si>
    <t>MIDOC_04_CE3_28</t>
  </si>
  <si>
    <t>MIDOC_04_CE3_19</t>
  </si>
  <si>
    <t>MIDOC_04_CE3_29</t>
  </si>
  <si>
    <t>MIDOC_04_CE3_30</t>
  </si>
  <si>
    <t>MIDOC_04_CE3_31</t>
  </si>
  <si>
    <t>MIDOC_04_CE3_32</t>
  </si>
  <si>
    <t>MIDOC_04_CE3_14</t>
  </si>
  <si>
    <t>MIDOC_04_CE3_20</t>
  </si>
  <si>
    <t>MIDOC_04_CE3_26</t>
  </si>
  <si>
    <t>MIDOC_04_CE3_15</t>
  </si>
  <si>
    <t>MIDOC_04_CE3_16</t>
  </si>
  <si>
    <t>MIDOC_04_CE3_17</t>
  </si>
  <si>
    <t>MIDOC_04_CE3_18</t>
  </si>
  <si>
    <t>MIDOC_04_CE3_21</t>
  </si>
  <si>
    <t>MIDOC_04_CE3_22</t>
  </si>
  <si>
    <t>MIDOC_04_CE3_23</t>
  </si>
  <si>
    <t>MIDOC_04_CE3_24</t>
  </si>
  <si>
    <t>MIDOC_04_CE3_25</t>
  </si>
  <si>
    <t>MIDOC_04_CE3_34</t>
  </si>
  <si>
    <t>MIDOC_04_CE3_TRAY5</t>
  </si>
  <si>
    <t>MIDOC_04_CE3_35</t>
  </si>
  <si>
    <t>MIDOC_04_CE3_36</t>
  </si>
  <si>
    <t>MIDOC_04_CE3_37</t>
  </si>
  <si>
    <t>MIDOC_04_CE3_38</t>
  </si>
  <si>
    <t>MIDOC_04_CE3_39</t>
  </si>
  <si>
    <t>subsample of massive medusae</t>
  </si>
  <si>
    <t>MIDOC_04_CE3_41</t>
  </si>
  <si>
    <t>MIDOC_04_CE5_01</t>
  </si>
  <si>
    <t>MIDOC_04_CE5_02</t>
  </si>
  <si>
    <t>MIDOC_04_CE5_03</t>
  </si>
  <si>
    <t>MIDOC_04_CE5_04</t>
  </si>
  <si>
    <t>MIDOC_04_CE5_05</t>
  </si>
  <si>
    <t>MIDOC_04_CE5_06</t>
  </si>
  <si>
    <t>MIDOC_04_CE5_07</t>
  </si>
  <si>
    <t>MIDOC_04_CE5_TRAY1</t>
  </si>
  <si>
    <t>MIDOC_04_CE5_08</t>
  </si>
  <si>
    <t>MIDOC_04_CE5_09</t>
  </si>
  <si>
    <t>MIDOC_04_CE5_10</t>
  </si>
  <si>
    <t>MIDOC_04_CE5_11</t>
  </si>
  <si>
    <t>MIDOC_04_CE5_12</t>
  </si>
  <si>
    <t>MIDOC_04_CE5_13</t>
  </si>
  <si>
    <t>MIDOC_04_CE5_14</t>
  </si>
  <si>
    <t>MIDOC_04_CE5_15</t>
  </si>
  <si>
    <t>MIDOC_04_CE5_16</t>
  </si>
  <si>
    <t>MIDOC_04_CE5_17</t>
  </si>
  <si>
    <t>MIDOC_04_CE5_18</t>
  </si>
  <si>
    <t>MIDOC_04_CE5_28</t>
  </si>
  <si>
    <t>MIDOC_04_CE5_19</t>
  </si>
  <si>
    <t>MIDOC_04_CE5_20</t>
  </si>
  <si>
    <t>MIDOC_04_CE5_21</t>
  </si>
  <si>
    <t>MIDOC_04_CE5_22</t>
  </si>
  <si>
    <t>MIDOC_04_CE5_23</t>
  </si>
  <si>
    <t>MIDOC_04_CE5_24</t>
  </si>
  <si>
    <t>MIDOC_04_CE5_25</t>
  </si>
  <si>
    <t>MIDOC_04_CE5_26</t>
  </si>
  <si>
    <t>MIDOC_04_CE5_27</t>
  </si>
  <si>
    <t>mixed invets and gelatinous</t>
  </si>
  <si>
    <t>0.155 kg subsample retained</t>
  </si>
  <si>
    <t>unidientified squshy thing</t>
  </si>
  <si>
    <t>Gymnoscopolepus?</t>
  </si>
  <si>
    <t>0.377kg subsample retained of massive jelly</t>
  </si>
  <si>
    <t>MIDOC_04_CE6_01</t>
  </si>
  <si>
    <t>0.489kg subsample retained</t>
  </si>
  <si>
    <t>0.432kg subsample retained</t>
  </si>
  <si>
    <t>0.162kg subsample retained</t>
  </si>
  <si>
    <t>MIDOC_04_CE6_02</t>
  </si>
  <si>
    <t>MIDOC_04_CE6_03</t>
  </si>
  <si>
    <t>MIDOC_04_CE6_04</t>
  </si>
  <si>
    <t>MIDOC_04_CE6_05</t>
  </si>
  <si>
    <t>MIDOC_04_CE6_06</t>
  </si>
  <si>
    <t>MIDOC_04_CE6_07</t>
  </si>
  <si>
    <t>MIDOC_04_CE6_18</t>
  </si>
  <si>
    <t>MIDOC_04_CE6_19</t>
  </si>
  <si>
    <t>MIDOC_04_CE6_20</t>
  </si>
  <si>
    <t>MIDOC_04_CE6_08</t>
  </si>
  <si>
    <t>MIDOC_04_CE6_09</t>
  </si>
  <si>
    <t>MIDOC_04_CE6_10</t>
  </si>
  <si>
    <t>MIDOC_04_CE6_11</t>
  </si>
  <si>
    <t>MIDOC_04_CE6_12</t>
  </si>
  <si>
    <t>MIDOC_04_CE6_13</t>
  </si>
  <si>
    <t>MIDOC_04_CE6_14</t>
  </si>
  <si>
    <t>MIDOC_04_CE6_15</t>
  </si>
  <si>
    <t>MIDOC_04_CE6_16</t>
  </si>
  <si>
    <t>MIDOC_04_CE6_17</t>
  </si>
  <si>
    <t>MIDOC_04_CE6_21</t>
  </si>
  <si>
    <t>MIDOC_04_CE6_23</t>
  </si>
  <si>
    <t>MIDOC_04_CE6_24</t>
  </si>
  <si>
    <t>MIDOC_04_CE6_25</t>
  </si>
  <si>
    <t>MIDOC_04_CE6_26</t>
  </si>
  <si>
    <t>MIDOC_04_CE6_22</t>
  </si>
  <si>
    <t>MIDOC_04_CE6_27</t>
  </si>
  <si>
    <t>MIDOC_04_CE6_28</t>
  </si>
  <si>
    <t>MIDOC_04_CE6_29</t>
  </si>
  <si>
    <t>MIDOC_04_CE6_30</t>
  </si>
  <si>
    <t>MIDOC_04_CE6_31</t>
  </si>
  <si>
    <t>MIDOC_04_CE6_TRAY1</t>
  </si>
  <si>
    <t>mixed</t>
  </si>
  <si>
    <t>whole tray bagged and weiged</t>
  </si>
  <si>
    <t>"black guy"</t>
  </si>
  <si>
    <t>Unknown</t>
  </si>
  <si>
    <t>last sample of tray 1</t>
  </si>
  <si>
    <t>MIDOC_04_CE6_discards</t>
  </si>
  <si>
    <t>little black ?bathy</t>
  </si>
  <si>
    <t>MIDOC_04_CE6_32</t>
  </si>
  <si>
    <t>sawtooth juvenile</t>
  </si>
  <si>
    <t>MIDOC_04_CE6_33</t>
  </si>
  <si>
    <t>MIDOC_04_CE6_57</t>
  </si>
  <si>
    <t>MIDOC_04_CE6_TRAY2</t>
  </si>
  <si>
    <t>bathylagids and myctophids</t>
  </si>
  <si>
    <t>MIDOC_04_CE6_34</t>
  </si>
  <si>
    <t>MIDOC_04_CE6_35</t>
  </si>
  <si>
    <t>MIDOC_04_CE6_36</t>
  </si>
  <si>
    <t>MIDOC_04_CE6_37</t>
  </si>
  <si>
    <t>MIDOC_04_CE6_38</t>
  </si>
  <si>
    <t>MIDOC_04_CE6_39</t>
  </si>
  <si>
    <t>MIDOC_04_CE6_40</t>
  </si>
  <si>
    <t>MIDOC_04_CE6_41</t>
  </si>
  <si>
    <t>MIDOC_04_CE6_42</t>
  </si>
  <si>
    <t>MIDOC_04_CE6_43</t>
  </si>
  <si>
    <t>MIDOC_04_CE6_50</t>
  </si>
  <si>
    <t>MIDOC_04_CE6_45</t>
  </si>
  <si>
    <t>MIDOC_04_CE6_46</t>
  </si>
  <si>
    <t>MIDOC_04_CE6_47</t>
  </si>
  <si>
    <t>MIDOC_04_CE6_44</t>
  </si>
  <si>
    <t>MIDOC_04_CE6_49</t>
  </si>
  <si>
    <t>MIDOC_04_CE6_51</t>
  </si>
  <si>
    <t>MIDOC_04_CE6_52</t>
  </si>
  <si>
    <t>MIDOC_04_CE6_53</t>
  </si>
  <si>
    <t>MIDOC_04_CE6_54</t>
  </si>
  <si>
    <t>MIDOC_04_CE6_56</t>
  </si>
  <si>
    <t>note that tags 43 and 55 were in photo but no samples were retained for these IDs</t>
  </si>
  <si>
    <t>MIDOC_04_CE1_1</t>
  </si>
  <si>
    <t>MIDOC_04_CE1_2</t>
  </si>
  <si>
    <t>All fish</t>
  </si>
  <si>
    <t>all squid</t>
  </si>
  <si>
    <t>MIDOC_04_CE1_jellies</t>
  </si>
  <si>
    <t>MIDOC_04_CE1_gelat</t>
  </si>
  <si>
    <t>jellies</t>
  </si>
  <si>
    <t>not retained</t>
  </si>
  <si>
    <t>additional small individual (&lt;1g) given to Tom Brown for tomography</t>
  </si>
  <si>
    <t>nice full gut</t>
  </si>
  <si>
    <t>MIDOC05</t>
  </si>
  <si>
    <t>WP0303</t>
  </si>
  <si>
    <t>100,30,30,30,30,30</t>
  </si>
  <si>
    <t>problem with winches appears to have been that the line-out sensor was faulty on starboard drum. Flown by pressure sensors and port line-out (~2:1) and net sensor readings looked good. Clean deployment. Appears that the height increases in last ~15min of cod end 6 as net gets close to boat.</t>
  </si>
  <si>
    <t>KX13</t>
  </si>
  <si>
    <t>KX11</t>
  </si>
  <si>
    <t>KX10</t>
  </si>
  <si>
    <t>KX08</t>
  </si>
  <si>
    <t>27.1.2016</t>
  </si>
  <si>
    <t>13.1.2016</t>
  </si>
  <si>
    <t>MIDOC_05_CE2_01</t>
  </si>
  <si>
    <t>medusa</t>
  </si>
  <si>
    <t>retained wt</t>
  </si>
  <si>
    <t>MIDOC_05_CE2_02</t>
  </si>
  <si>
    <t>MIDOC_05_CE2_TRAY 1</t>
  </si>
  <si>
    <t>MIDOC_05_CE2_03</t>
  </si>
  <si>
    <t>MIDOC_05_CE2_04</t>
  </si>
  <si>
    <t>MIDOC_05_CE2_05</t>
  </si>
  <si>
    <t>MIDOC_05_CE2_06</t>
  </si>
  <si>
    <t>MIDOC_05_CE2_07</t>
  </si>
  <si>
    <t>MIDOC_05_CE2_TRAY 2</t>
  </si>
  <si>
    <t>MIDOC_05_CE2_08</t>
  </si>
  <si>
    <t>MIDOC_05_CE2_09</t>
  </si>
  <si>
    <t>MIDOC_05_CE2_10</t>
  </si>
  <si>
    <t>MIDOC_05_CE2_11</t>
  </si>
  <si>
    <t>MIDOC_05_CE2_12</t>
  </si>
  <si>
    <t>MIDOC_05_CE2_13</t>
  </si>
  <si>
    <t>DISCARDS_CE2_TRAY 2</t>
  </si>
  <si>
    <t>DISCARDS_CE2_TRAY 1</t>
  </si>
  <si>
    <t>MIDOC_05_CE2_14</t>
  </si>
  <si>
    <t>MIDOC_05_CE2_15</t>
  </si>
  <si>
    <t>MIDOC_05_CE2_16</t>
  </si>
  <si>
    <t>MIDOC_05_CE2_17</t>
  </si>
  <si>
    <t>MIDOC_05_CE2_18</t>
  </si>
  <si>
    <t>MIDOC_05_CE2_19</t>
  </si>
  <si>
    <t>Rattail (Coryphaenoides sp)</t>
  </si>
  <si>
    <t>TBA</t>
  </si>
  <si>
    <t>Gymnoscopelus?</t>
  </si>
  <si>
    <t>DISCARDS_CE2_TRAY 3</t>
  </si>
  <si>
    <t>MIDOC_05_CE2_28</t>
  </si>
  <si>
    <t>MIDOC_05_CE2_29</t>
  </si>
  <si>
    <t>MIDOC_05_CE2_30</t>
  </si>
  <si>
    <t>MIDOC_05_CE2_TRAY 4</t>
  </si>
  <si>
    <t>Krefftichthys anderssoni</t>
  </si>
  <si>
    <t>MIDOC_05_CE2_20</t>
  </si>
  <si>
    <t>MIDOC_05_CE2_21</t>
  </si>
  <si>
    <t>MIDOC_05_CE2_22</t>
  </si>
  <si>
    <t>MIDOC_05_FRONT OF NET</t>
  </si>
  <si>
    <t>several squid</t>
  </si>
  <si>
    <t>inc. 02 - 07</t>
  </si>
  <si>
    <t>inc. 08-13</t>
  </si>
  <si>
    <t>MIDOC_05_CE2_23</t>
  </si>
  <si>
    <t>MIDOC_05_CE2_24</t>
  </si>
  <si>
    <t>MIDOC_05_CE2_25</t>
  </si>
  <si>
    <t>MIDOC_05_CE2_26</t>
  </si>
  <si>
    <t>MIDOC_05_CE2_27</t>
  </si>
  <si>
    <t>DISCARDS_CE2_TRAY 4</t>
  </si>
  <si>
    <t>MIDOC_05_CE2_TRAY 5</t>
  </si>
  <si>
    <t xml:space="preserve">Gymnoscopelus </t>
  </si>
  <si>
    <t>inc. 31-36</t>
  </si>
  <si>
    <t>MIDOC_05_CE2_31</t>
  </si>
  <si>
    <t>MIDOC_05_CE2_32</t>
  </si>
  <si>
    <t>MIDOC_05_CE2_33</t>
  </si>
  <si>
    <t>MIDOC_05_CE2_34</t>
  </si>
  <si>
    <t>MIDOC_05_CE2_35</t>
  </si>
  <si>
    <t>MIDOC_05_CE2_36</t>
  </si>
  <si>
    <t>DISCARDS_CE2_TRAY 5</t>
  </si>
  <si>
    <t>MIDOC_05_CE2_37</t>
  </si>
  <si>
    <t>retained 0.180kg</t>
  </si>
  <si>
    <t>MIDOC_05_CE2_38</t>
  </si>
  <si>
    <t>MIDOC_05_CE2_39</t>
  </si>
  <si>
    <t>MIDOC_05_CE2_40</t>
  </si>
  <si>
    <t>MIDOC_05_CE2_41</t>
  </si>
  <si>
    <t>MIDOC_05_CE2_42</t>
  </si>
  <si>
    <t>MIDOC_05_CE2_44</t>
  </si>
  <si>
    <t>MIDOC_05_CE2_45</t>
  </si>
  <si>
    <t>Mixed invertebrates</t>
  </si>
  <si>
    <t>good gut sample for possible dissection</t>
  </si>
  <si>
    <t>MIDOC_05_CE2_43</t>
  </si>
  <si>
    <t>Atolia (cnidarian) &amp; gelatinous</t>
  </si>
  <si>
    <t>retained wt 0.422kg</t>
  </si>
  <si>
    <t>MIDOC_05_CE4_TRAY</t>
  </si>
  <si>
    <t>MIDOC_05_CE4_01</t>
  </si>
  <si>
    <t>cnidarians</t>
  </si>
  <si>
    <t>MIDOC_05_CE4_03</t>
  </si>
  <si>
    <t xml:space="preserve">Atolia (cnidarian) </t>
  </si>
  <si>
    <t>retained wt 0.663kg</t>
  </si>
  <si>
    <t>retained 0.298kg</t>
  </si>
  <si>
    <t>retained 0.202kg</t>
  </si>
  <si>
    <t>MIDOC_05_CE4_06</t>
  </si>
  <si>
    <t>MIDOC_05_CE4_20</t>
  </si>
  <si>
    <t>MIDOC_05_CE4_21</t>
  </si>
  <si>
    <t>MIDOC_05_CE4_05</t>
  </si>
  <si>
    <t>MIDOC_05_CE4_07</t>
  </si>
  <si>
    <t>MIDOC_05_CE4_08</t>
  </si>
  <si>
    <t>MIDOC_05_CE4_09</t>
  </si>
  <si>
    <t>MIDOC_05_CE4_10</t>
  </si>
  <si>
    <t>MIDOC_05_CE4_11</t>
  </si>
  <si>
    <t>MIDOC_05_CE4_12</t>
  </si>
  <si>
    <t>MIDOC_05_CE4_19</t>
  </si>
  <si>
    <t>MIDOC_05_CE4_22</t>
  </si>
  <si>
    <t>MIDOC_05_CE4_23</t>
  </si>
  <si>
    <t>MIDOC_05_CE4_04</t>
  </si>
  <si>
    <t>MIDOC_05_CE4_17</t>
  </si>
  <si>
    <t>MIDOC_05_CE4_18</t>
  </si>
  <si>
    <t>MIDOC_05_CE4_25</t>
  </si>
  <si>
    <t>DISCARDS_CE4_TRAY</t>
  </si>
  <si>
    <t>MIDOC_05_CE4_13</t>
  </si>
  <si>
    <t>MIDOC_05_CE4_14</t>
  </si>
  <si>
    <t>MIDOC_05_CE4_15</t>
  </si>
  <si>
    <t>MIDOC_05_CE4_16</t>
  </si>
  <si>
    <t>MIDOC_05_CE4_30</t>
  </si>
  <si>
    <t>MIDOC_05_CE4_24</t>
  </si>
  <si>
    <t>MIDOC_05_CE3_01</t>
  </si>
  <si>
    <t>MIDOC_05_CE3_02</t>
  </si>
  <si>
    <t>MIDOC_05_CE3_03</t>
  </si>
  <si>
    <t>MIDOC_05_CE3_04</t>
  </si>
  <si>
    <t>MIDOC_05_CE3_05</t>
  </si>
  <si>
    <t>MIDOC_05_CE3_06</t>
  </si>
  <si>
    <t>MIDOC_05_CE3_07</t>
  </si>
  <si>
    <t>MIDOC_05_CE3_08</t>
  </si>
  <si>
    <t>electrona sp</t>
  </si>
  <si>
    <t>Protomyctophum</t>
  </si>
  <si>
    <t>Gymnoscopelus</t>
  </si>
  <si>
    <t>retained 0.143kg</t>
  </si>
  <si>
    <t>retained 0.170kg</t>
  </si>
  <si>
    <t>retained 0.173kg</t>
  </si>
  <si>
    <t>MIDOC_05_CE3_09</t>
  </si>
  <si>
    <t>MIDOC_05_CE3_10</t>
  </si>
  <si>
    <t>MIDOC_05_CE3_11</t>
  </si>
  <si>
    <t>MIDOC_05_CE3_12</t>
  </si>
  <si>
    <t>MIDOC_05_CE3_13</t>
  </si>
  <si>
    <t>MIDOC_05_CE3_14</t>
  </si>
  <si>
    <t>MIDOC_05_CE3_15</t>
  </si>
  <si>
    <t>MIDOC_05_CE3_16</t>
  </si>
  <si>
    <t>MIDOC_05_CE3_17</t>
  </si>
  <si>
    <t>MIDOC_05_CE3_18</t>
  </si>
  <si>
    <t>MIDOC_05_CE3_19</t>
  </si>
  <si>
    <t>MIDOC_05_CE3_20</t>
  </si>
  <si>
    <t>MIDOC_05_CE3_21</t>
  </si>
  <si>
    <t>MIDOC_05_CE3_22</t>
  </si>
  <si>
    <t>MIDOC_05_CE3_23</t>
  </si>
  <si>
    <t>MIDOC_05_CE3_24</t>
  </si>
  <si>
    <t>MIDOC_05_CE3_25</t>
  </si>
  <si>
    <t>MIDOC_05_CE3_26</t>
  </si>
  <si>
    <t>MIDOC_05_CE3_27</t>
  </si>
  <si>
    <t>MIDOC_05_CE3_28</t>
  </si>
  <si>
    <t>MIDOC_05_CE3_29</t>
  </si>
  <si>
    <t>MIDOC_05_CE3_30</t>
  </si>
  <si>
    <t>MIDOC_05_CE3_31</t>
  </si>
  <si>
    <t>MIDOC_05_CE3_32</t>
  </si>
  <si>
    <t>MIDOC_05_CE3_33</t>
  </si>
  <si>
    <t>MIDOC_05_CE3_34</t>
  </si>
  <si>
    <t>MIDOC_05_CE3_35</t>
  </si>
  <si>
    <t>MIDOC_05_CE3_36</t>
  </si>
  <si>
    <t>MIDOC_05_CE3_37</t>
  </si>
  <si>
    <t>MIDOC_05_CE3_38</t>
  </si>
  <si>
    <t>gymnoscopelus</t>
  </si>
  <si>
    <t>little black fish</t>
  </si>
  <si>
    <t>sawtooth sp 2</t>
  </si>
  <si>
    <t>MIDOC_05_CE3_39</t>
  </si>
  <si>
    <t>DISCARDS_CE3_TRAY</t>
  </si>
  <si>
    <t>MIDOC_05_CE5_02</t>
  </si>
  <si>
    <t>MIDOC_05_CE5_03</t>
  </si>
  <si>
    <t>MIDOC_05_CE5_01</t>
  </si>
  <si>
    <t>MIDOC_05_CE5_04</t>
  </si>
  <si>
    <t>MIDOC_05_CE5_05</t>
  </si>
  <si>
    <t>MIDOC_05_CE5_06</t>
  </si>
  <si>
    <t>MIDOC_05_CE5_07</t>
  </si>
  <si>
    <t>MIDOC_05_CE5_08</t>
  </si>
  <si>
    <t>MIDOC_05_CE5_09</t>
  </si>
  <si>
    <t>MIDOC_05_CE5_10</t>
  </si>
  <si>
    <t>MIDOC_05_CE5_11</t>
  </si>
  <si>
    <t>MIDOC_05_CE6_01</t>
  </si>
  <si>
    <t>MIDOC_05_CE6_02</t>
  </si>
  <si>
    <t>MIDOC_05_CE6_03</t>
  </si>
  <si>
    <t>MIDOC_05_CE6_04</t>
  </si>
  <si>
    <t>MIDOC_05_CE6_05</t>
  </si>
  <si>
    <t>MIDOC_05_CE6_06</t>
  </si>
  <si>
    <t>MIDOC_05_CE6_07</t>
  </si>
  <si>
    <t>MIDOC_05_CE6_08</t>
  </si>
  <si>
    <t>DISCARDS_CE5_TRAY</t>
  </si>
  <si>
    <t>MIDOC_05_CE6_09</t>
  </si>
  <si>
    <t>MIDOC_05_CE6_10</t>
  </si>
  <si>
    <t>MIDOC_05_CE6_11</t>
  </si>
  <si>
    <t>MIDOC_05_CE6_12</t>
  </si>
  <si>
    <t>MIDOC_05_CE6_13</t>
  </si>
  <si>
    <t>MIDOC_05_CE6_14</t>
  </si>
  <si>
    <t>MIDOC_05_CE6_15</t>
  </si>
  <si>
    <t>Atolia (cnidarians)</t>
  </si>
  <si>
    <t>mixed crustaceans</t>
  </si>
  <si>
    <t>Euphausia superba</t>
  </si>
  <si>
    <t>invertebrates</t>
  </si>
  <si>
    <t>gymnoscopelus?</t>
  </si>
  <si>
    <t>head only</t>
  </si>
  <si>
    <t>MIDOC_05_CE6_16</t>
  </si>
  <si>
    <t>MIDOC_05_CE6_17</t>
  </si>
  <si>
    <t>MIDOC_05_CE6_18</t>
  </si>
  <si>
    <t>MIDOC_05_CE6_19</t>
  </si>
  <si>
    <t>MIDOC_05_CE6_20</t>
  </si>
  <si>
    <t>MIDOC_05_CE6_21</t>
  </si>
  <si>
    <t>MIDOC_05_CE6_22</t>
  </si>
  <si>
    <t>MIDOC_05_CE6_23</t>
  </si>
  <si>
    <t>MIDOC_05_CE6_24</t>
  </si>
  <si>
    <t>MIDOC_05_CE6_25</t>
  </si>
  <si>
    <t>MIDOC_05_CE6_26</t>
  </si>
  <si>
    <t>MIDOC_05_CE6_27</t>
  </si>
  <si>
    <t>MIDOC_05_CE6_28</t>
  </si>
  <si>
    <t>MIDOC_05_CE6_29</t>
  </si>
  <si>
    <t>MIDOC_05_CE6_30</t>
  </si>
  <si>
    <t>MIDOC_05_CE6_31</t>
  </si>
  <si>
    <t>CHECK DATA SHEET FOR TAXON</t>
  </si>
  <si>
    <t>MIDOC_O5_CE1_medusae</t>
  </si>
  <si>
    <t>MIDOC_O5_CE1_comb_jellies</t>
  </si>
  <si>
    <t>MIDOC_O5_CE1_gelat</t>
  </si>
  <si>
    <t>MIDOC_O5_CE1_fish</t>
  </si>
  <si>
    <t>retained</t>
  </si>
  <si>
    <t>MIDOC_O5_CE1_01</t>
  </si>
  <si>
    <t>MIDOC_O5_CE1_02</t>
  </si>
  <si>
    <t>MIDOC_O5_CE1_03</t>
  </si>
  <si>
    <t>MIDOC_O5_CE1_04</t>
  </si>
  <si>
    <t>MIDOC_O5_CE1_05</t>
  </si>
  <si>
    <t>?dragonfish</t>
  </si>
  <si>
    <t>weight not legible - check with dale</t>
  </si>
  <si>
    <t>0.365 retained</t>
  </si>
  <si>
    <t>0.231 retained</t>
  </si>
  <si>
    <t>mantle only</t>
  </si>
  <si>
    <t>pteropod and crustaceans</t>
  </si>
  <si>
    <t>MIDOC06</t>
  </si>
  <si>
    <t>28.1.2016</t>
  </si>
  <si>
    <t>MIDOC_06_CE2_01</t>
  </si>
  <si>
    <t>MIDOC_06_CE2_02</t>
  </si>
  <si>
    <t>MIDOC_06_CE2_03</t>
  </si>
  <si>
    <t>MIDOC_06_CE2_04</t>
  </si>
  <si>
    <t>MIDOC_06_CE2_05</t>
  </si>
  <si>
    <t>MIDOC_06_CE2_06</t>
  </si>
  <si>
    <t>MIDOC_06_CE2_07</t>
  </si>
  <si>
    <t>MIDOC_06_CE2_08</t>
  </si>
  <si>
    <t>includes parasite</t>
  </si>
  <si>
    <t>MIDOC_06_CE2_DISCARD</t>
  </si>
  <si>
    <t>MIDOC_06_CE2_37</t>
  </si>
  <si>
    <t>MIDOC_06_CE2_33</t>
  </si>
  <si>
    <t>MIDOC_06_CE2_36</t>
  </si>
  <si>
    <t>MIDOC_06_CE2_35</t>
  </si>
  <si>
    <t>MIDOC_06_CE2_34</t>
  </si>
  <si>
    <t>2 samples labelled as MIDOC_06_CE2_08 - need to resolve</t>
  </si>
  <si>
    <t>MIDOC_06_CE2_09</t>
  </si>
  <si>
    <t>MIDOC_06_CE2_10</t>
  </si>
  <si>
    <t>MIDOC_06_CE2_11</t>
  </si>
  <si>
    <t>MIDOC_06_CE2_12</t>
  </si>
  <si>
    <t>MIDOC_06_CE2_13</t>
  </si>
  <si>
    <t>MIDOC_06_CE2_16</t>
  </si>
  <si>
    <t>MIDOC_06_CE2_17</t>
  </si>
  <si>
    <t>MIDOC_06_CE2_14</t>
  </si>
  <si>
    <t>MIDOC_06_CE2_15</t>
  </si>
  <si>
    <t>"black bathy"</t>
  </si>
  <si>
    <t>bathybella</t>
  </si>
  <si>
    <t>RECORD MISSING - CHECK DATA SHEET</t>
  </si>
  <si>
    <t>TAXON MISSING, CHECK DATA SHEET</t>
  </si>
  <si>
    <t>macruid</t>
  </si>
  <si>
    <t>0.182 retained</t>
  </si>
  <si>
    <t>Dreamer fish</t>
  </si>
  <si>
    <t>stomach dissected</t>
  </si>
  <si>
    <t>0.223 retained</t>
  </si>
  <si>
    <t>0.367 retained</t>
  </si>
  <si>
    <t>bathylagidae and gymnoscopolepus</t>
  </si>
  <si>
    <t>stomach dissected; 1 plastic found</t>
  </si>
  <si>
    <t>larvae (fish)</t>
  </si>
  <si>
    <t>sawtooth sp 3</t>
  </si>
  <si>
    <t>crustaceans &amp; gelatinous</t>
  </si>
  <si>
    <t>bathylagidae</t>
  </si>
  <si>
    <t>black fish (unidentified)</t>
  </si>
  <si>
    <t>retained wt 0.382kg</t>
  </si>
  <si>
    <t>retained 0.187kg</t>
  </si>
  <si>
    <t>E. triacantha, decapods, amphipods, ostracods</t>
  </si>
  <si>
    <t>retained 5 specimens</t>
  </si>
  <si>
    <t>midoc 08</t>
  </si>
  <si>
    <t>midoc 04 onward</t>
  </si>
  <si>
    <t>stbd line-out ignored for subsequent stations, remaining scanmar data indicate that the net flies correctly when flown on line pressure</t>
  </si>
  <si>
    <t>midoc 09</t>
  </si>
  <si>
    <t>repeat of midoc 08 to get strata at station</t>
  </si>
  <si>
    <t>0.324 kg retained</t>
  </si>
  <si>
    <t>Calycopsis, E tricantha, T macrura</t>
  </si>
  <si>
    <t>lampynodactus?</t>
  </si>
  <si>
    <t>nice specimen</t>
  </si>
  <si>
    <t>midgets</t>
  </si>
  <si>
    <t>comb jellies and other gelatinous</t>
  </si>
  <si>
    <t>retained 0.290</t>
  </si>
  <si>
    <t>MIDOC07</t>
  </si>
  <si>
    <t>MIDOC08</t>
  </si>
  <si>
    <t>MIDOC09</t>
  </si>
  <si>
    <t>protomyctophum</t>
  </si>
  <si>
    <t>Coryphaemoides</t>
  </si>
  <si>
    <t>sawtooth sp 4</t>
  </si>
  <si>
    <t>mantle length 290mm</t>
  </si>
  <si>
    <t>ptomterus, decapods, E. superba, E. tricantha, T. gaudichandii</t>
  </si>
  <si>
    <t>Bathyteuthidae</t>
  </si>
  <si>
    <t>squid, head only</t>
  </si>
  <si>
    <t>body only, no head</t>
  </si>
  <si>
    <t>Cnidarians</t>
  </si>
  <si>
    <t>29.1.2016</t>
  </si>
  <si>
    <t>0.174 kg retained</t>
  </si>
  <si>
    <t>include.in.total</t>
  </si>
  <si>
    <t>discards from trays 1 and 2</t>
  </si>
  <si>
    <t>discards from tray 3</t>
  </si>
  <si>
    <t>discards from tray 4</t>
  </si>
  <si>
    <t>macruids and other</t>
  </si>
  <si>
    <t>0.115 retained</t>
  </si>
  <si>
    <t>0.132 kg retained</t>
  </si>
  <si>
    <t>check if stomach dissected (not noted, but lengths recorded)</t>
  </si>
  <si>
    <t>0.144 kg retained</t>
  </si>
  <si>
    <t>0.152 kg retained</t>
  </si>
  <si>
    <t>0.232 kg retained</t>
  </si>
  <si>
    <t>salps and other gelatinous</t>
  </si>
  <si>
    <t>little black bathy</t>
  </si>
  <si>
    <t>Bathylagidae?</t>
  </si>
  <si>
    <t>not retained, given to Tom Brown for ICT</t>
  </si>
  <si>
    <t>0.306 kg retained</t>
  </si>
  <si>
    <t>0.156 kg retained</t>
  </si>
  <si>
    <t>little fucking fish larva</t>
  </si>
  <si>
    <t>no sample retained</t>
  </si>
  <si>
    <t>mixed gelatinous and inverts</t>
  </si>
  <si>
    <t>giant indiviual</t>
  </si>
  <si>
    <t>comb jellies and salps</t>
  </si>
  <si>
    <t>0.146 kg retained</t>
  </si>
  <si>
    <t>0.277 kg retained</t>
  </si>
  <si>
    <t>0.148 kg retained</t>
  </si>
  <si>
    <t>mixed inverts and fish</t>
  </si>
  <si>
    <t>mainly salps, few fish - see photo</t>
  </si>
  <si>
    <t>WP402</t>
  </si>
  <si>
    <t>MIDOC06_CE2_18</t>
  </si>
  <si>
    <t>MIDOC06_CE2_19</t>
  </si>
  <si>
    <t>MIDOC06_CE2_20</t>
  </si>
  <si>
    <t>MIDOC06_CE2_21</t>
  </si>
  <si>
    <t>MIDOC06_CE2_22</t>
  </si>
  <si>
    <t>MIDOC06_CE2_38</t>
  </si>
  <si>
    <t>MIDOC06_CE2_23</t>
  </si>
  <si>
    <t>MIDOC06_CE2_30</t>
  </si>
  <si>
    <t>MIDOC06_CE2_24</t>
  </si>
  <si>
    <t>MIDOC06_CE2_25</t>
  </si>
  <si>
    <t>MIDOC06_CE2_26</t>
  </si>
  <si>
    <t>MIDOC06_CE2_27</t>
  </si>
  <si>
    <t>MIDOC06_CE2_28</t>
  </si>
  <si>
    <t>MIDOC06_CE2_29</t>
  </si>
  <si>
    <t>MIDOC06_CE2_39</t>
  </si>
  <si>
    <t>MIDOC06_CE2_40</t>
  </si>
  <si>
    <t>MIDOC06_CE2_41</t>
  </si>
  <si>
    <t>MIDOC06_CE2_42</t>
  </si>
  <si>
    <t>MIDOC06_CE2_43</t>
  </si>
  <si>
    <t>MIDOC06_CE3_01</t>
  </si>
  <si>
    <t>MIDOC06_CE3_02</t>
  </si>
  <si>
    <t>MIDOC06_CE3_03</t>
  </si>
  <si>
    <t>MIDOC06_CE3_04</t>
  </si>
  <si>
    <t>MIDOC06_CE3_05</t>
  </si>
  <si>
    <t>MIDOC06_CE3_07</t>
  </si>
  <si>
    <t>MIDOC06_CE3_08</t>
  </si>
  <si>
    <t>MIDOC06_CE3_09</t>
  </si>
  <si>
    <t>MIDOC06_CE3_06</t>
  </si>
  <si>
    <t>MIDOC06_CE3_TRAY1</t>
  </si>
  <si>
    <t>MIDOC06_CE3_10</t>
  </si>
  <si>
    <t>MIDOC06_CE3_11</t>
  </si>
  <si>
    <t>MIDOC06_CE3_12</t>
  </si>
  <si>
    <t>MIDOC06_CE3_13</t>
  </si>
  <si>
    <t>MIDOC06_CE3_14</t>
  </si>
  <si>
    <t>MIDOC06_CE3_15</t>
  </si>
  <si>
    <t>MIDOC06_CE3_16</t>
  </si>
  <si>
    <t>MIDOC06_CE3_19</t>
  </si>
  <si>
    <t>MIDOC06_CE3_20</t>
  </si>
  <si>
    <t>MIDOC06_CE3_21</t>
  </si>
  <si>
    <t>MIDOC06_CE3_22</t>
  </si>
  <si>
    <t>MIDOC06_CE3_23</t>
  </si>
  <si>
    <t>MIDOC06_CE3_24</t>
  </si>
  <si>
    <t>MIDOC06_CE3_26</t>
  </si>
  <si>
    <t>MIDOC06_CE3_17</t>
  </si>
  <si>
    <t>MIDOC06_CE3_18</t>
  </si>
  <si>
    <t>MIDOC06_CE3_25</t>
  </si>
  <si>
    <t>MIDOC06_CE3_DISCARDS</t>
  </si>
  <si>
    <t>MIDOC06_CE3_TRAY2</t>
  </si>
  <si>
    <t>MIDOC06_CE3_44</t>
  </si>
  <si>
    <t>MIDOC06_CE3_39</t>
  </si>
  <si>
    <t>MIDOC06_CE3_40</t>
  </si>
  <si>
    <t>MIDOC06_CE3_41</t>
  </si>
  <si>
    <t>MIDOC06_CE3_42</t>
  </si>
  <si>
    <t>MIDOC06_CE3_43</t>
  </si>
  <si>
    <t>MIDOC06_CE3_33</t>
  </si>
  <si>
    <t>MIDOC06_CE3_34</t>
  </si>
  <si>
    <t>MIDOC06_CE3_35</t>
  </si>
  <si>
    <t>MIDOC06_CE3_36</t>
  </si>
  <si>
    <t>MIDOC06_CE3_37</t>
  </si>
  <si>
    <t>MIDOC06_CE3_38</t>
  </si>
  <si>
    <t>MIDOC06_CE3_28</t>
  </si>
  <si>
    <t>MIDOC06_CE3_31</t>
  </si>
  <si>
    <t>MIDOC06_CE3_29</t>
  </si>
  <si>
    <t>MIDOC06_CE3_27</t>
  </si>
  <si>
    <t>MIDOC06_CE3_32</t>
  </si>
  <si>
    <t>MIDOC06_CE4_01</t>
  </si>
  <si>
    <t>MIDOC06_CE4_02</t>
  </si>
  <si>
    <t>MIDOC06_CE4_03</t>
  </si>
  <si>
    <t>MIDOC06_CE4_TRAY</t>
  </si>
  <si>
    <t>MIDOC06_CE4_05</t>
  </si>
  <si>
    <t>MIDOC06_CE4_04</t>
  </si>
  <si>
    <t>MIDOC06_CE4_08</t>
  </si>
  <si>
    <t>MIDOC06_CE4_09</t>
  </si>
  <si>
    <t>MIDOC06_CE4_07</t>
  </si>
  <si>
    <t>MIDOC06_CE4_06</t>
  </si>
  <si>
    <t>MIDOC06_CE4_42</t>
  </si>
  <si>
    <t>MIDOC06_CE4_10</t>
  </si>
  <si>
    <t>MIDOC06_CE4_15</t>
  </si>
  <si>
    <t>MIDOC06_CE4_16</t>
  </si>
  <si>
    <t>MIDOC06_CE4_17</t>
  </si>
  <si>
    <t>MIDOC06_CE4_18</t>
  </si>
  <si>
    <t>MIDOC06_CE4_19</t>
  </si>
  <si>
    <t>MIDOC06_CE4_30</t>
  </si>
  <si>
    <t>MIDOC06_CE4_31</t>
  </si>
  <si>
    <t>MIDOC06_CE4_32</t>
  </si>
  <si>
    <t>MIDOC06_CE4_33</t>
  </si>
  <si>
    <t>MIDOC06_CE4_34</t>
  </si>
  <si>
    <t>MIDOC06_CE4_35</t>
  </si>
  <si>
    <t>MIDOC06_CE4_20</t>
  </si>
  <si>
    <t>MIDOC06_CE4_DISCARD</t>
  </si>
  <si>
    <t>MIDOC06_CE4_36</t>
  </si>
  <si>
    <t>MIDOC06_CE4_37</t>
  </si>
  <si>
    <t>MIDOC06_CE4_38</t>
  </si>
  <si>
    <t>MIDOC06_CE4_39</t>
  </si>
  <si>
    <t>MIDOC06_CE4_40</t>
  </si>
  <si>
    <t>MIDOC06_CE4_41</t>
  </si>
  <si>
    <t>MIDOC06_CE4_11</t>
  </si>
  <si>
    <t>MIDOC06_CE4_12</t>
  </si>
  <si>
    <t>MIDOC06_CE4_14</t>
  </si>
  <si>
    <t>MIDOC06_CE4_21</t>
  </si>
  <si>
    <t>MIDOC06_CE4_22</t>
  </si>
  <si>
    <t>MIDOC06_CE4_23</t>
  </si>
  <si>
    <t>MIDOC06_CE4_24</t>
  </si>
  <si>
    <t>MIDOC06_CE4_29</t>
  </si>
  <si>
    <t>MIDOC06_CE4_25</t>
  </si>
  <si>
    <t>MIDOC06_CE4_26</t>
  </si>
  <si>
    <t>MIDOC06_CE4_27</t>
  </si>
  <si>
    <t>MIDOC06_CE4_28</t>
  </si>
  <si>
    <t>MIDOC06_CE5_01</t>
  </si>
  <si>
    <t>MIDOC06_CE5_02</t>
  </si>
  <si>
    <t>MIDOC06_CE5_03</t>
  </si>
  <si>
    <t>MIDOC06_CE5_04</t>
  </si>
  <si>
    <t>MIDOC06_CE5_06</t>
  </si>
  <si>
    <t>MIDOC06_CE5_07</t>
  </si>
  <si>
    <t>MIDOC06_CE5_05</t>
  </si>
  <si>
    <t>MIDOC06_CE5_14</t>
  </si>
  <si>
    <t>MIDOC06_CE5_15</t>
  </si>
  <si>
    <t>MIDOC06_CE5_16</t>
  </si>
  <si>
    <t>MIDOC06_CE5_17</t>
  </si>
  <si>
    <t>MIDOC06_CE5_19</t>
  </si>
  <si>
    <t>MIDOC06_CE5_18</t>
  </si>
  <si>
    <t>MIDOC06_CE5_13</t>
  </si>
  <si>
    <t>MIDOC06_CE5_12</t>
  </si>
  <si>
    <t>MIDOC06_CE5_09</t>
  </si>
  <si>
    <t>MIDOC06_CE5_08</t>
  </si>
  <si>
    <t>MIDOC06_CE5_10</t>
  </si>
  <si>
    <t>MIDOC06_CE5_11</t>
  </si>
  <si>
    <t>MIDOC06_CE5_20</t>
  </si>
  <si>
    <t>MIDOC06_CE5_DISCARDS</t>
  </si>
  <si>
    <t>MIDOC06_CE5_21</t>
  </si>
  <si>
    <t>MIDOC06_CE5_22</t>
  </si>
  <si>
    <t>MIDOC06_CE5_23</t>
  </si>
  <si>
    <t>MIDOC06_CE5_24</t>
  </si>
  <si>
    <t>MIDOC06_CE5_25</t>
  </si>
  <si>
    <t>MIDOC06_CE5_26</t>
  </si>
  <si>
    <t>MIDOC06_CE5_27</t>
  </si>
  <si>
    <t>MIDOC06_CE5_28</t>
  </si>
  <si>
    <t>MIDOC06_CE5_29</t>
  </si>
  <si>
    <t>MIDOC06_CE5_30</t>
  </si>
  <si>
    <t>MIDOC06_CE5_34</t>
  </si>
  <si>
    <t>MIDOC06_CE5_35</t>
  </si>
  <si>
    <t>MIDOC06_CE5_36</t>
  </si>
  <si>
    <t>MIDOC06_CE5_37</t>
  </si>
  <si>
    <t>MIDOC06_CE5_38</t>
  </si>
  <si>
    <t>MIDOC06_CE5_39</t>
  </si>
  <si>
    <t>MIDOC06_CE5_40</t>
  </si>
  <si>
    <t>MIDOC06_CE5_41</t>
  </si>
  <si>
    <t>MIDOC06_CE5_42</t>
  </si>
  <si>
    <t>MIDOC06_CE5_43</t>
  </si>
  <si>
    <t>MIDOC06_CE5_44</t>
  </si>
  <si>
    <t>MIDOC06_CE5_31</t>
  </si>
  <si>
    <t>MIDOC06_CE5_32</t>
  </si>
  <si>
    <t>MIDOC06_CE5_33</t>
  </si>
  <si>
    <t>MIDOC06_CE6_01</t>
  </si>
  <si>
    <t>MIDOC06_CE6_02</t>
  </si>
  <si>
    <t>MIDOC06_CE6_03</t>
  </si>
  <si>
    <t>MIDOC06_CE6_10</t>
  </si>
  <si>
    <t>MIDOC06_CE6_04</t>
  </si>
  <si>
    <t>MIDOC06_CE6_05</t>
  </si>
  <si>
    <t>MIDOC06_CE6_06</t>
  </si>
  <si>
    <t>MIDOC06_CE6_07</t>
  </si>
  <si>
    <t>MIDOC06_CE6_08</t>
  </si>
  <si>
    <t>MIDOC06_CE6_11</t>
  </si>
  <si>
    <t>MIDOC06_CE6_12</t>
  </si>
  <si>
    <t>MIDOC06_CE6_13</t>
  </si>
  <si>
    <t>MIDOC06_CE6_14</t>
  </si>
  <si>
    <t>MIDOC06_CE6_DISCARDS</t>
  </si>
  <si>
    <t>MIDOC06_CE6_09</t>
  </si>
  <si>
    <t>MIDOC06_CE6_15</t>
  </si>
  <si>
    <t>MIDOC06_CE6_16</t>
  </si>
  <si>
    <t>MIDOC06_CE6_17</t>
  </si>
  <si>
    <t>MIDOC06_CE6_18</t>
  </si>
  <si>
    <t>MIDOC06_CE6_19</t>
  </si>
  <si>
    <t>MIDOC06_CE6_35</t>
  </si>
  <si>
    <t>MIDOC06_CE6_36</t>
  </si>
  <si>
    <t>MIDOC06_CE6_37</t>
  </si>
  <si>
    <t>MIDOC06_CE6_38</t>
  </si>
  <si>
    <t>MIDOC06_CE6_31</t>
  </si>
  <si>
    <t>MIDOC06_CE6_21</t>
  </si>
  <si>
    <t>MIDOC06_CE6_20</t>
  </si>
  <si>
    <t>MIDOC06_CE6_32</t>
  </si>
  <si>
    <t>MIDOC06_CE6_33</t>
  </si>
  <si>
    <t>MIDOC06_CE6_34</t>
  </si>
  <si>
    <t>MIDOC06_CE6_44</t>
  </si>
  <si>
    <t>MIDOC06_CE6_40</t>
  </si>
  <si>
    <t>MIDOC06_CE6_41</t>
  </si>
  <si>
    <t>MIDOC06_CE6_42</t>
  </si>
  <si>
    <t>MIDOC06_CE6_43</t>
  </si>
  <si>
    <t>MIDOC06_CE6_22</t>
  </si>
  <si>
    <t>MIDOC06_CE6_23</t>
  </si>
  <si>
    <t>MIDOC06_CE6_24</t>
  </si>
  <si>
    <t>MIDOC06_CE6_25</t>
  </si>
  <si>
    <t>MIDOC06_CE6_26</t>
  </si>
  <si>
    <t>MIDOC06_CE6_27</t>
  </si>
  <si>
    <t>MIDOC06_CE6_28</t>
  </si>
  <si>
    <t>MIDOC06_CE6_29</t>
  </si>
  <si>
    <t>MIDOC06_CE6_30</t>
  </si>
  <si>
    <t>MIDOC06_CE6_45</t>
  </si>
  <si>
    <t>MIDOC06_CE6_46</t>
  </si>
  <si>
    <t>MIDOC06_CE6_47</t>
  </si>
  <si>
    <t>MIDOC06_CE6_48</t>
  </si>
  <si>
    <t>MIDOC06_CE6_49</t>
  </si>
  <si>
    <t>MIDOC06_CE6_50</t>
  </si>
  <si>
    <t>MIDOC06_CE6_51</t>
  </si>
  <si>
    <t>MIDOC06_CE6_52</t>
  </si>
  <si>
    <t>MIDOC06_CE1_01</t>
  </si>
  <si>
    <t>MIDOC06_CE1_02</t>
  </si>
  <si>
    <t>MIDOC06_CE1_03</t>
  </si>
  <si>
    <t>MIDOC06_CE1_DISCARDS</t>
  </si>
  <si>
    <t>MIDOC07_CE2_02</t>
  </si>
  <si>
    <t>MIDOC07_CE2_01</t>
  </si>
  <si>
    <t>MIDOC07_CE2_TRAY1</t>
  </si>
  <si>
    <t>MIDOC07_CE2_12</t>
  </si>
  <si>
    <t>MIDOC07_CE2_03</t>
  </si>
  <si>
    <t>MIDOC07_CE2_05</t>
  </si>
  <si>
    <t>MIDOC07_CE2_06</t>
  </si>
  <si>
    <t>MIDOC07_CE2_07</t>
  </si>
  <si>
    <t>MIDOC07_CE2_TRAY2</t>
  </si>
  <si>
    <t>MIDOC07_CE2_04</t>
  </si>
  <si>
    <t>MIDOC07_CE2_09</t>
  </si>
  <si>
    <t>MIDOC07_CE2_10</t>
  </si>
  <si>
    <t>MIDOC07_CE2_11</t>
  </si>
  <si>
    <t>MIDOC07_CE2_13</t>
  </si>
  <si>
    <t>MIDOC07_CE2_14</t>
  </si>
  <si>
    <t>MIDOC07_CE2_15</t>
  </si>
  <si>
    <t>MIDOC07_CE2_08</t>
  </si>
  <si>
    <t>MIDOC07_CE2_DISCARDS</t>
  </si>
  <si>
    <t>MIDOC07_CE2_TRAY3</t>
  </si>
  <si>
    <t>MIDOC07_CE2_16</t>
  </si>
  <si>
    <t>MIDOC07_CE2_17</t>
  </si>
  <si>
    <t>MIDOC07_CE2_18</t>
  </si>
  <si>
    <t>MIDOC07_CE2_19</t>
  </si>
  <si>
    <t>MIDOC07_CE2_20</t>
  </si>
  <si>
    <t>MIDOC07_CE2_TRAY4</t>
  </si>
  <si>
    <t>MIDOC07_CE2_21</t>
  </si>
  <si>
    <t>MIDOC07_CE2_22</t>
  </si>
  <si>
    <t>MIDOC07_CE2_23</t>
  </si>
  <si>
    <t>MIDOC07_CE2_24</t>
  </si>
  <si>
    <t>MIDOC07_CE2_25</t>
  </si>
  <si>
    <t>MIDOC07_CE2_26</t>
  </si>
  <si>
    <t>MIDOC07_CE2_TRAY5</t>
  </si>
  <si>
    <t>MIDOC07_CE2_28</t>
  </si>
  <si>
    <t>MIDOC07_CE2_29</t>
  </si>
  <si>
    <t>MIDOC07_CE2_30</t>
  </si>
  <si>
    <t>MIDOC07_CE2_31</t>
  </si>
  <si>
    <t>MIDOC07_CE2_32</t>
  </si>
  <si>
    <t>MIDOC07_CE2_33</t>
  </si>
  <si>
    <t>MIDOC07_CE2_34</t>
  </si>
  <si>
    <t>MIDOC07_CE2_35</t>
  </si>
  <si>
    <t>MIDOC07_CE2_36</t>
  </si>
  <si>
    <t>MIDOC07_CE2_TRAY6</t>
  </si>
  <si>
    <t>MIDOC07_CE2_37</t>
  </si>
  <si>
    <t>MIDOC07_CE2_TRAY7</t>
  </si>
  <si>
    <t>MIDOC07_CE2_38</t>
  </si>
  <si>
    <t>MIDOC07_CE2_40</t>
  </si>
  <si>
    <t>MIDOC07_CE2_41</t>
  </si>
  <si>
    <t>MIDOC07_CE2_39</t>
  </si>
  <si>
    <t>MIDOC07_CE2_42</t>
  </si>
  <si>
    <t>MIDOC07_CE2_43</t>
  </si>
  <si>
    <t>MIDOC07_CE2_46</t>
  </si>
  <si>
    <t>MIDOC07_CE2_47</t>
  </si>
  <si>
    <t>MIDOC07_CE2_50</t>
  </si>
  <si>
    <t>MIDOC07_CE2_51</t>
  </si>
  <si>
    <t>MIDOC07_CE2_52</t>
  </si>
  <si>
    <t>MIDOC07_CE2_53</t>
  </si>
  <si>
    <t>MIDOC07_CE2_56</t>
  </si>
  <si>
    <t>MIDOC07_CE2_48</t>
  </si>
  <si>
    <t>MIDOC07_CE3_49</t>
  </si>
  <si>
    <t>MIDOC07_CE3_44</t>
  </si>
  <si>
    <t>MIDOC07_CE3_45</t>
  </si>
  <si>
    <t>MIDOC07_CE3_55</t>
  </si>
  <si>
    <t>MIDOC07_CE3_54</t>
  </si>
  <si>
    <t>MIDOC07_CE4_02</t>
  </si>
  <si>
    <t>MIDOC07_CE4_04</t>
  </si>
  <si>
    <t>MIDOC07_CE4_07</t>
  </si>
  <si>
    <t>MIDOC07_CE4_05</t>
  </si>
  <si>
    <t>MIDOC07_CE4_06</t>
  </si>
  <si>
    <t>MIDOC07_CE4_08</t>
  </si>
  <si>
    <t>MIDOC07_CE4_03</t>
  </si>
  <si>
    <t>MIDOC07_CE4_09</t>
  </si>
  <si>
    <t>MIDOC07_CE4_10</t>
  </si>
  <si>
    <t>MIDOC07_CE4_11</t>
  </si>
  <si>
    <t>MIDOC07_CE4_12</t>
  </si>
  <si>
    <t>MIDOC07_CE4_13</t>
  </si>
  <si>
    <t>MIDOC07_CE4_14</t>
  </si>
  <si>
    <t>MIDOC07_CE4_DISCARDS</t>
  </si>
  <si>
    <t>MIDOC07_CE4_15</t>
  </si>
  <si>
    <t>MIDOC07_CE4_16</t>
  </si>
  <si>
    <t>MIDOC07_CE4_17</t>
  </si>
  <si>
    <t>MIDOC07_CE4_18</t>
  </si>
  <si>
    <t>MIDOC07_CE4_19</t>
  </si>
  <si>
    <t>MIDOC07_CE4_20</t>
  </si>
  <si>
    <t>MIDOC07_CE4_21</t>
  </si>
  <si>
    <t>MIDOC07_CE4_22</t>
  </si>
  <si>
    <t>MIDOC07_CE4_23</t>
  </si>
  <si>
    <t>MIDOC07_CE4_24</t>
  </si>
  <si>
    <t>MIDOC07_CE4_25</t>
  </si>
  <si>
    <t>MIDOC07_CE4_26</t>
  </si>
  <si>
    <t>MIDOC07_CE3_01</t>
  </si>
  <si>
    <t>MIDOC07_CE3_02</t>
  </si>
  <si>
    <t>MIDOC07_CE3_03</t>
  </si>
  <si>
    <t>MIDOC07_CE3_04</t>
  </si>
  <si>
    <t>MIDOC07_CE3_TRAY</t>
  </si>
  <si>
    <t>MIDOC07_CE3_05</t>
  </si>
  <si>
    <t>MIDOC07_CE3_06</t>
  </si>
  <si>
    <t>MIDOC07_CE3_07</t>
  </si>
  <si>
    <t>MIDOC07_CE3_08</t>
  </si>
  <si>
    <t>MIDOC07_CE3_09</t>
  </si>
  <si>
    <t>MIDOC07_CE3_10</t>
  </si>
  <si>
    <t>MIDOC07_CE3_DISCARDS</t>
  </si>
  <si>
    <t>MIDOC07_CE3_11</t>
  </si>
  <si>
    <t>MIDOC07_CE3_12</t>
  </si>
  <si>
    <t>MIDOC07_CE3_13</t>
  </si>
  <si>
    <t>MIDOC07_CE3_14</t>
  </si>
  <si>
    <t>MIDOC07_CE3_15</t>
  </si>
  <si>
    <t>MIDOC07_CE3_16</t>
  </si>
  <si>
    <t>MIDOC07_CE3_22</t>
  </si>
  <si>
    <t>MIDOC07_CE3_24</t>
  </si>
  <si>
    <t>MIDOC07_CE3_25</t>
  </si>
  <si>
    <t>MIDOC07_CE3_29</t>
  </si>
  <si>
    <t>MIDOC07_CE3_27</t>
  </si>
  <si>
    <t>MIDOC07_CE3_28</t>
  </si>
  <si>
    <t>MIDOC07_CE3_31</t>
  </si>
  <si>
    <t>MIDOC07_CE3_30</t>
  </si>
  <si>
    <t>MIDOC07_CE3_32</t>
  </si>
  <si>
    <t>MIDOC07_CE3_23</t>
  </si>
  <si>
    <t>MIDOC07_CE3_18</t>
  </si>
  <si>
    <t>MIDOC07_CE3_19</t>
  </si>
  <si>
    <t>MIDOC07_CE3_17</t>
  </si>
  <si>
    <t>MIDOC07_CE3_21</t>
  </si>
  <si>
    <t>MIDOC07_CE3_20</t>
  </si>
  <si>
    <t>MIDOC07_CE3_26</t>
  </si>
  <si>
    <t>MIDOC07_CE5_01</t>
  </si>
  <si>
    <t>MIDOC07_CE5_02</t>
  </si>
  <si>
    <t>MIDOC07_CE5_10</t>
  </si>
  <si>
    <t>MIDOC07_CE5_03</t>
  </si>
  <si>
    <t>MIDOC07_CE5_09</t>
  </si>
  <si>
    <t>MIDOC07_CE5_05</t>
  </si>
  <si>
    <t>MIDOC07_CE5_06</t>
  </si>
  <si>
    <t>MIDOC07_CE5_07</t>
  </si>
  <si>
    <t>MIDOC07_CE5_08</t>
  </si>
  <si>
    <t>MIDOC07_CE5_04</t>
  </si>
  <si>
    <t>MIDOC07_CE5_20</t>
  </si>
  <si>
    <t>MIDOC07_CE5_19</t>
  </si>
  <si>
    <t>MIDOC07_CE5_18</t>
  </si>
  <si>
    <t>MIDOC07_CE5_17</t>
  </si>
  <si>
    <t>MIDOC07_CE5_16</t>
  </si>
  <si>
    <t>MIDOC07_CE5_25</t>
  </si>
  <si>
    <t>MIDOC07_CE5_23</t>
  </si>
  <si>
    <t>MIDOC07_CE5_24</t>
  </si>
  <si>
    <t>MIDOC07_CE5_14</t>
  </si>
  <si>
    <t>MIDOC07_CE5_15</t>
  </si>
  <si>
    <t>MIDOC07_CE5_NO_ID</t>
  </si>
  <si>
    <t>MIDOC07_CE5_13</t>
  </si>
  <si>
    <t>MIDOC07_CE5_12</t>
  </si>
  <si>
    <t>MIDOC07_CE5_11</t>
  </si>
  <si>
    <t>MIDOC07_CE5_26</t>
  </si>
  <si>
    <t>MIDOC07_CE5_21</t>
  </si>
  <si>
    <t>MIDOC07_CE5_22</t>
  </si>
  <si>
    <t>MIDOC07_CE5_50</t>
  </si>
  <si>
    <t>MIDOC07_CE1_DISCARDS</t>
  </si>
  <si>
    <t>MIDOC07_CE1_01</t>
  </si>
  <si>
    <t>MIDOC07_CE1_02</t>
  </si>
  <si>
    <t>MIDOC07_CE1_03</t>
  </si>
  <si>
    <t>MIDOC07_CE1_04</t>
  </si>
  <si>
    <t>MIDOC07_CE6_01</t>
  </si>
  <si>
    <t>MIDOC07_CE6_02</t>
  </si>
  <si>
    <t>MIDOC07_CE6_03</t>
  </si>
  <si>
    <t>MIDOC07_CE6_04</t>
  </si>
  <si>
    <t>MIDOC07_CE6_05</t>
  </si>
  <si>
    <t>MIDOC07_CE6_06</t>
  </si>
  <si>
    <t>MIDOC07_CE6_07</t>
  </si>
  <si>
    <t>MIDOC07_CE6_08</t>
  </si>
  <si>
    <t>MIDOC07_CE6_DISCARDS</t>
  </si>
  <si>
    <t>MIDOC07_CE6_24</t>
  </si>
  <si>
    <t>MIDOC07_CE6_09</t>
  </si>
  <si>
    <t>MIDOC07_CE6_10</t>
  </si>
  <si>
    <t>MIDOC07_CE6_11</t>
  </si>
  <si>
    <t>MIDOC07_CE6_12</t>
  </si>
  <si>
    <t>MIDOC07_CE6_13</t>
  </si>
  <si>
    <t>MIDOC07_CE6_14</t>
  </si>
  <si>
    <t>MIDOC07_CE6_15</t>
  </si>
  <si>
    <t>MIDOC07_CE6_16</t>
  </si>
  <si>
    <t>MIDOC07_CE6_17</t>
  </si>
  <si>
    <t>MIDOC07_CE6_19</t>
  </si>
  <si>
    <t>MIDOC07_CE6_20</t>
  </si>
  <si>
    <t>MIDOC07_CE6_21</t>
  </si>
  <si>
    <t>MIDOC07_CE6_25</t>
  </si>
  <si>
    <t>MIDOC07_CE6_23</t>
  </si>
  <si>
    <t>MIDOC07_CE6_22</t>
  </si>
  <si>
    <t>MIDOC07_CE6_FRONT_OF_NET</t>
  </si>
  <si>
    <t>KX17</t>
  </si>
  <si>
    <t>30.1.2016</t>
  </si>
  <si>
    <t>local.t.zone</t>
  </si>
  <si>
    <t>t.MIDOC.in</t>
  </si>
  <si>
    <t>t.doors.in</t>
  </si>
  <si>
    <t>t.midoc.out</t>
  </si>
  <si>
    <t>t.doors.out</t>
  </si>
  <si>
    <t>tot.catch.wt.kg</t>
  </si>
  <si>
    <t>~5 kg</t>
  </si>
  <si>
    <t>2m swell, good conditions</t>
  </si>
  <si>
    <t>MIDOC08_CE1_01</t>
  </si>
  <si>
    <t>MIDOC not set correctly; all catch in cod-end 1, with small overflow in CE2</t>
  </si>
  <si>
    <t>MIDOC not set properly so cod-ends did not trip; all catch in cod-end 1 other than small amout in CE2. Massive krill catch; approximately 5-10kg of krill still stuck in net after cod-ends emptied. Random subsamples taken and sorted, in additon to quick sort of total catch for fish</t>
  </si>
  <si>
    <t>midoc did not trigger (human error) so all catch was in codend 1; flew through a large krill aggregation. Catch was randomly subsampled to calculate catch proportions. Subsamples were: 15.4 kg krill; 0.408 kg fish; 1.536 kg jellies; 0.81 kg salps; 0.038 kg squid; 0.96 kg other inverts; with total subsample wt of 19.152 . total catch weights for each fraction then calculated as subsampled_wt/19.152*337.356</t>
  </si>
  <si>
    <t>MIDOC08_CE1_02</t>
  </si>
  <si>
    <t>MIDOC08_CE1_03</t>
  </si>
  <si>
    <t>MIDOC08_CE1_04</t>
  </si>
  <si>
    <t>MIDOC08_CE1_05</t>
  </si>
  <si>
    <t>MIDOC08_CE1_06</t>
  </si>
  <si>
    <t>0.408 kg retained; note that weight of fish calculated from subsample proportions is MUCH greater than the total weight recovered in the quick sort (2.11). Suggests that fish were over-represented in the subsamples</t>
  </si>
  <si>
    <t>0.015 kg retained</t>
  </si>
  <si>
    <t>0.038 kg retained</t>
  </si>
  <si>
    <t>0.049 kg retained</t>
  </si>
  <si>
    <t>0.643 kg retained</t>
  </si>
  <si>
    <t>0.024 kg retained</t>
  </si>
  <si>
    <t>WP401</t>
  </si>
  <si>
    <t>good deployment, no problems; cod-end 4 clogged with massive medusa</t>
  </si>
  <si>
    <t>check on voyage track</t>
  </si>
  <si>
    <t>clean deployment and retrieval, no problems. Several kilos of salps stuck in net and numerous squid and small fish forward of MIDOC. Estimated ~0.25 kg of small fish and 0.5 kg of squid total. Representative samples retained</t>
  </si>
  <si>
    <t>MIDOC09_CE2_01</t>
  </si>
  <si>
    <t>MIDOC09_CE2_02</t>
  </si>
  <si>
    <t>MIDOC09_CE2_03</t>
  </si>
  <si>
    <t>MIDOC09_CE2_04</t>
  </si>
  <si>
    <t>MIDOC09_CE2_05</t>
  </si>
  <si>
    <t>MIDOC09_CE2_06</t>
  </si>
  <si>
    <t>MIDOC09_CE2_07</t>
  </si>
  <si>
    <t>MIDOC09_CE2_08</t>
  </si>
  <si>
    <t>MIDOC09_CE2_09</t>
  </si>
  <si>
    <t>MIDOC09_CE2_10</t>
  </si>
  <si>
    <t>MIDOC09_CE2_11</t>
  </si>
  <si>
    <t>MIDOC09_CE2_12</t>
  </si>
  <si>
    <t>MIDOC09_CE2_13</t>
  </si>
  <si>
    <t>MIDOC09_CE2_14</t>
  </si>
  <si>
    <t>MIDOC09_CE2_15</t>
  </si>
  <si>
    <t>MIDOC09_CE2_16</t>
  </si>
  <si>
    <t>MIDOC09_CE2_17</t>
  </si>
  <si>
    <t>MIDOC09_CE2_18</t>
  </si>
  <si>
    <t>MIDOC09_CE2_19</t>
  </si>
  <si>
    <t>MIDOC09_CE2_TRAY 1</t>
  </si>
  <si>
    <t>MIDOC09_CE2_TRAY 2</t>
  </si>
  <si>
    <t>MIDOC09_CE2_20</t>
  </si>
  <si>
    <t>MIDOC09_CE2_21</t>
  </si>
  <si>
    <t>MIDOC09_CE2_22</t>
  </si>
  <si>
    <t>MIDOC09_CE2_23</t>
  </si>
  <si>
    <t>MIDOC09_CE2_24</t>
  </si>
  <si>
    <t>MIDOC09_CE2_DISCARDS</t>
  </si>
  <si>
    <t>MIDOC09_CE2_25</t>
  </si>
  <si>
    <t>MIDOC09_CE2_26</t>
  </si>
  <si>
    <t>MIDOC09_CE2_27</t>
  </si>
  <si>
    <t>MIDOC09_CE2_28</t>
  </si>
  <si>
    <t>sml-med sized specimens</t>
  </si>
  <si>
    <t>large sized specimens</t>
  </si>
  <si>
    <t>retained weight 0.269kg</t>
  </si>
  <si>
    <t>retained wt =</t>
  </si>
  <si>
    <t>MIDOC09_CE2_29</t>
  </si>
  <si>
    <t>MIDOC09_CE2_30</t>
  </si>
  <si>
    <t>MIDOC09_CE2_31</t>
  </si>
  <si>
    <t>MIDOC09_CE2_32</t>
  </si>
  <si>
    <t>MIDOC09_CE2_33</t>
  </si>
  <si>
    <t>MIDOC09_CE4_01</t>
  </si>
  <si>
    <t>MIDOC09_CE4_02</t>
  </si>
  <si>
    <t>MIDOC09_CE4_03</t>
  </si>
  <si>
    <t>MIDOC09_CE4_04</t>
  </si>
  <si>
    <t>MIDOC09_CE4_05</t>
  </si>
  <si>
    <t>MIDOC09_CE4_06</t>
  </si>
  <si>
    <t>MIDOC09_CE4_07</t>
  </si>
  <si>
    <t>MIDOC09_CE4_08</t>
  </si>
  <si>
    <t>MIDOC09_CE4_09</t>
  </si>
  <si>
    <t>MIDOC09_CE4_10</t>
  </si>
  <si>
    <t>MIDOC09_CE4_11</t>
  </si>
  <si>
    <t>MIDOC09_CE4_12</t>
  </si>
  <si>
    <t>MIDOC09_CE4_13</t>
  </si>
  <si>
    <t>MIDOC09_CE4_DISCARDS</t>
  </si>
  <si>
    <t>MIDOC09_CE4_14</t>
  </si>
  <si>
    <t>MIDOC09_CE4_TRAY</t>
  </si>
  <si>
    <t>MIDOC09_CE4_15</t>
  </si>
  <si>
    <t>MIDOC09_CE4_16</t>
  </si>
  <si>
    <t>MIDOC09_CE4_17</t>
  </si>
  <si>
    <t>MIDOC09_CE4_18</t>
  </si>
  <si>
    <t>MIDOC09_CE4_19</t>
  </si>
  <si>
    <t>MIDOC09_CE4_20</t>
  </si>
  <si>
    <t>MIDOC09_CE4_21</t>
  </si>
  <si>
    <t>retained 0.397kg</t>
  </si>
  <si>
    <t>all retained; good sample size for SIA</t>
  </si>
  <si>
    <t>salps, krill and other gelatinous</t>
  </si>
  <si>
    <t>MIDOC09_CE4_22</t>
  </si>
  <si>
    <t>MIDOC09_CE4_23</t>
  </si>
  <si>
    <t>MIDOC09_CE4_24</t>
  </si>
  <si>
    <t>MIDOC09_CE4_25</t>
  </si>
  <si>
    <t>MIDOC09_CE4_26</t>
  </si>
  <si>
    <t>MIDOC09_CE4_27</t>
  </si>
  <si>
    <t>MIDOC09_CE3_01</t>
  </si>
  <si>
    <t>MIDOC09_CE3_02</t>
  </si>
  <si>
    <t>MIDOC09_CE3_03</t>
  </si>
  <si>
    <t>MIDOC09_CE3_04</t>
  </si>
  <si>
    <t>MIDOC09_CE3_05</t>
  </si>
  <si>
    <t>MIDOC09_CE3_06</t>
  </si>
  <si>
    <t>MIDOC09_CE3_07</t>
  </si>
  <si>
    <t>MIDOC09_CE3_08</t>
  </si>
  <si>
    <t>MIDOC09_CE3_09</t>
  </si>
  <si>
    <t>MIDOC09_CE3_10</t>
  </si>
  <si>
    <t>MIDOC09_CE3_11</t>
  </si>
  <si>
    <t>MIDOC09_CE3_12</t>
  </si>
  <si>
    <t>MIDOC09_CE3_13</t>
  </si>
  <si>
    <t>MIDOC09_CE3_14</t>
  </si>
  <si>
    <t>MIDOC09_CE3_15</t>
  </si>
  <si>
    <t>MIDOC09_CE3_16</t>
  </si>
  <si>
    <t>MIDOC09_CE3_17</t>
  </si>
  <si>
    <t>MIDOC09_CE3_18</t>
  </si>
  <si>
    <t>MIDOC09_CE3_19</t>
  </si>
  <si>
    <t>MIDOC09_CE3_DISCARDS</t>
  </si>
  <si>
    <t>sml black bathy</t>
  </si>
  <si>
    <t>retained wt 0.148kg</t>
  </si>
  <si>
    <t>retained wt 0.292kg</t>
  </si>
  <si>
    <t>MIDOC09_CE3_22</t>
  </si>
  <si>
    <t>MIDOC09_CE3_23</t>
  </si>
  <si>
    <t>MIDOC09_CE3_24</t>
  </si>
  <si>
    <t>MIDOC09_CE3_21</t>
  </si>
  <si>
    <t>MIDOC09_CE3_20</t>
  </si>
  <si>
    <t>MIDOC09_CE3_31</t>
  </si>
  <si>
    <t>MIDOC09_CE3_25</t>
  </si>
  <si>
    <t>MIDOC09_CE3_26</t>
  </si>
  <si>
    <t>MIDOC09_CE3_27</t>
  </si>
  <si>
    <t>MIDOC09_CE3_28</t>
  </si>
  <si>
    <t>MIDOC09_CE3_29</t>
  </si>
  <si>
    <t>MIDOC09_CE3_30</t>
  </si>
  <si>
    <t>MIDOC09_CE5_01</t>
  </si>
  <si>
    <t>MIDOC09_CE5_02</t>
  </si>
  <si>
    <t>MIDOC09_CE5_03</t>
  </si>
  <si>
    <t>MIDOC09_CE5_04</t>
  </si>
  <si>
    <t>MIDOC09_CE5_05</t>
  </si>
  <si>
    <t>MIDOC09_CE5_06</t>
  </si>
  <si>
    <t>MIDOC09_CE5_12</t>
  </si>
  <si>
    <t>MIDOC09_CE5_13</t>
  </si>
  <si>
    <t>MIDOC09_CE5_DISCARDS</t>
  </si>
  <si>
    <t>MIDOC09_CE5_08</t>
  </si>
  <si>
    <t>MIDOC09_CE5_09</t>
  </si>
  <si>
    <t>MIDOC09_CE5_10</t>
  </si>
  <si>
    <t>MIDOC09_CE5_11</t>
  </si>
  <si>
    <t>MIDOC09_CE5_07</t>
  </si>
  <si>
    <t>MIDOC09_CE5_14</t>
  </si>
  <si>
    <t>MIDOC09_CE5_15</t>
  </si>
  <si>
    <t>MIDOC09_CE5_16</t>
  </si>
  <si>
    <t>MIDOC09_CE5_17</t>
  </si>
  <si>
    <t>good specimen</t>
  </si>
  <si>
    <t>MIDOC09_CE5_18</t>
  </si>
  <si>
    <t>MIDOC09_CE5_19</t>
  </si>
  <si>
    <t>MIDOC09_CE5_20</t>
  </si>
  <si>
    <t>MIDOC09_CE5_21</t>
  </si>
  <si>
    <t>MIDOC09_CE5_22</t>
  </si>
  <si>
    <t>MIDOC09_CE5_23</t>
  </si>
  <si>
    <t>MIDOC09_CE5_24</t>
  </si>
  <si>
    <t>MIDOC09_CE5_25</t>
  </si>
  <si>
    <t>MIDOC09_CE5_26</t>
  </si>
  <si>
    <t>MIDOC09_CE5_27</t>
  </si>
  <si>
    <t>MIDOC09_CE5_28</t>
  </si>
  <si>
    <t>MIDOC09_CE5_29</t>
  </si>
  <si>
    <t>MIDOC09_CE5_31</t>
  </si>
  <si>
    <t>MIDOC09_CE5_32</t>
  </si>
  <si>
    <t>MIDOC09_CE5_33</t>
  </si>
  <si>
    <t>MIDOC09_CE5_34</t>
  </si>
  <si>
    <t>MIDOC09_CE5_35</t>
  </si>
  <si>
    <t>MIDOC09_CE5_36</t>
  </si>
  <si>
    <t>MIDOC09_CE5_37</t>
  </si>
  <si>
    <t>MIDOC09_CE5_38</t>
  </si>
  <si>
    <t>MIDOC09_CE5_40</t>
  </si>
  <si>
    <t>MIDOC09_CE5_45</t>
  </si>
  <si>
    <t>MIDOC09_CE5_46</t>
  </si>
  <si>
    <t>MIDOC09_CE5_47</t>
  </si>
  <si>
    <t>MIDOC09_CE5_48</t>
  </si>
  <si>
    <t>MIDOC09_CE5_49</t>
  </si>
  <si>
    <t>MIDOC09_CE5_50</t>
  </si>
  <si>
    <t>MIDOC09_CE5_52</t>
  </si>
  <si>
    <t>dragonfish</t>
  </si>
  <si>
    <t>angler fish (dream fish)</t>
  </si>
  <si>
    <t>0-400 CE6 misfired</t>
  </si>
  <si>
    <t>0-400 CE6 misfired; good specimen for stomachs</t>
  </si>
  <si>
    <t>0-400 CE6 misfired; salp retained wt</t>
  </si>
  <si>
    <t>MIDOC09_CE5_51</t>
  </si>
  <si>
    <t>MIDOC09_CE5_53</t>
  </si>
  <si>
    <t>MIDOC09_CE5_39</t>
  </si>
  <si>
    <t>MIDOC09_CE5_41</t>
  </si>
  <si>
    <t>MIDOC09_CE5_42</t>
  </si>
  <si>
    <t>MIDOC09_CE5_43</t>
  </si>
  <si>
    <t>MIDOC09_CE5_30</t>
  </si>
  <si>
    <t>tpmopterus</t>
  </si>
  <si>
    <t>all fish</t>
  </si>
  <si>
    <t>bathyteuthis sp squid</t>
  </si>
  <si>
    <t>MIDOC09_CE6_01</t>
  </si>
  <si>
    <t>MIDOC09_CE1_01</t>
  </si>
  <si>
    <t>MIDOC09_CE1_02</t>
  </si>
  <si>
    <t>MIDOC09_CE1_03</t>
  </si>
  <si>
    <t>MIDOC09_CE1_04</t>
  </si>
  <si>
    <t>MIDOC09_CE1_05</t>
  </si>
  <si>
    <t>MIDOC09_CE6_DISCARDS</t>
  </si>
  <si>
    <t>MIDOC09_CE5_44</t>
  </si>
  <si>
    <t>0.123 kg retained</t>
  </si>
  <si>
    <t>MIDOC10</t>
  </si>
  <si>
    <t>0.215 kg retained</t>
  </si>
  <si>
    <t>0.175 kg retained</t>
  </si>
  <si>
    <t>MIDOC11</t>
  </si>
  <si>
    <t>31.1.2016</t>
  </si>
  <si>
    <t>KX18</t>
  </si>
  <si>
    <t>mixed salps</t>
  </si>
  <si>
    <t>little black bathy?</t>
  </si>
  <si>
    <t>0.390 kg retained</t>
  </si>
  <si>
    <t>0.161 kg retained</t>
  </si>
  <si>
    <t>Macruid</t>
  </si>
  <si>
    <t>0.240 kg retained</t>
  </si>
  <si>
    <t>0.583 retained</t>
  </si>
  <si>
    <t>good specimen for stomachs</t>
  </si>
  <si>
    <t>decapods, ostracods, amphipods and salps</t>
  </si>
  <si>
    <t>photograph with 0315</t>
  </si>
  <si>
    <t>0.145 kg retained</t>
  </si>
  <si>
    <t>0.181 kg retained</t>
  </si>
  <si>
    <t>sample IDs 09 and 10 not used</t>
  </si>
  <si>
    <t>salps and calycopsis</t>
  </si>
  <si>
    <t>0.621 retained</t>
  </si>
  <si>
    <t>0.222 retained</t>
  </si>
  <si>
    <t>decapods and amphipods</t>
  </si>
  <si>
    <t>0.291 kg retianed</t>
  </si>
  <si>
    <t>0.166 kg retained</t>
  </si>
  <si>
    <t>tpmopterus and gelatinous</t>
  </si>
  <si>
    <t>salps and gelatinous</t>
  </si>
  <si>
    <t>squids and other invertebrates</t>
  </si>
  <si>
    <t>check MIDOC</t>
  </si>
  <si>
    <t>need to correct cod-end weight - 0.2 assumed</t>
  </si>
  <si>
    <t>need to correct cod-end weight - 0.2 assumed; also due to mis-fire, catch present is likely to be left-ofer from previous catch, washed into cod-end</t>
  </si>
  <si>
    <t>net shot open 0-200m and back to surface (40 min) as previous shot did not open; total cod-end wet weight not recorded; catch weight may not be fully comparable to other shots/stations</t>
  </si>
  <si>
    <t>open</t>
  </si>
  <si>
    <t>WP403</t>
  </si>
  <si>
    <t>Foggy, swell less than 1m, winds variable 5-10kt</t>
  </si>
  <si>
    <t>Ship due to approach ice edge ~00:30 UTC, so track was modified to parallel edge (ship turned to port)</t>
  </si>
  <si>
    <t>one codend only, repeat for misfire of codend 6 of MIDOC09</t>
  </si>
  <si>
    <t>MIDOC10_1_01</t>
  </si>
  <si>
    <t>MIDOC10_6_TRAY1</t>
  </si>
  <si>
    <t>MIDOC10_6_TRAY2</t>
  </si>
  <si>
    <t>MIDOC10_6_TRAY3</t>
  </si>
  <si>
    <t>MIDOC10_6_TRAY4</t>
  </si>
  <si>
    <t>MIDOC10_6_TRAY5</t>
  </si>
  <si>
    <t>MIDOC10_6_TRAY6</t>
  </si>
  <si>
    <t>MIDOC10_6_03</t>
  </si>
  <si>
    <t>MIDOC10_6_02</t>
  </si>
  <si>
    <t>MIDOC10_6_04</t>
  </si>
  <si>
    <t>MIDOC10_6_05</t>
  </si>
  <si>
    <t>MIDOC10_6_06</t>
  </si>
  <si>
    <t>MIDOC10_6_DISCARDS</t>
  </si>
  <si>
    <t>MIDOC10_6_08</t>
  </si>
  <si>
    <t>MIDOC10_6_09</t>
  </si>
  <si>
    <t>MIDOC10_6_10</t>
  </si>
  <si>
    <t>MIDOC10_6_11</t>
  </si>
  <si>
    <t>MIDOC10_6_12</t>
  </si>
  <si>
    <t>MIDOC10_6_07</t>
  </si>
  <si>
    <t>MIDOC10_6_14</t>
  </si>
  <si>
    <t>MIDOC10_6_15</t>
  </si>
  <si>
    <t>MIDOC10_6_16</t>
  </si>
  <si>
    <t>MIDOC10_6_17</t>
  </si>
  <si>
    <t>MIDOC10_6_18</t>
  </si>
  <si>
    <t>MIDOC10_6_13</t>
  </si>
  <si>
    <t>MIDOC10_6_19</t>
  </si>
  <si>
    <t>MIDOC10_6_20</t>
  </si>
  <si>
    <t>MIDOC10_6_21</t>
  </si>
  <si>
    <t>MIDOC10_6_22</t>
  </si>
  <si>
    <t>MIDOC10_6_23</t>
  </si>
  <si>
    <t>MIDOC10_6_24</t>
  </si>
  <si>
    <t>MIDOC10_6_25</t>
  </si>
  <si>
    <t>MIDOC10_6_35</t>
  </si>
  <si>
    <t>MIDOC10_6_26</t>
  </si>
  <si>
    <t>MIDOC10_6_36</t>
  </si>
  <si>
    <t>MIDOC10_6_27</t>
  </si>
  <si>
    <t>MIDOC10_6_28</t>
  </si>
  <si>
    <t>MIDOC10_6_29</t>
  </si>
  <si>
    <t>MIDOC10_6_30</t>
  </si>
  <si>
    <t>MIDOC10_6_31</t>
  </si>
  <si>
    <t>MIDOC10_6_32</t>
  </si>
  <si>
    <t>MIDOC10_6_34</t>
  </si>
  <si>
    <t>MIDOC10_6_33</t>
  </si>
  <si>
    <t>MIDOC11_2_01</t>
  </si>
  <si>
    <t>MIDOC11_2_02</t>
  </si>
  <si>
    <t>MIDOC11_2_16</t>
  </si>
  <si>
    <t>MIDOC11_2_15</t>
  </si>
  <si>
    <t>MIDOC11_2_17</t>
  </si>
  <si>
    <t>MIDOC11_2_14</t>
  </si>
  <si>
    <t>MIDOC11_2_03</t>
  </si>
  <si>
    <t>MIDOC11_2_04</t>
  </si>
  <si>
    <t>MIDOC11_2_05</t>
  </si>
  <si>
    <t>MIDOC11_2_06</t>
  </si>
  <si>
    <t>MIDOC11_2_07</t>
  </si>
  <si>
    <t>MIDOC11_2_09</t>
  </si>
  <si>
    <t>MIDOC11_2_31</t>
  </si>
  <si>
    <t>MIDOC11_2_10</t>
  </si>
  <si>
    <t>MIDOC11_2_11</t>
  </si>
  <si>
    <t>MIDOC11_2_12</t>
  </si>
  <si>
    <t>MIDOC11_2_13</t>
  </si>
  <si>
    <t>MIDOC11_2_08</t>
  </si>
  <si>
    <t>MIDOC11_2_DISCARDS</t>
  </si>
  <si>
    <t>MIDOC11_2_24</t>
  </si>
  <si>
    <t>MIDOC11_2_26</t>
  </si>
  <si>
    <t>MIDOC11_2_27</t>
  </si>
  <si>
    <t>MIDOC11_2_28</t>
  </si>
  <si>
    <t>MIDOC11_2_18</t>
  </si>
  <si>
    <t>MIDOC11_2_19</t>
  </si>
  <si>
    <t>MIDOC11_2_20</t>
  </si>
  <si>
    <t>MIDOC11_2_21</t>
  </si>
  <si>
    <t>MIDOC11_2_22</t>
  </si>
  <si>
    <t>MIDOC11_2_23</t>
  </si>
  <si>
    <t>MIDOC11_2_41</t>
  </si>
  <si>
    <t>MIDOC11_2_35</t>
  </si>
  <si>
    <t>MIDOC11_2_36</t>
  </si>
  <si>
    <t>MIDOC11_2_37</t>
  </si>
  <si>
    <t>MIDOC11_2_34</t>
  </si>
  <si>
    <t>MIDOC11_2_38</t>
  </si>
  <si>
    <t>MIDOC11_2_39</t>
  </si>
  <si>
    <t>MIDOC11_2_29</t>
  </si>
  <si>
    <t>MIDOC11_2_30</t>
  </si>
  <si>
    <t>MIDOC11_2_32</t>
  </si>
  <si>
    <t>MIDOC11_2_33</t>
  </si>
  <si>
    <t>MIDOC11_2_40</t>
  </si>
  <si>
    <t>MIDOC11_3_01</t>
  </si>
  <si>
    <t>MIDOC11_3_02</t>
  </si>
  <si>
    <t>MIDOC11_3_03</t>
  </si>
  <si>
    <t>MIDOC11_3_04</t>
  </si>
  <si>
    <t>MIDOC11_3_05</t>
  </si>
  <si>
    <t>MIDOC11_3_06</t>
  </si>
  <si>
    <t>MIDOC11_3_07</t>
  </si>
  <si>
    <t>MIDOC11_3_13</t>
  </si>
  <si>
    <t>MIDOC11_3_08</t>
  </si>
  <si>
    <t>MIDOC11_3_09</t>
  </si>
  <si>
    <t>MIDOC11_3_10</t>
  </si>
  <si>
    <t>MIDOC11_3_11</t>
  </si>
  <si>
    <t>MIDOC11_3_12</t>
  </si>
  <si>
    <t>MIDOC11_3_14</t>
  </si>
  <si>
    <t>MIDOC11_3_DISCARDS</t>
  </si>
  <si>
    <t>MIDOC11_3_21</t>
  </si>
  <si>
    <t>MIDOC11_3_22</t>
  </si>
  <si>
    <t>MIDOC11_3_23</t>
  </si>
  <si>
    <t>MIDOC11_3_24</t>
  </si>
  <si>
    <t>MIDOC11_3_25</t>
  </si>
  <si>
    <t>MIDOC11_3_26</t>
  </si>
  <si>
    <t>MIDOC11_3_27</t>
  </si>
  <si>
    <t>MIDOC11_3_28</t>
  </si>
  <si>
    <t>MIDOC11_3_16</t>
  </si>
  <si>
    <t>MIDOC11_3_15</t>
  </si>
  <si>
    <t>MIDOC11_3_48</t>
  </si>
  <si>
    <t>MIDOC11_3_35</t>
  </si>
  <si>
    <t>MIDOC11_3_36</t>
  </si>
  <si>
    <t>MIDOC11_3_37</t>
  </si>
  <si>
    <t>MIDOC11_3_38</t>
  </si>
  <si>
    <t>MIDOC11_3_39</t>
  </si>
  <si>
    <t>MIDOC11_3_40</t>
  </si>
  <si>
    <t>MIDOC11_3_29</t>
  </si>
  <si>
    <t>MIDOC11_3_30</t>
  </si>
  <si>
    <t>MIDOC11_3_31</t>
  </si>
  <si>
    <t>MIDOC11_3_32</t>
  </si>
  <si>
    <t>MIDOC11_3_33</t>
  </si>
  <si>
    <t>MIDOC11_3_34</t>
  </si>
  <si>
    <t>MIDOC11_3_17</t>
  </si>
  <si>
    <t>MIDOC11_3_18</t>
  </si>
  <si>
    <t>MIDOC11_3_19</t>
  </si>
  <si>
    <t>MIDOC11_3_20</t>
  </si>
  <si>
    <t>MIDOC11_3_41</t>
  </si>
  <si>
    <t>MIDOC11_3_42</t>
  </si>
  <si>
    <t>MIDOC11_3_43</t>
  </si>
  <si>
    <t>MIDOC11_3_44</t>
  </si>
  <si>
    <t>MIDOC11_3_45</t>
  </si>
  <si>
    <t>MIDOC11_3_46</t>
  </si>
  <si>
    <t>MIDOC11_3_47</t>
  </si>
  <si>
    <t>MIDOC11_3_49</t>
  </si>
  <si>
    <t>MIDOC11_3_50</t>
  </si>
  <si>
    <t>MIDOC11_3_51</t>
  </si>
  <si>
    <t>MIDOC11_3_52</t>
  </si>
  <si>
    <t>MIDOC11_3_53</t>
  </si>
  <si>
    <t>MIDOC11_3_54</t>
  </si>
  <si>
    <t>MIDOC11_3_55</t>
  </si>
  <si>
    <t>MIDOC11_4_01</t>
  </si>
  <si>
    <t>MIDOC11_4_02</t>
  </si>
  <si>
    <t>MIDOC11_4_03</t>
  </si>
  <si>
    <t>MIDOC11_4_04</t>
  </si>
  <si>
    <t>MIDOC11_4_05</t>
  </si>
  <si>
    <t>MIDOC11_4_06</t>
  </si>
  <si>
    <t>MIDOC11_4_07</t>
  </si>
  <si>
    <t>MIDOC11_4_08</t>
  </si>
  <si>
    <t>MIDOC11_4_DISCARDS</t>
  </si>
  <si>
    <t>MIDOC11_4_11</t>
  </si>
  <si>
    <t>MIDOC11_4_12</t>
  </si>
  <si>
    <t>MIDOC11_4_13</t>
  </si>
  <si>
    <t>MIDOC11_4_14</t>
  </si>
  <si>
    <t>MIDOC11_4_15</t>
  </si>
  <si>
    <t>MIDOC11_4_16</t>
  </si>
  <si>
    <t>MIDOC11_4_17</t>
  </si>
  <si>
    <t>MIDOC11_4_18</t>
  </si>
  <si>
    <t>MIDOC11_4_19</t>
  </si>
  <si>
    <t>MIDOC11_4_20</t>
  </si>
  <si>
    <t>MIDOC11_4_21</t>
  </si>
  <si>
    <t>MIDOC11_4_22</t>
  </si>
  <si>
    <t>MIDOC11_4_23</t>
  </si>
  <si>
    <t>MIDOC11_4_24</t>
  </si>
  <si>
    <t>MIDOC11_4_25</t>
  </si>
  <si>
    <t>MIDOC11_4_26</t>
  </si>
  <si>
    <t>MIDOC11_4_27</t>
  </si>
  <si>
    <t>MIDOC11_4_28</t>
  </si>
  <si>
    <t>MIDOC11_4_29</t>
  </si>
  <si>
    <t>MIDOC11_4_30</t>
  </si>
  <si>
    <t>MIDOC11_5_01</t>
  </si>
  <si>
    <t>MIDOC11_5_02</t>
  </si>
  <si>
    <t>MIDOC11_5_03</t>
  </si>
  <si>
    <t>MIDOC11_5_12</t>
  </si>
  <si>
    <t>MIDOC11_5_04</t>
  </si>
  <si>
    <t>MIDOC11_5_05</t>
  </si>
  <si>
    <t>MIDOC11_5_06</t>
  </si>
  <si>
    <t>MIDOC11_5_07</t>
  </si>
  <si>
    <t>MIDOC11_5_20</t>
  </si>
  <si>
    <t>MIDOC11_5_08</t>
  </si>
  <si>
    <t>MIDOC11_5_09</t>
  </si>
  <si>
    <t>MIDOC11_5_10</t>
  </si>
  <si>
    <t>MIDOC11_5_11</t>
  </si>
  <si>
    <t>MIDOC11_5_13</t>
  </si>
  <si>
    <t>MIDOC11_5_14</t>
  </si>
  <si>
    <t>MIDOC11_5_15</t>
  </si>
  <si>
    <t>MIDOC11_5_16</t>
  </si>
  <si>
    <t>MIDOC11_5_17</t>
  </si>
  <si>
    <t>MIDOC11_5_18</t>
  </si>
  <si>
    <t>MIDOC11_5_19</t>
  </si>
  <si>
    <t>MIDOC11_6_03</t>
  </si>
  <si>
    <t>MIDOC11_6_04</t>
  </si>
  <si>
    <t>MIDOC11_6_05</t>
  </si>
  <si>
    <t>MIDOC11_6_06</t>
  </si>
  <si>
    <t>MIDOC11_6_07</t>
  </si>
  <si>
    <t>MIDOC11_6_08</t>
  </si>
  <si>
    <t>MIDOC11_6_09</t>
  </si>
  <si>
    <t>MIDOC11_6_10</t>
  </si>
  <si>
    <t>MIDOC11_6_11</t>
  </si>
  <si>
    <t>MIDOC11_6_16</t>
  </si>
  <si>
    <t>MIDOC11_6_02</t>
  </si>
  <si>
    <t>MIDOC11_6_01</t>
  </si>
  <si>
    <t>MIDOC11_6_DISCARDS</t>
  </si>
  <si>
    <t>MIDOC11_6_12</t>
  </si>
  <si>
    <t>MIDOC11_6_13</t>
  </si>
  <si>
    <t>MIDOC11_6_15</t>
  </si>
  <si>
    <t>MIDOC11_6_14</t>
  </si>
  <si>
    <t>MIDOC11_6_17</t>
  </si>
  <si>
    <t>MIDOC11_6_21</t>
  </si>
  <si>
    <t>MIDOC11_6_22</t>
  </si>
  <si>
    <t>MIDOC11_6_23</t>
  </si>
  <si>
    <t>MIDOC11_6_24</t>
  </si>
  <si>
    <t>MIDOC11_6_25</t>
  </si>
  <si>
    <t>MIDOC11_6_26</t>
  </si>
  <si>
    <t>MIDOC11_6_27</t>
  </si>
  <si>
    <t>MIDOC11_6_28</t>
  </si>
  <si>
    <t>MIDOC11_6_35</t>
  </si>
  <si>
    <t>MIDOC11_6_34</t>
  </si>
  <si>
    <t>MIDOC11_6_19</t>
  </si>
  <si>
    <t>MIDOC11_6_20</t>
  </si>
  <si>
    <t>MIDOC11_6_29</t>
  </si>
  <si>
    <t>MIDOC11_6_30</t>
  </si>
  <si>
    <t>MIDOC11_6_31</t>
  </si>
  <si>
    <t>MIDOC11_6_32</t>
  </si>
  <si>
    <t>MIDOC11_6_33</t>
  </si>
  <si>
    <t>MIDOC11_6_18</t>
  </si>
  <si>
    <t>MIDOC11_6_39</t>
  </si>
  <si>
    <t>MIDOC11_6_38</t>
  </si>
  <si>
    <t>MIDOC11_6_40</t>
  </si>
  <si>
    <t>MIDOC11_1_DISCARDS</t>
  </si>
  <si>
    <t>MIDOC11_1_01</t>
  </si>
  <si>
    <t>MIDOC11_1_02</t>
  </si>
  <si>
    <t>Mantle length 44mm</t>
  </si>
  <si>
    <t>5 specimens; Tray weight 1000g; .275 retained</t>
  </si>
  <si>
    <t>290g retained; Tray weight 1033g</t>
  </si>
  <si>
    <t>255g retained; Tray weight 553g</t>
  </si>
  <si>
    <t>231g retained</t>
  </si>
  <si>
    <t>MIDOC02_CE4_discards</t>
  </si>
  <si>
    <t>148g retained; Tray weight 392g</t>
  </si>
  <si>
    <t xml:space="preserve">Lengths &amp; weights not recorded; CE2 fish total weights 290g </t>
  </si>
  <si>
    <t>CE1; 4 specimens</t>
  </si>
  <si>
    <t>3 specimens, 117 g retained</t>
  </si>
  <si>
    <t>304 g retained</t>
  </si>
  <si>
    <t>314 g retained</t>
  </si>
  <si>
    <t>270 g retained</t>
  </si>
  <si>
    <t>MIDOC01_CE3_discards</t>
  </si>
  <si>
    <t>trays included in totals calculations as not all discards weighed for this shot</t>
  </si>
  <si>
    <t>weights guessed from photos for totals; will need to revisit</t>
  </si>
  <si>
    <t>MIDOC01_no_DISCARDS</t>
  </si>
  <si>
    <t>MIDOC_03_CE4_DISCARDS</t>
  </si>
  <si>
    <t>all individuals retained - evident from phto</t>
  </si>
  <si>
    <t>WP404</t>
  </si>
  <si>
    <t>KX19</t>
  </si>
  <si>
    <t>MIDOC12</t>
  </si>
  <si>
    <t>MIDOC13</t>
  </si>
  <si>
    <t>MIDOC12_2_01</t>
  </si>
  <si>
    <t>Euphausia superba and gelatinous</t>
  </si>
  <si>
    <t>retained 0.411 (including calycopsis borchgrevinki)</t>
  </si>
  <si>
    <t>MIDOC12_2_02</t>
  </si>
  <si>
    <t>MIDOC12_2_03</t>
  </si>
  <si>
    <t>MIDOC12_2_04</t>
  </si>
  <si>
    <t>MIDOC12_2_15</t>
  </si>
  <si>
    <t>MIDOC12_2_16</t>
  </si>
  <si>
    <t>MIDOC12_2_17</t>
  </si>
  <si>
    <t>MIDOC12_2_18</t>
  </si>
  <si>
    <t>MIDOC12_2_19</t>
  </si>
  <si>
    <t>MIDOC12_2_14</t>
  </si>
  <si>
    <t>MIDOC12_2_DISCARDS</t>
  </si>
  <si>
    <t>MIDOC12_2_20</t>
  </si>
  <si>
    <t>MIDOC12_2_21</t>
  </si>
  <si>
    <t>MIDOC12_2_22</t>
  </si>
  <si>
    <t>MIDOC12_2_23</t>
  </si>
  <si>
    <t>MIDOC12_2_24</t>
  </si>
  <si>
    <t>MIDOC12_2_25</t>
  </si>
  <si>
    <t>MIDOC12_2_38</t>
  </si>
  <si>
    <t>MIDOC12_2_05</t>
  </si>
  <si>
    <t>MIDOC12_2_06</t>
  </si>
  <si>
    <t>MIDOC12_2_07</t>
  </si>
  <si>
    <t>MIDOC12_2_08</t>
  </si>
  <si>
    <t>MIDOC12_2_10</t>
  </si>
  <si>
    <t>MIDOC12_2_11</t>
  </si>
  <si>
    <t>MIDOC12_2_12</t>
  </si>
  <si>
    <t>MIDOC12_2_09</t>
  </si>
  <si>
    <t>MIDOC12_2_13</t>
  </si>
  <si>
    <t>MIDOC12_2_26</t>
  </si>
  <si>
    <t>MIDOC12_2_27</t>
  </si>
  <si>
    <t>MIDOC12_2_28</t>
  </si>
  <si>
    <t>retained 0.246; big medusae</t>
  </si>
  <si>
    <t>Benthalbella sp</t>
  </si>
  <si>
    <t>MIDOC12_2_29</t>
  </si>
  <si>
    <t>MIDOC12_2_30</t>
  </si>
  <si>
    <t>MIDOC12_2_31</t>
  </si>
  <si>
    <t>MIDOC12_2_32</t>
  </si>
  <si>
    <t>MIDOC12_2_33</t>
  </si>
  <si>
    <t>MIDOC12_2_34</t>
  </si>
  <si>
    <t>MIDOC12_2_35</t>
  </si>
  <si>
    <t>MIDOC12_2_36</t>
  </si>
  <si>
    <t>MIDOC12_2_37</t>
  </si>
  <si>
    <t>MIDOC12_3_01</t>
  </si>
  <si>
    <t>MIDOC12_3_02</t>
  </si>
  <si>
    <t>MIDOC12_3_03</t>
  </si>
  <si>
    <t>MIDOC12_3_04</t>
  </si>
  <si>
    <t>MIDOC12_3_05</t>
  </si>
  <si>
    <t>MIDOC12_3_06</t>
  </si>
  <si>
    <t>MIDOC12_3_07</t>
  </si>
  <si>
    <t>MIDOC12_3_08</t>
  </si>
  <si>
    <t>MIDOC12_3_09</t>
  </si>
  <si>
    <t>MIDOC12_3_10</t>
  </si>
  <si>
    <t>MIDOC12_3_11</t>
  </si>
  <si>
    <t>MIDOC12_3_23</t>
  </si>
  <si>
    <t>MIDOC12_3_24</t>
  </si>
  <si>
    <t>MIDOC12_3_25</t>
  </si>
  <si>
    <t>MIDOC12_3_26</t>
  </si>
  <si>
    <t>MIDOC12_3_27</t>
  </si>
  <si>
    <t>MIDOC12_3_28</t>
  </si>
  <si>
    <t>MIDOC12_3_29</t>
  </si>
  <si>
    <t>MIDOC12_3_DISCARDS</t>
  </si>
  <si>
    <t>MIDOC12_3_30</t>
  </si>
  <si>
    <t>MIDOC12_3_31</t>
  </si>
  <si>
    <t>MIDOC12_6_01</t>
  </si>
  <si>
    <t>decapods and ostracods</t>
  </si>
  <si>
    <t>pteropod</t>
  </si>
  <si>
    <t>Euphausia superba, salps and other gelatinous</t>
  </si>
  <si>
    <t>amphipods and pteropod</t>
  </si>
  <si>
    <t>Euphausia superba, salps and decapods</t>
  </si>
  <si>
    <t>retained 0.305</t>
  </si>
  <si>
    <t>retained 0.326</t>
  </si>
  <si>
    <t>2 amphipods, 1 pteropod</t>
  </si>
  <si>
    <t>Codend misfired</t>
  </si>
  <si>
    <t>Lampanyctus</t>
  </si>
  <si>
    <t>MIDOC12_3_32</t>
  </si>
  <si>
    <t>MIDOC12_3_33</t>
  </si>
  <si>
    <t>MIDOC12_3_34</t>
  </si>
  <si>
    <t>MIDOC12_3_12</t>
  </si>
  <si>
    <t>MIDOC12_3_13</t>
  </si>
  <si>
    <t>MIDOC12_3_14</t>
  </si>
  <si>
    <t>MIDOC12_3_15</t>
  </si>
  <si>
    <t>MIDOC12_3_16</t>
  </si>
  <si>
    <t>MIDOC12_3_17</t>
  </si>
  <si>
    <t>MIDOC12_3_18</t>
  </si>
  <si>
    <t>MIDOC12_3_19</t>
  </si>
  <si>
    <t>MIDOC12_3_20</t>
  </si>
  <si>
    <t>MIDOC12_3_21</t>
  </si>
  <si>
    <t>MIDOC12_3_22</t>
  </si>
  <si>
    <t>MIDOC12_4_02</t>
  </si>
  <si>
    <t>MIDOC12_4_03</t>
  </si>
  <si>
    <t>MIDOC12_4_04</t>
  </si>
  <si>
    <t>MIDOC12_4_01</t>
  </si>
  <si>
    <t>MIDOC12_4_05</t>
  </si>
  <si>
    <t>MIDOC12_4_06</t>
  </si>
  <si>
    <t>MIDOC12_4_07</t>
  </si>
  <si>
    <t>MIDOC12_4_09</t>
  </si>
  <si>
    <t>MIDOC12_4_10</t>
  </si>
  <si>
    <t>MIDOC12_4_19</t>
  </si>
  <si>
    <t>MIDOC12_4_20</t>
  </si>
  <si>
    <t>MIDOC12_4_DISCARDS</t>
  </si>
  <si>
    <t>black bathy</t>
  </si>
  <si>
    <t>Euphausia superba, salps and calycopsis borchgrevinki</t>
  </si>
  <si>
    <t>jellies, squid and decapods</t>
  </si>
  <si>
    <t>retained 0.333</t>
  </si>
  <si>
    <t>retained 0.325</t>
  </si>
  <si>
    <t>MIDOC12_4_TRAY</t>
  </si>
  <si>
    <t>MIDOC12_4_13</t>
  </si>
  <si>
    <t>MIDOC12_4_14</t>
  </si>
  <si>
    <t>MIDOC12_4_15</t>
  </si>
  <si>
    <t>MIDOC12_4_16</t>
  </si>
  <si>
    <t>MIDOC12_4_17</t>
  </si>
  <si>
    <t>MIDOC12_4_18</t>
  </si>
  <si>
    <t>MIDOC12_5_01</t>
  </si>
  <si>
    <t>MIDOC12_5_02</t>
  </si>
  <si>
    <t>MIDOC12_5_03</t>
  </si>
  <si>
    <t>MIDOC12_5_04</t>
  </si>
  <si>
    <t>MIDOC12_5_05</t>
  </si>
  <si>
    <t>MIDOC12_5_06</t>
  </si>
  <si>
    <t>MIDOC12_5_07</t>
  </si>
  <si>
    <t>MIDOC12_5_08</t>
  </si>
  <si>
    <t>MIDOC12_5_09</t>
  </si>
  <si>
    <t>MIDOC12_5_10</t>
  </si>
  <si>
    <t>MIDOC12_5_11</t>
  </si>
  <si>
    <t>MIDOC12_5_12</t>
  </si>
  <si>
    <t>MIDOC12_5_13</t>
  </si>
  <si>
    <t>MIDOC12_5_14</t>
  </si>
  <si>
    <t>MIDOC12_5_15</t>
  </si>
  <si>
    <t>MIDOC12_5_16</t>
  </si>
  <si>
    <t>MIDOC12_5_17</t>
  </si>
  <si>
    <t>MIDOC12_5_18</t>
  </si>
  <si>
    <t>MIDOC12_5_19</t>
  </si>
  <si>
    <t>MIDOC12_5_20</t>
  </si>
  <si>
    <t>MIDOC12_5_21</t>
  </si>
  <si>
    <t>MIDOC12_5_DISCARDS</t>
  </si>
  <si>
    <t>mixed krill and salps</t>
  </si>
  <si>
    <t xml:space="preserve">sawtooth </t>
  </si>
  <si>
    <t>retained 0.42</t>
  </si>
  <si>
    <t>MIDOC12_1_01</t>
  </si>
  <si>
    <t>MIDOC12_1_02</t>
  </si>
  <si>
    <t>MIDOC12_1_03</t>
  </si>
  <si>
    <t>MIDOC12_1_04</t>
  </si>
  <si>
    <t>MIDOC12_1_NALLYBIN</t>
  </si>
  <si>
    <t>MIDOC13_6_25</t>
  </si>
  <si>
    <t>MIDOC13_6_26</t>
  </si>
  <si>
    <t>MIDOC13_6_08</t>
  </si>
  <si>
    <t>MIDOC13_6_09</t>
  </si>
  <si>
    <t>MIDOC13_6_10</t>
  </si>
  <si>
    <t>MIDOC13_6_01</t>
  </si>
  <si>
    <t>MIDOC13_6_02</t>
  </si>
  <si>
    <t>MIDOC13_6_03</t>
  </si>
  <si>
    <t>MIDOC13_6_04</t>
  </si>
  <si>
    <t>MIDOC13_6_05</t>
  </si>
  <si>
    <t>MIDOC13_6_06</t>
  </si>
  <si>
    <t>MIDOC13_6_07</t>
  </si>
  <si>
    <t>MIDOC13_6_11</t>
  </si>
  <si>
    <t>MIDOC13_6_12</t>
  </si>
  <si>
    <t>MIDOC13_6_13</t>
  </si>
  <si>
    <t>MIDOC13_6_14</t>
  </si>
  <si>
    <t>MIDOC13_6_21</t>
  </si>
  <si>
    <t>MIDOC13_6_22</t>
  </si>
  <si>
    <t>MIDOC13_6_23</t>
  </si>
  <si>
    <t>MIDOC13_6_24</t>
  </si>
  <si>
    <t>MIDOC13_6_15</t>
  </si>
  <si>
    <t>MIDOC13_6_16</t>
  </si>
  <si>
    <t>MIDOC13_6_17</t>
  </si>
  <si>
    <t>MIDOC13_6_18</t>
  </si>
  <si>
    <t>MIDOC13_6_19</t>
  </si>
  <si>
    <t>MIDOC13_6_20</t>
  </si>
  <si>
    <t>all squid and other invertebrates</t>
  </si>
  <si>
    <t>coryphaenoides</t>
  </si>
  <si>
    <t>squid body</t>
  </si>
  <si>
    <t>ptmopterus</t>
  </si>
  <si>
    <t>calycopsis borchgrevinki and chaetognaths</t>
  </si>
  <si>
    <t>retained 0.237</t>
  </si>
  <si>
    <t>interesting fish/species not sampled previously</t>
  </si>
  <si>
    <t>retained 0.372</t>
  </si>
  <si>
    <t>large size, good condition</t>
  </si>
  <si>
    <t>large, nice squid specimen</t>
  </si>
  <si>
    <t>MIDOC13_6_28</t>
  </si>
  <si>
    <t>MIDOC13_6_DISCARDS</t>
  </si>
  <si>
    <t>MIDOC13_6_29</t>
  </si>
  <si>
    <t>MIDOC13_6_30</t>
  </si>
  <si>
    <t>MIDOC13_6_31</t>
  </si>
  <si>
    <t>MIDOC13_6_32</t>
  </si>
  <si>
    <t>salps and myctophid fish</t>
  </si>
  <si>
    <t>MIDOC13_1_BYCATCH</t>
  </si>
  <si>
    <t>MIDOC13_2_BYCATCH</t>
  </si>
  <si>
    <t xml:space="preserve">krill and electrona </t>
  </si>
  <si>
    <t>MIDOC13_3_BYCATCH</t>
  </si>
  <si>
    <t>MIDOC13_4_BYCATCH</t>
  </si>
  <si>
    <t>MIDOC13_5_BYCATCH</t>
  </si>
  <si>
    <t>krill, salps and gymnoscopelus</t>
  </si>
  <si>
    <t>salps, krill and myctophid fish</t>
  </si>
  <si>
    <t>krill and salps</t>
  </si>
  <si>
    <t>All by-catch fish retained from CE1-5, weight 0.52kg</t>
  </si>
  <si>
    <t>originally recorded taxon</t>
  </si>
  <si>
    <t>unidentified fish</t>
  </si>
  <si>
    <t>cephalopods</t>
  </si>
  <si>
    <t>KX20</t>
  </si>
  <si>
    <t>MIDOC14</t>
  </si>
  <si>
    <t>1.2.2016</t>
  </si>
  <si>
    <t>MIDOC14_2_01</t>
  </si>
  <si>
    <t>gelatinous tray</t>
  </si>
  <si>
    <t>202g retained</t>
  </si>
  <si>
    <t>MIDOC14_2_02</t>
  </si>
  <si>
    <t>krill tray</t>
  </si>
  <si>
    <t>MIDOC14_2_03</t>
  </si>
  <si>
    <t>MIDOC14_2_04</t>
  </si>
  <si>
    <t>MIDOC14_2_05</t>
  </si>
  <si>
    <t>MIDOC14_2_06</t>
  </si>
  <si>
    <t>MIDOC14_2_07</t>
  </si>
  <si>
    <t>MIDOC14_2_08</t>
  </si>
  <si>
    <t>MIDOC14_2_09</t>
  </si>
  <si>
    <t>MIDOC14_2_10</t>
  </si>
  <si>
    <t>MIDOC14_2_11</t>
  </si>
  <si>
    <t>MIDOC14_2_12</t>
  </si>
  <si>
    <t>MIDOC14_2_13</t>
  </si>
  <si>
    <t>MIDOC14_2_14</t>
  </si>
  <si>
    <t>MIDOC14_2_15</t>
  </si>
  <si>
    <t>MIDOC14_2_16</t>
  </si>
  <si>
    <t>MIDOC14_2_17</t>
  </si>
  <si>
    <t>MIDOC14_2_18</t>
  </si>
  <si>
    <t>MIDOC14_2_19</t>
  </si>
  <si>
    <t>MIDOC14_2_20</t>
  </si>
  <si>
    <t>MIDOC14_2_21</t>
  </si>
  <si>
    <t>MIDOC14_3_02</t>
  </si>
  <si>
    <t>Note: tag CE3_11 found on floor</t>
  </si>
  <si>
    <t>MIDOC14_3_05</t>
  </si>
  <si>
    <t>MIDOC14_3_DISCARDS</t>
  </si>
  <si>
    <t>MIDOC14_3_03</t>
  </si>
  <si>
    <t>MIDOC14_3_07</t>
  </si>
  <si>
    <t>MIDOC14_3_04</t>
  </si>
  <si>
    <t>MIDOC14_3_10</t>
  </si>
  <si>
    <t>MIDOC14_3_06</t>
  </si>
  <si>
    <t>MIDOC14_3_15</t>
  </si>
  <si>
    <t>240g retained</t>
  </si>
  <si>
    <t>MIDOC14_3_36</t>
  </si>
  <si>
    <t>MIDOC14_3_37</t>
  </si>
  <si>
    <t>MIDOC14_3_38</t>
  </si>
  <si>
    <t>MIDOC14_3_39</t>
  </si>
  <si>
    <t>MIDOC14_3_40</t>
  </si>
  <si>
    <t>MIDOC14_3_41</t>
  </si>
  <si>
    <t>MIDOC14_3_16</t>
  </si>
  <si>
    <t>MIDOC14_3_17</t>
  </si>
  <si>
    <t>MIDOC14_3_18</t>
  </si>
  <si>
    <t>MIDOC14_3_19</t>
  </si>
  <si>
    <t>MIDOC14_3_20</t>
  </si>
  <si>
    <t>MIDOC14_3_21</t>
  </si>
  <si>
    <t>MIDOC14_3_22</t>
  </si>
  <si>
    <t>MIDOC14_3_23</t>
  </si>
  <si>
    <t>MIDOC14_3_24</t>
  </si>
  <si>
    <t>MIDOC14_3_25</t>
  </si>
  <si>
    <t>MIDOC14_3_26</t>
  </si>
  <si>
    <t>MIDOC14_3_27</t>
  </si>
  <si>
    <t>MIDOC14_3_01</t>
  </si>
  <si>
    <t>MIDOC14_3_09</t>
  </si>
  <si>
    <t>MIDOC14_3_08</t>
  </si>
  <si>
    <t>MIDOC14_3_12</t>
  </si>
  <si>
    <t>MIDOC14_3_13</t>
  </si>
  <si>
    <t>MIDOC14_3_14</t>
  </si>
  <si>
    <t>MIDOC14_3_30</t>
  </si>
  <si>
    <t>MIDOC14_3_35</t>
  </si>
  <si>
    <t>MIDOC14_3_33</t>
  </si>
  <si>
    <t>MIDOC14_3_29</t>
  </si>
  <si>
    <t>MIDOC14_3_32</t>
  </si>
  <si>
    <t>MIDOC14_3_31</t>
  </si>
  <si>
    <t>MIDOC14_3_42</t>
  </si>
  <si>
    <t>MIDOC14_3_28</t>
  </si>
  <si>
    <t>crustacean and gelatinous</t>
  </si>
  <si>
    <t>MIDOC14_4_02</t>
  </si>
  <si>
    <t>MIDOC14_4_04</t>
  </si>
  <si>
    <t>MIDOC14_4_05</t>
  </si>
  <si>
    <t>MIDOC14_4_06</t>
  </si>
  <si>
    <t>MIDOC14_4_DISCARDS</t>
  </si>
  <si>
    <t>MIDOC14_4_01</t>
  </si>
  <si>
    <t>MIDOC14_4_03</t>
  </si>
  <si>
    <t>MIDOC14_4_07</t>
  </si>
  <si>
    <t>0.216kg retained</t>
  </si>
  <si>
    <t>MIDOC14_4_17</t>
  </si>
  <si>
    <t>ostracods and amphipods</t>
  </si>
  <si>
    <t>MIDOC14_4_16</t>
  </si>
  <si>
    <t xml:space="preserve">gelatinous </t>
  </si>
  <si>
    <t>MIDOC14_4_18</t>
  </si>
  <si>
    <t>krill and decapods</t>
  </si>
  <si>
    <t>MIDOC14_4_08</t>
  </si>
  <si>
    <t>MIDOC14_4_10</t>
  </si>
  <si>
    <t>MIDOC14_4_11</t>
  </si>
  <si>
    <t>MIDOC14_4_12</t>
  </si>
  <si>
    <t>MIDOC14_4_14</t>
  </si>
  <si>
    <t>MIDOC14_4_15</t>
  </si>
  <si>
    <t>MIDOC14_4_13</t>
  </si>
  <si>
    <t>Crocodile icefish</t>
  </si>
  <si>
    <t>MIDOC14_5_01</t>
  </si>
  <si>
    <t>retained 0.349kg</t>
  </si>
  <si>
    <t>MIDOC14_5_03</t>
  </si>
  <si>
    <t>MIDOC14_5_04</t>
  </si>
  <si>
    <t>? gymnoscopelus</t>
  </si>
  <si>
    <t>MIDOC14_5_05</t>
  </si>
  <si>
    <t>MIDOC14_5_06</t>
  </si>
  <si>
    <t>MIDOC14_5_07</t>
  </si>
  <si>
    <t>MIDOC14_5_02</t>
  </si>
  <si>
    <t>krill</t>
  </si>
  <si>
    <t>MIDOC14_5_08</t>
  </si>
  <si>
    <t xml:space="preserve">gelatinous and calycopsis </t>
  </si>
  <si>
    <t>MIDOC14_6_01</t>
  </si>
  <si>
    <t>retained 0.242</t>
  </si>
  <si>
    <t>MIDOC14_6_02</t>
  </si>
  <si>
    <t>MIDOC14_6_03</t>
  </si>
  <si>
    <t>MIDOC14_6_04</t>
  </si>
  <si>
    <t>MIDOC14_6_05</t>
  </si>
  <si>
    <t>MIDOC14_6_06</t>
  </si>
  <si>
    <t>MIDOC14_6_07</t>
  </si>
  <si>
    <t>MIDOC14_6_08</t>
  </si>
  <si>
    <t>MIDOC14_6_09</t>
  </si>
  <si>
    <t>MIDOC14_6_10</t>
  </si>
  <si>
    <t>MIDOC14_6_14</t>
  </si>
  <si>
    <t>MIDOC14_6_15</t>
  </si>
  <si>
    <t>MIDOC14_6_16</t>
  </si>
  <si>
    <t>MIDOC14_6_12</t>
  </si>
  <si>
    <t>MIDOC14_6_13</t>
  </si>
  <si>
    <t>MIDOC14_6_11</t>
  </si>
  <si>
    <t>MIDOC14_6_17</t>
  </si>
  <si>
    <t>MIDOC14_6_21</t>
  </si>
  <si>
    <t>MIDOC14_6_20</t>
  </si>
  <si>
    <t>MIDOC14_6_19</t>
  </si>
  <si>
    <t>MIDOC14_6_18</t>
  </si>
  <si>
    <t>MIDOC14_6_22</t>
  </si>
  <si>
    <t>0.081kg retained</t>
  </si>
  <si>
    <t>MIDOC14_6_23</t>
  </si>
  <si>
    <t>MIDOC14_6_24</t>
  </si>
  <si>
    <t>squid bits</t>
  </si>
  <si>
    <t>MIDOC14_6_27</t>
  </si>
  <si>
    <t>small black fish</t>
  </si>
  <si>
    <t>MIDOC14_6_26</t>
  </si>
  <si>
    <t>Second shot at station due to CE6 misfiring. Net deployed to max. depth 800m. Only CE6 was fired, but a small amount of catch was found in CE1 (2.438kg), CE2 (0.132kg), CE3 (0.89kg), CE4 (1.74kg), and CE5 (0.069kg). Total by-catch of 5.269kg</t>
  </si>
  <si>
    <t>WP405A</t>
  </si>
  <si>
    <t>90, 30,30,30,30,30</t>
  </si>
  <si>
    <t>wind ~10knts, swell &lt;1m, ice visible on horizon but not in pack</t>
  </si>
  <si>
    <t xml:space="preserve">MIDOC timer program on at 12:08. All cod ends fired successfully. </t>
  </si>
  <si>
    <t>KX21</t>
  </si>
  <si>
    <t>MIDOC15</t>
  </si>
  <si>
    <t>MIDOC14_6_28</t>
  </si>
  <si>
    <t>MIDOC14_6_29</t>
  </si>
  <si>
    <t>MIDOC14_6_30</t>
  </si>
  <si>
    <t>MIDOC14_6_DISCARDS</t>
  </si>
  <si>
    <t>MIDOC14_6_25</t>
  </si>
  <si>
    <t>unidentified</t>
  </si>
  <si>
    <t>MIDOC14_1_DISCARDS</t>
  </si>
  <si>
    <t>E. superba</t>
  </si>
  <si>
    <t>squid and inverts</t>
  </si>
  <si>
    <t>MIDOC15_4_01</t>
  </si>
  <si>
    <t>2.2.2016</t>
  </si>
  <si>
    <t>MIDOC15_4_02</t>
  </si>
  <si>
    <t>MIDOC15_4_03</t>
  </si>
  <si>
    <t>MIDOC15_4_04</t>
  </si>
  <si>
    <t>MIDOC15_4_05</t>
  </si>
  <si>
    <t>MIDOC15_4_06</t>
  </si>
  <si>
    <t>MIDOC15_4_07</t>
  </si>
  <si>
    <t>MIDOC15_4_DISCARDS</t>
  </si>
  <si>
    <t>MIDOC15_4_08</t>
  </si>
  <si>
    <t>MIDOC15_4_09</t>
  </si>
  <si>
    <t>MIDOC15_4_DISCARDS#3</t>
  </si>
  <si>
    <t>MIDOC15_4_DISCARDS#4</t>
  </si>
  <si>
    <t>MIDOC15_4_10</t>
  </si>
  <si>
    <t>MIDOC15_4_11</t>
  </si>
  <si>
    <t>MIDOC15_4_12</t>
  </si>
  <si>
    <t>MIDOC15_4_13</t>
  </si>
  <si>
    <t>MIDOC15_4_14</t>
  </si>
  <si>
    <t>MIDOC15_4_16</t>
  </si>
  <si>
    <t>MIDOC15_4_17</t>
  </si>
  <si>
    <t>MIDOC15_4_18</t>
  </si>
  <si>
    <t>MIDOC15_4_19</t>
  </si>
  <si>
    <t>MIDOC15_4_20</t>
  </si>
  <si>
    <t>MIDOC15_4_22</t>
  </si>
  <si>
    <t>MIDOC15_4_23</t>
  </si>
  <si>
    <t>MIDOC15_4_24</t>
  </si>
  <si>
    <t>MIDOC15_4_21</t>
  </si>
  <si>
    <t>MIDOC15_4_25</t>
  </si>
  <si>
    <t>MIDOC15_4_26</t>
  </si>
  <si>
    <t>MIDOC15_4_DISCARDS#5</t>
  </si>
  <si>
    <t>MIDOC15_4_15</t>
  </si>
  <si>
    <t>WP600.1</t>
  </si>
  <si>
    <t>light snow, wind ~10knts, calm. Few Antarctic petrels following in light pack (~10-15%) with large bergs.</t>
  </si>
  <si>
    <t>0.250kg retained</t>
  </si>
  <si>
    <t>sample ID used twice</t>
  </si>
  <si>
    <t>MIDOC15_4_28</t>
  </si>
  <si>
    <t>MIDOC15_6_03</t>
  </si>
  <si>
    <t>MIDOC15_6_02</t>
  </si>
  <si>
    <t>MIDOC15_6_05</t>
  </si>
  <si>
    <t>MIDOC15_6_01</t>
  </si>
  <si>
    <t>MIDOC15_6_04</t>
  </si>
  <si>
    <t>MIDOC15_6_06</t>
  </si>
  <si>
    <t>MIDOC15_6_07</t>
  </si>
  <si>
    <t>MIDOC15_6_DISCARDS</t>
  </si>
  <si>
    <t>MIDOC15_6_08</t>
  </si>
  <si>
    <t>MIDOC15_6_09</t>
  </si>
  <si>
    <t>MIDOC15_6_10</t>
  </si>
  <si>
    <t>MIDOC15_6_11</t>
  </si>
  <si>
    <t>MIDOC15_6_12</t>
  </si>
  <si>
    <t>MIDOC15_6_13</t>
  </si>
  <si>
    <t>MIDOC15_6_14</t>
  </si>
  <si>
    <t>MIDOC15_6_15</t>
  </si>
  <si>
    <t>MIDOC15_6_16</t>
  </si>
  <si>
    <t>MIDOC15_6_17</t>
  </si>
  <si>
    <t>MIDOC15_6_18</t>
  </si>
  <si>
    <t>MIDOC15_6_19</t>
  </si>
  <si>
    <t>MIDOC15_6_20</t>
  </si>
  <si>
    <t>MIDOC15_6_21</t>
  </si>
  <si>
    <t>MIDOC15_6_23</t>
  </si>
  <si>
    <t>MIDOC15_6_24</t>
  </si>
  <si>
    <t>MIDOC15_6_25</t>
  </si>
  <si>
    <t>MIDOC15_6_32</t>
  </si>
  <si>
    <t>MIDOC15_6_28</t>
  </si>
  <si>
    <t>MIDOC15_6_29</t>
  </si>
  <si>
    <t>MIDOC15_6_27</t>
  </si>
  <si>
    <t>retained wt 0.366kg</t>
  </si>
  <si>
    <t>retained 0.361kg</t>
  </si>
  <si>
    <t>MIDOC timer program on at 12:06 UTC. Weight of catch collected off the trawl deck: 0.155kg fish; 0.582kg krill, and atleast that amouont again of krill. Rob King looked and could not see any Euphausia chrystallorophius in catch. CE6 had chunks of ice in it that mashed some samples.</t>
  </si>
  <si>
    <t>MIDOC15_6_30</t>
  </si>
  <si>
    <t>MIDOC15_6_33</t>
  </si>
  <si>
    <t>MIDOC15_6_34</t>
  </si>
  <si>
    <t>MIDOC15_6_35</t>
  </si>
  <si>
    <t>MIDOC15_6_36</t>
  </si>
  <si>
    <t>MIDOC15_6_37</t>
  </si>
  <si>
    <t>MIDOC15_6_31</t>
  </si>
  <si>
    <t>MIDOC15_6_38</t>
  </si>
  <si>
    <t>MIDOC15_6_39</t>
  </si>
  <si>
    <t>MIDOC15_5_01</t>
  </si>
  <si>
    <t>MIDOC15_5_02</t>
  </si>
  <si>
    <t>MIDOC15_5_09</t>
  </si>
  <si>
    <t>MIDOC15_5_10</t>
  </si>
  <si>
    <t>MIDOC15_5_11</t>
  </si>
  <si>
    <t>MIDOC15_5_12</t>
  </si>
  <si>
    <t>MIDOC15_5_13</t>
  </si>
  <si>
    <t>MIDOC15_5_14</t>
  </si>
  <si>
    <t>MIDOC15_5_06</t>
  </si>
  <si>
    <t>MIDOC15_5_05</t>
  </si>
  <si>
    <t>MIDOC15_5_07</t>
  </si>
  <si>
    <t>MIDOC15_5_08</t>
  </si>
  <si>
    <t>MIDOC15_5_15</t>
  </si>
  <si>
    <t>MIDOC15_5_17</t>
  </si>
  <si>
    <t>MIDOC15_5_16</t>
  </si>
  <si>
    <t>fish mush</t>
  </si>
  <si>
    <t>retained 0.332kg</t>
  </si>
  <si>
    <t>retained wt 0.256kg</t>
  </si>
  <si>
    <t>no ID in photo</t>
  </si>
  <si>
    <t>CE6 had chunks of ice in it that mashed some samples</t>
  </si>
  <si>
    <t>MIDOC15_5_18</t>
  </si>
  <si>
    <t>MIDOC15_5_03</t>
  </si>
  <si>
    <t>MIDOC15_5_04</t>
  </si>
  <si>
    <t>MIDOC15_5_19</t>
  </si>
  <si>
    <t>MIDOC15_5_20</t>
  </si>
  <si>
    <t>MIDOC15_5_21</t>
  </si>
  <si>
    <t>MIDOC15_5_22</t>
  </si>
  <si>
    <t>MIDOC15_5_23</t>
  </si>
  <si>
    <t>MIDOC15_5_24</t>
  </si>
  <si>
    <t>MIDOC15_5_DISCARDS</t>
  </si>
  <si>
    <t>MIDOC15_3_01</t>
  </si>
  <si>
    <t>MIDOC15_3_02</t>
  </si>
  <si>
    <t>MIDOC15_3_03</t>
  </si>
  <si>
    <t>MIDOC15_3_04</t>
  </si>
  <si>
    <t>MIDOC15_3_05</t>
  </si>
  <si>
    <t>MIDOC15_3_06</t>
  </si>
  <si>
    <t>MIDOC15_3_07</t>
  </si>
  <si>
    <t>MIDOC15_3_DISCARDS</t>
  </si>
  <si>
    <t>MIDOC15_3_08</t>
  </si>
  <si>
    <t>MIDOC15_3_TRAY</t>
  </si>
  <si>
    <t>MIDOC15_3_09</t>
  </si>
  <si>
    <t>MIDOC15_3_10</t>
  </si>
  <si>
    <t xml:space="preserve">calycopsis </t>
  </si>
  <si>
    <t>Atolia and medusae jellies</t>
  </si>
  <si>
    <t>assorted fish</t>
  </si>
  <si>
    <t>retained 0.219kg</t>
  </si>
  <si>
    <t>from here Electrona discarded</t>
  </si>
  <si>
    <t>MIDOC15_3_11</t>
  </si>
  <si>
    <t>MIDOC15_3_12</t>
  </si>
  <si>
    <t>MIDOC15_3_13</t>
  </si>
  <si>
    <t>MIDOC15_3_14</t>
  </si>
  <si>
    <t>MIDOC15_3_15</t>
  </si>
  <si>
    <t>MIDOC15_3_19</t>
  </si>
  <si>
    <t>MIDOC15_3_20</t>
  </si>
  <si>
    <t>MIDOC15_3_18</t>
  </si>
  <si>
    <t>MIDOC15_3_21</t>
  </si>
  <si>
    <t>MIDOC15_3_26</t>
  </si>
  <si>
    <t>MIDOC15_3_16</t>
  </si>
  <si>
    <t>MIDOC15_3_17</t>
  </si>
  <si>
    <t>MIDOC15_3_TRAY#1</t>
  </si>
  <si>
    <t>MIDOC15_3_TRAY#2</t>
  </si>
  <si>
    <t>MIDOC15_3_23</t>
  </si>
  <si>
    <t>MIDOC15_3_24</t>
  </si>
  <si>
    <t>MIDOC15_3_25</t>
  </si>
  <si>
    <t>MIDOC15_3_27</t>
  </si>
  <si>
    <t>MIDOC15_3_28</t>
  </si>
  <si>
    <t>MIDOC15_3_29</t>
  </si>
  <si>
    <t>MIDOC15_3_30</t>
  </si>
  <si>
    <t>MIDOC15_3_31</t>
  </si>
  <si>
    <t>MIDOC15_3_32</t>
  </si>
  <si>
    <t>MIDOC15_3_34</t>
  </si>
  <si>
    <t>MIDOC15_3_35</t>
  </si>
  <si>
    <t>MIDOC15_3_36</t>
  </si>
  <si>
    <t>MIDOC15_3_37</t>
  </si>
  <si>
    <t>MIDOC15_3_38</t>
  </si>
  <si>
    <t>MIDOC15_3_33</t>
  </si>
  <si>
    <t>MIDOC15_3_IN FRONT OF NET</t>
  </si>
  <si>
    <t>black bathy?</t>
  </si>
  <si>
    <t>mixed fish and inverts</t>
  </si>
  <si>
    <t>Retained 0.229kg (squids x3, Benthalbella x1). Jellies, gymnoscopelus, electrona, bathylagidae discarded.</t>
  </si>
  <si>
    <t>MIDOC15_3_45</t>
  </si>
  <si>
    <t>MIDOC15_3_46</t>
  </si>
  <si>
    <t>MIDOC15_3_47</t>
  </si>
  <si>
    <t>MIDOC15_3_40</t>
  </si>
  <si>
    <t>MIDOC15_3_39</t>
  </si>
  <si>
    <t>MIDOC15_3_41</t>
  </si>
  <si>
    <t>MIDOC15_3_42</t>
  </si>
  <si>
    <t>MIDOC15_3_43</t>
  </si>
  <si>
    <t>MIDOC15_3_44</t>
  </si>
  <si>
    <t>MIDOC15_3_22</t>
  </si>
  <si>
    <t>MIDOC15_2_25</t>
  </si>
  <si>
    <t>MIDOC15_2_36</t>
  </si>
  <si>
    <t>MIDOC15_2_37</t>
  </si>
  <si>
    <t>MIDOC15_2_01</t>
  </si>
  <si>
    <t>MIDOC15_2_02</t>
  </si>
  <si>
    <t>MIDOC15_2_03</t>
  </si>
  <si>
    <t>MIDOC15_2_16</t>
  </si>
  <si>
    <t>MIDOC15_2_14</t>
  </si>
  <si>
    <t>MIDOC15_2_10</t>
  </si>
  <si>
    <t>MIDOC15_2_09</t>
  </si>
  <si>
    <t>MIDOC15_2_12</t>
  </si>
  <si>
    <t>MIDOC15_2_13</t>
  </si>
  <si>
    <t>MIDOC15_2_15</t>
  </si>
  <si>
    <t>MIDOC15_2_39</t>
  </si>
  <si>
    <t>MIDOC15_2_TRAY#1</t>
  </si>
  <si>
    <t>MIDOC15_2_31</t>
  </si>
  <si>
    <t>MIDOC15_2_34</t>
  </si>
  <si>
    <t>sawtooth #3</t>
  </si>
  <si>
    <t>sawtooth #2</t>
  </si>
  <si>
    <t>retained 0.269</t>
  </si>
  <si>
    <t>Ostracods, decapods, amphipods, chaetognaths</t>
  </si>
  <si>
    <t>ostracods, chaetognaths, amphipods</t>
  </si>
  <si>
    <t>MIDOC16</t>
  </si>
  <si>
    <t>KX23</t>
  </si>
  <si>
    <t>MIDOC15_2_35</t>
  </si>
  <si>
    <t>MIDOC15_2_DISCARDS</t>
  </si>
  <si>
    <t>MIDOC15_2_TRAY#2</t>
  </si>
  <si>
    <t>MIDOC15_2_TRAY#3</t>
  </si>
  <si>
    <t>MIDOC15_2_32</t>
  </si>
  <si>
    <t>MIDOC15_2_33</t>
  </si>
  <si>
    <t>MIDOC15_2_38</t>
  </si>
  <si>
    <t>MIDOC15_2_04</t>
  </si>
  <si>
    <t>MIDOC15_2_05</t>
  </si>
  <si>
    <t>MIDOC15_2_06</t>
  </si>
  <si>
    <t>MIDOC15_2_07</t>
  </si>
  <si>
    <t>MIDOC15_2_11</t>
  </si>
  <si>
    <t>MIDOC15_2_08</t>
  </si>
  <si>
    <t>MIDOC15_2_23</t>
  </si>
  <si>
    <t>MIDOC15_2_24</t>
  </si>
  <si>
    <t>MIDOC15_2_26</t>
  </si>
  <si>
    <t>MIDOC15_2_27</t>
  </si>
  <si>
    <t>MIDOC15_2_28</t>
  </si>
  <si>
    <t>MIDOC15_2_29</t>
  </si>
  <si>
    <t>MIDOC15_2_17</t>
  </si>
  <si>
    <t>MIDOC15_2_18</t>
  </si>
  <si>
    <t>MIDOC15_2_19</t>
  </si>
  <si>
    <t>MIDOC15_2_20</t>
  </si>
  <si>
    <t>MIDOC15_2_21</t>
  </si>
  <si>
    <t>MIDOC15_2_22</t>
  </si>
  <si>
    <t>MIDOC15_2_30</t>
  </si>
  <si>
    <t>MIDOC15_2_40</t>
  </si>
  <si>
    <t>MIDOC15_1_DISCARDS</t>
  </si>
  <si>
    <t>MIDOC15_1_01</t>
  </si>
  <si>
    <t>Atolia, medusae (one big one)</t>
  </si>
  <si>
    <t>WP600.3</t>
  </si>
  <si>
    <t>3.2.2016</t>
  </si>
  <si>
    <t xml:space="preserve">wind ~10knts, swell less than 1m, overcast, no precipitation. Few petrel (white chinned, Antarctic) circling above water, stern of boat. </t>
  </si>
  <si>
    <t xml:space="preserve">Smooth deployment. No problems visible with gear going in water. No notes recorded on catch in net forward of MIDOC? Food web study station: fish stomachs dissected for stable isotope and genetic analysis and morphometrics recorded (inc. swim bladder assessment). </t>
  </si>
  <si>
    <t>MIDOC15_1_02</t>
  </si>
  <si>
    <t>MIDOC16_2_01</t>
  </si>
  <si>
    <t>MIDOC16_2_02</t>
  </si>
  <si>
    <t>MIDOC16_2_03</t>
  </si>
  <si>
    <t>MIDOC16_2_04</t>
  </si>
  <si>
    <t>MIDOC16_2_05</t>
  </si>
  <si>
    <t>MIDOC16_2_06</t>
  </si>
  <si>
    <t>MIDOC16_2_07</t>
  </si>
  <si>
    <t>MIDOC16_2_08</t>
  </si>
  <si>
    <t>MIDOC16_2_09</t>
  </si>
  <si>
    <t>MIDOC16_2_10</t>
  </si>
  <si>
    <t>MIDOC16_2_11</t>
  </si>
  <si>
    <t>MIDOC16_2_12</t>
  </si>
  <si>
    <t>MIDOC16_2_13</t>
  </si>
  <si>
    <t>MIDOC16_2_GROUP DISCARDS GENETICS</t>
  </si>
  <si>
    <t>MIDOC16_2_DISCARDS</t>
  </si>
  <si>
    <t>MIDOC16_2_14</t>
  </si>
  <si>
    <t>MIDOC16_2_15</t>
  </si>
  <si>
    <t>MIDOC16_2_16</t>
  </si>
  <si>
    <t>MIDOC16_2_17</t>
  </si>
  <si>
    <t>MIDOC16_2_18</t>
  </si>
  <si>
    <t>MIDOC16_2_19</t>
  </si>
  <si>
    <t>MIDOC16_2_20</t>
  </si>
  <si>
    <t>MIDOC16_2_21</t>
  </si>
  <si>
    <t>MIDOC16_2_22</t>
  </si>
  <si>
    <t>MIDOC16_2_23</t>
  </si>
  <si>
    <t>MIDOC16_2_24</t>
  </si>
  <si>
    <t>MIDOC16_2_25</t>
  </si>
  <si>
    <t>MIDOC16_2_26</t>
  </si>
  <si>
    <t>MIDOC16_2_27</t>
  </si>
  <si>
    <t>MIDOC16_2_28</t>
  </si>
  <si>
    <t>MIDOC16_2_30</t>
  </si>
  <si>
    <t>KX24</t>
  </si>
  <si>
    <t>MIDOC17</t>
  </si>
  <si>
    <t>stomachs dissected; otoliths removed?</t>
  </si>
  <si>
    <t xml:space="preserve">stomachs dissected; otoliths removed? </t>
  </si>
  <si>
    <t>stomachs dissected; otoliths removed? Hardened swim bladder - large</t>
  </si>
  <si>
    <t>stomachs dissected; otoliths removed? Small, soft swim bladder</t>
  </si>
  <si>
    <t>stomachs dissected; otoliths removed? Soft swim bladder</t>
  </si>
  <si>
    <t>MIDOC15_CE01</t>
  </si>
  <si>
    <t>squid, decapods, amphipods</t>
  </si>
  <si>
    <t>MIDOC15_1_04</t>
  </si>
  <si>
    <t>sawtooth #1</t>
  </si>
  <si>
    <t>MIDOC15_1_05</t>
  </si>
  <si>
    <t>icefish</t>
  </si>
  <si>
    <t>MIDOC16_2_31</t>
  </si>
  <si>
    <t>MIDOC16_2_32</t>
  </si>
  <si>
    <t>MIDOC16_2_33</t>
  </si>
  <si>
    <t>MIDOC16_2_34</t>
  </si>
  <si>
    <t>MIDOC16_2_35</t>
  </si>
  <si>
    <t>MIDOC16_2_29</t>
  </si>
  <si>
    <t>MIDOC16_2_36</t>
  </si>
  <si>
    <t>MIDOC16_2_37</t>
  </si>
  <si>
    <t>MIDOC16_2_38</t>
  </si>
  <si>
    <t>MIDOC16_2_39</t>
  </si>
  <si>
    <t>MIDOC16_2_40</t>
  </si>
  <si>
    <t>MIDOC16_2_41</t>
  </si>
  <si>
    <t>MIDOC16_2_42</t>
  </si>
  <si>
    <t>MIDOC16_2_43</t>
  </si>
  <si>
    <t>MIDOC16_2_44</t>
  </si>
  <si>
    <t>MIDOC16_2_45</t>
  </si>
  <si>
    <t>MIDOC16_3_01</t>
  </si>
  <si>
    <t>MIDOC16_2_49</t>
  </si>
  <si>
    <t>MIDOC16_2_48</t>
  </si>
  <si>
    <t>MIDOC16_2_50</t>
  </si>
  <si>
    <t>MIDOC16_2_51</t>
  </si>
  <si>
    <t>MIDOC16_2_52</t>
  </si>
  <si>
    <t>MIDOC16_2_53</t>
  </si>
  <si>
    <t>MIDOC16_2_54</t>
  </si>
  <si>
    <t>MIDOC16_2_55</t>
  </si>
  <si>
    <t>MIDOC16_2_46</t>
  </si>
  <si>
    <t>MIDOC16_2_47</t>
  </si>
  <si>
    <t xml:space="preserve">black bathy </t>
  </si>
  <si>
    <t>retained 0.212</t>
  </si>
  <si>
    <t>MIDOC_06_CE2_08 </t>
  </si>
  <si>
    <t>MIDOC06_CE3_39 </t>
  </si>
  <si>
    <t>MIDOC06_CE4_14 </t>
  </si>
  <si>
    <t>MIDOC06_CE6_31 </t>
  </si>
  <si>
    <t>MIDOC07_CE2_23 </t>
  </si>
  <si>
    <t>MIDOC11_2_24 </t>
  </si>
  <si>
    <t>MIDOC11_2_31 </t>
  </si>
  <si>
    <t>MIDOC12_2_38 </t>
  </si>
  <si>
    <t>MIDOC13_6_07 </t>
  </si>
  <si>
    <t>MIDOC13_6_21 </t>
  </si>
  <si>
    <t>MIDOC13_6_22 </t>
  </si>
  <si>
    <t>MIDOC13_6_23 </t>
  </si>
  <si>
    <t>MIDOC13_6_24 </t>
  </si>
  <si>
    <t>amphipods present in sample?</t>
  </si>
  <si>
    <t>MIDOC16_3_02</t>
  </si>
  <si>
    <t>MIDOC16_3_03</t>
  </si>
  <si>
    <t>MIDOC16_3_04</t>
  </si>
  <si>
    <t>MIDOC16_3_05</t>
  </si>
  <si>
    <t>MIDOC16_3_06</t>
  </si>
  <si>
    <t>MIDOC16_3_GROUP DISCARDS GENETICS</t>
  </si>
  <si>
    <t>MIDOC16_3_DISCARDS</t>
  </si>
  <si>
    <t>MIDOC16_3_07</t>
  </si>
  <si>
    <t>MIDOC16_3_08</t>
  </si>
  <si>
    <t>MIDOC16_3_09</t>
  </si>
  <si>
    <t>MIDOC16_3_10</t>
  </si>
  <si>
    <t>MIDOC16_3_11</t>
  </si>
  <si>
    <t>MIDOC16_3_30</t>
  </si>
  <si>
    <t>MIDOC16_3_31</t>
  </si>
  <si>
    <t>MIDOC16_3_32</t>
  </si>
  <si>
    <t>MIDOC16_3_33</t>
  </si>
  <si>
    <t>MIDOC16_3_34</t>
  </si>
  <si>
    <t>MIDOC16_3_12</t>
  </si>
  <si>
    <t>MIDOC16_3_14</t>
  </si>
  <si>
    <t>MIDOC16_3_15</t>
  </si>
  <si>
    <t>MIDOC16_3_16</t>
  </si>
  <si>
    <t>MIDOC16_3_17</t>
  </si>
  <si>
    <t>MIDOC16_3_18</t>
  </si>
  <si>
    <t>MIDOC16_3_19</t>
  </si>
  <si>
    <t>MIDOC16_3_20</t>
  </si>
  <si>
    <t>MIDOC16_3_21</t>
  </si>
  <si>
    <t>MIDOC16_3_22</t>
  </si>
  <si>
    <t>MIDOC16_3_23</t>
  </si>
  <si>
    <t>MIDOC16_3_24</t>
  </si>
  <si>
    <t>MIDOC16_3_25</t>
  </si>
  <si>
    <t>MIDOC16_3_26</t>
  </si>
  <si>
    <t>scales and shit</t>
  </si>
  <si>
    <t>euphausia superba</t>
  </si>
  <si>
    <t>fish scales</t>
  </si>
  <si>
    <t>ostracods, decapods, amphipods</t>
  </si>
  <si>
    <t>plus gelatinous</t>
  </si>
  <si>
    <t>stomachs dissected; otoliths removed? tail damaged. No swim bladder evident</t>
  </si>
  <si>
    <t>MIDOC16_3_27</t>
  </si>
  <si>
    <t>MIDOC16_3_28</t>
  </si>
  <si>
    <t>MIDOC16_4_01</t>
  </si>
  <si>
    <t>MIDOC16_3_29</t>
  </si>
  <si>
    <t>MIDOC16_3_35</t>
  </si>
  <si>
    <t>MIDOC16_3_36</t>
  </si>
  <si>
    <t>MIDOC16_3_37</t>
  </si>
  <si>
    <t>MIDOC16_FRONT OF NET</t>
  </si>
  <si>
    <t>MIDOC16_4_05</t>
  </si>
  <si>
    <t>MIDOC16_4_06</t>
  </si>
  <si>
    <t>MIDOC16_4_07</t>
  </si>
  <si>
    <t>MIDOC16_4_04</t>
  </si>
  <si>
    <t>MIDOC16_4_24</t>
  </si>
  <si>
    <t>MIDOC16_4_FOR GUOPING</t>
  </si>
  <si>
    <t>MIDOC16_4_03</t>
  </si>
  <si>
    <t>MIDOC16_4_DISCARD SCALES</t>
  </si>
  <si>
    <t>MIDOC16_4_02</t>
  </si>
  <si>
    <t>MIDOC16_3_40</t>
  </si>
  <si>
    <t>MIDOC16_3_38</t>
  </si>
  <si>
    <t>MIDOC16_3_39</t>
  </si>
  <si>
    <t>MIDOC16_4_23</t>
  </si>
  <si>
    <t>MIDOC16_4_22</t>
  </si>
  <si>
    <t>MIDOC16_4_21</t>
  </si>
  <si>
    <t>MIDOC16_4_20</t>
  </si>
  <si>
    <t>MIDOC16_4_19</t>
  </si>
  <si>
    <t>MIDOC16_4_13</t>
  </si>
  <si>
    <t>MIDOC16_5_01</t>
  </si>
  <si>
    <t>scales</t>
  </si>
  <si>
    <t>retained 0.329</t>
  </si>
  <si>
    <t>retained 0.187</t>
  </si>
  <si>
    <t>MIDOC16_4_12</t>
  </si>
  <si>
    <t>MIDOC16_4_14</t>
  </si>
  <si>
    <t>MIDOC16_4_15</t>
  </si>
  <si>
    <t>MIDOC16_4_16</t>
  </si>
  <si>
    <t>MIDOC16_4_17</t>
  </si>
  <si>
    <t>MIDOC16_4_09</t>
  </si>
  <si>
    <t>MIDOC16_4_08</t>
  </si>
  <si>
    <t>MIDOC16_4_10</t>
  </si>
  <si>
    <t>MIDOC16_4_11</t>
  </si>
  <si>
    <t>MIDOC16_4_18</t>
  </si>
  <si>
    <t>MIDOC16_4_DISCARDS</t>
  </si>
  <si>
    <t>MIDOC16_5_02</t>
  </si>
  <si>
    <t>MIDOC16_5_03</t>
  </si>
  <si>
    <t>MIDOC16_5_04</t>
  </si>
  <si>
    <t>MIDOC16_5_05</t>
  </si>
  <si>
    <t>MIDOC16_5_06</t>
  </si>
  <si>
    <t>MIDOC16_5_07</t>
  </si>
  <si>
    <t>MIDOC16_5_08</t>
  </si>
  <si>
    <t>MIDOC16_5_09</t>
  </si>
  <si>
    <t>MIDOC16_5_10</t>
  </si>
  <si>
    <t>MIDOC16_5_11</t>
  </si>
  <si>
    <t>MIDOC16_5_12</t>
  </si>
  <si>
    <t>MIDOC16_5_DISCARDS</t>
  </si>
  <si>
    <t>MIDOC16_6_03</t>
  </si>
  <si>
    <t>MIDOC16_6_04</t>
  </si>
  <si>
    <t>MIDOC16_6_05</t>
  </si>
  <si>
    <t>MIDOC16_6_06</t>
  </si>
  <si>
    <t>MIDOC16_6_02</t>
  </si>
  <si>
    <t>MIDOC16_6_01</t>
  </si>
  <si>
    <t>MIDOC16_6_30</t>
  </si>
  <si>
    <t>MIDOC16_6_31</t>
  </si>
  <si>
    <t>MIDOC16_1_01</t>
  </si>
  <si>
    <t>Thysanoessa macrura</t>
  </si>
  <si>
    <t>scales and mush</t>
  </si>
  <si>
    <t>polychaetes</t>
  </si>
  <si>
    <t>larval notothenioid</t>
  </si>
  <si>
    <t>too small for stomach dissection</t>
  </si>
  <si>
    <t>missing #10 in photo</t>
  </si>
  <si>
    <t>single individual, bell only 60cm</t>
  </si>
  <si>
    <t>MIDOC16_6_DISCARD</t>
  </si>
  <si>
    <t>MIDOC16_6_24</t>
  </si>
  <si>
    <t>MIDOC16_6_25</t>
  </si>
  <si>
    <t>MIDOC16_6_26</t>
  </si>
  <si>
    <t>MIDOC16_6_27</t>
  </si>
  <si>
    <t>MIDOC16_6_28</t>
  </si>
  <si>
    <t>MIDOC16_6_29</t>
  </si>
  <si>
    <t>MIDOC16_6_DISCARDS</t>
  </si>
  <si>
    <t>MIDOC16_6_07</t>
  </si>
  <si>
    <t>MIDOC16_6_08</t>
  </si>
  <si>
    <t>MIDOC16_6_09</t>
  </si>
  <si>
    <t>MIDOC16_6_10</t>
  </si>
  <si>
    <t>MIDOC16_6_11</t>
  </si>
  <si>
    <t>MIDOC16_6_12</t>
  </si>
  <si>
    <t>MIDOC16_6_13</t>
  </si>
  <si>
    <t>MIDOC16_6_14</t>
  </si>
  <si>
    <t>MIDOC16_6_15</t>
  </si>
  <si>
    <t>MIDOC16_6_16</t>
  </si>
  <si>
    <t>MIDOC16_6_17</t>
  </si>
  <si>
    <t>MIDOC16_6_18</t>
  </si>
  <si>
    <t>MIDOC16_6_19</t>
  </si>
  <si>
    <t>MIDOC16_6_20</t>
  </si>
  <si>
    <t>MIDOC16_6_21</t>
  </si>
  <si>
    <t>MIDOC16_6_22</t>
  </si>
  <si>
    <t>MIDOC16_6_23</t>
  </si>
  <si>
    <t>larval sawtooth</t>
  </si>
  <si>
    <t>retained 0.229</t>
  </si>
  <si>
    <t>no head, stomachs dissected; otoliths removed?</t>
  </si>
  <si>
    <t>no tail, stomachs dissected; otoliths removed?</t>
  </si>
  <si>
    <t>MIDOC16_1_03</t>
  </si>
  <si>
    <t>MIDOC16_1_DISCARDS</t>
  </si>
  <si>
    <t>MIDOC16_1_02</t>
  </si>
  <si>
    <t>decapods and other invertebrates</t>
  </si>
  <si>
    <t>Big 10kg jelly already recorded? Yes, see sample # MIDOC16_1_01</t>
  </si>
  <si>
    <t>0.684kg for genetics</t>
  </si>
  <si>
    <t>MIDOC16_CE01</t>
  </si>
  <si>
    <t>MIDOC16_CE02</t>
  </si>
  <si>
    <t>MIDOC17_2_07</t>
  </si>
  <si>
    <t>MIDOC17_2_01</t>
  </si>
  <si>
    <t>MIDOC17_2_02</t>
  </si>
  <si>
    <t>MIDOC17_2_03</t>
  </si>
  <si>
    <t>MIDOC17_2_04</t>
  </si>
  <si>
    <t>MIDOC17_2_05</t>
  </si>
  <si>
    <t>MIDOC17_2_06</t>
  </si>
  <si>
    <t>MIDOC17_2_08</t>
  </si>
  <si>
    <t>MIDOC17_2_09</t>
  </si>
  <si>
    <t>MIDOC17_2_10</t>
  </si>
  <si>
    <t>MIDOC17_2_11</t>
  </si>
  <si>
    <t>MIDOC17_2_12</t>
  </si>
  <si>
    <t>MIDOC17_2_13</t>
  </si>
  <si>
    <t>MIDOC17_2_14</t>
  </si>
  <si>
    <t>MIDOC17_2_15</t>
  </si>
  <si>
    <t>MIDOC17_2_16</t>
  </si>
  <si>
    <t>MIDOC17_2_17</t>
  </si>
  <si>
    <t>MIDOC17_2_18</t>
  </si>
  <si>
    <t>MIDOC17_2_19</t>
  </si>
  <si>
    <t>MIDOC17_2_20</t>
  </si>
  <si>
    <t>MIDOC17_2_21</t>
  </si>
  <si>
    <t>MIDOC17_2_22</t>
  </si>
  <si>
    <t>MIDOC17_2_23</t>
  </si>
  <si>
    <t>MIDOC17_2_24</t>
  </si>
  <si>
    <t>MIDOC17_2_25</t>
  </si>
  <si>
    <t>MIDOC17_2_26</t>
  </si>
  <si>
    <t>MIDOC17_2_27</t>
  </si>
  <si>
    <t>MIDOC17_2_28</t>
  </si>
  <si>
    <t>MIDOC17_2_29</t>
  </si>
  <si>
    <t>MIDOC17_2_30</t>
  </si>
  <si>
    <t>MIDOC17_2_31</t>
  </si>
  <si>
    <t>MIDOC17_2_32</t>
  </si>
  <si>
    <t>MIDOC17_2_33</t>
  </si>
  <si>
    <t>MIDOC17_2_34</t>
  </si>
  <si>
    <t>MIDOC17_2_DISCARDS</t>
  </si>
  <si>
    <t>retained 0.318kg</t>
  </si>
  <si>
    <t>adults and juveniles in bad condition</t>
  </si>
  <si>
    <t>MIDOC17_2_DISCARD</t>
  </si>
  <si>
    <t>MIDOC17_3_01</t>
  </si>
  <si>
    <t>MIDOC17_3_02</t>
  </si>
  <si>
    <t>MIDOC17_3_03</t>
  </si>
  <si>
    <t>MIDOC17_3_04</t>
  </si>
  <si>
    <t>MIDOC17_3_05</t>
  </si>
  <si>
    <t>MIDOC17_3_06</t>
  </si>
  <si>
    <t>MIDOC17_3_07</t>
  </si>
  <si>
    <t>MIDOC17_3_08</t>
  </si>
  <si>
    <t>MIDOC17_3_DISCARD</t>
  </si>
  <si>
    <t>MIDOC17_3_09</t>
  </si>
  <si>
    <t>MIDOC17_3_10</t>
  </si>
  <si>
    <t>MIDOC17_3_11</t>
  </si>
  <si>
    <t>MIDOC17_3_12</t>
  </si>
  <si>
    <t>MIDOC17_3_13</t>
  </si>
  <si>
    <t>MIDOC17_3_14</t>
  </si>
  <si>
    <t>MIDOC17_3_DISCARDS</t>
  </si>
  <si>
    <t>MIDOC17_3_15</t>
  </si>
  <si>
    <t>MIDOC17_3_16</t>
  </si>
  <si>
    <t>MIDOC17_3_17</t>
  </si>
  <si>
    <t>MIDOC17_3_18</t>
  </si>
  <si>
    <t>MIDOC17_3_19</t>
  </si>
  <si>
    <t>MIDOC17_3_20</t>
  </si>
  <si>
    <t>MIDOC17_3_21</t>
  </si>
  <si>
    <t>MIDOC17_3_22</t>
  </si>
  <si>
    <t>MIDOC17_4_01</t>
  </si>
  <si>
    <t>kril mush</t>
  </si>
  <si>
    <t>retained 0.335kg</t>
  </si>
  <si>
    <t>retained 0.261kg</t>
  </si>
  <si>
    <t>MIDOC17_4_02</t>
  </si>
  <si>
    <t>MIDOC17_3_23</t>
  </si>
  <si>
    <t>MIDOC17_3_24</t>
  </si>
  <si>
    <t>MIDOC17_3_25</t>
  </si>
  <si>
    <t>MIDOC17_3_26</t>
  </si>
  <si>
    <t>MIDOC17_3_27</t>
  </si>
  <si>
    <t>MIDOC17_3_28</t>
  </si>
  <si>
    <t>MIDOC17_3_29</t>
  </si>
  <si>
    <t>MIDOC17_3_30</t>
  </si>
  <si>
    <t>MIDOC17_3_31</t>
  </si>
  <si>
    <t>MIDOC17_3_32</t>
  </si>
  <si>
    <t>MIDOC17_3_33</t>
  </si>
  <si>
    <t>MIDOC17_4_03</t>
  </si>
  <si>
    <t>MIDOC17_4_DISCARDS</t>
  </si>
  <si>
    <t>MIDOC17_4_04</t>
  </si>
  <si>
    <t>MIDOC17_4_05</t>
  </si>
  <si>
    <t>MIDOC17_4_06</t>
  </si>
  <si>
    <t>MIDOC17_4_07</t>
  </si>
  <si>
    <t>MIDOC17_4_08</t>
  </si>
  <si>
    <t>MIDOC17_4_09</t>
  </si>
  <si>
    <t>MIDOC17_4_10</t>
  </si>
  <si>
    <t>MIDOC17_4_11</t>
  </si>
  <si>
    <t>MIDOC17_4_12</t>
  </si>
  <si>
    <t>MIDOC17_4_13</t>
  </si>
  <si>
    <t>MIDOC17_4_14</t>
  </si>
  <si>
    <t>MIDOC17_4_15</t>
  </si>
  <si>
    <t>MIDOC17_4_16</t>
  </si>
  <si>
    <t>MIDOC17_4_17</t>
  </si>
  <si>
    <t>MIDOC17_4_18</t>
  </si>
  <si>
    <t>MIDOC17_5_01</t>
  </si>
  <si>
    <t>purple mush</t>
  </si>
  <si>
    <t>gelatinous mush</t>
  </si>
  <si>
    <t>E. superba and E. triacantha (50:50 mix)</t>
  </si>
  <si>
    <t>MIDOC17_4_19</t>
  </si>
  <si>
    <t>MIDOC17_4_20</t>
  </si>
  <si>
    <t>MIDOC17_5_02</t>
  </si>
  <si>
    <t>MIDOC17_5_03</t>
  </si>
  <si>
    <t>MIDOC17_5_04</t>
  </si>
  <si>
    <t>MIDOC17_5_05</t>
  </si>
  <si>
    <t>MIDOC17_5_06</t>
  </si>
  <si>
    <t>MIDOC17_5_07</t>
  </si>
  <si>
    <t>MIDOC17_5_08</t>
  </si>
  <si>
    <t>MIDOC17_5_09</t>
  </si>
  <si>
    <t>MIDOC17_5_25</t>
  </si>
  <si>
    <t>MIDOC17_5_10</t>
  </si>
  <si>
    <t>MIDOC17_5_11</t>
  </si>
  <si>
    <t>MIDOC17_5_12</t>
  </si>
  <si>
    <t>MIDOC17_5_13</t>
  </si>
  <si>
    <t>MIDOC17_5_14</t>
  </si>
  <si>
    <t>MIDOC17_5_15</t>
  </si>
  <si>
    <t>MIDOC17_5_16</t>
  </si>
  <si>
    <t>MIDOC17_5_17</t>
  </si>
  <si>
    <t>MIDOC17_5_18</t>
  </si>
  <si>
    <t>MIDOC17_5_19</t>
  </si>
  <si>
    <t>MIDOC17_5_20</t>
  </si>
  <si>
    <t>MIDOC17_5_21</t>
  </si>
  <si>
    <t>MIDOC17_5_22</t>
  </si>
  <si>
    <t>MIDOC17_5_23</t>
  </si>
  <si>
    <t>MIDOC17_5_24</t>
  </si>
  <si>
    <t>MIDOC17_6_01</t>
  </si>
  <si>
    <t>MIDOC17_6_02</t>
  </si>
  <si>
    <t>E. superba  and E. triacantha (2:1 mix)</t>
  </si>
  <si>
    <t>E. superba  and E. triacantha</t>
  </si>
  <si>
    <t>krill, calycopsis mush</t>
  </si>
  <si>
    <t>rattail</t>
  </si>
  <si>
    <t>retained wt 0.244</t>
  </si>
  <si>
    <t>retained wt 0.234</t>
  </si>
  <si>
    <t>taxon.coarse</t>
  </si>
  <si>
    <t>Bathylagiids</t>
  </si>
  <si>
    <t>mixed invertebrates</t>
  </si>
  <si>
    <t>mixed/other invertebrates</t>
  </si>
  <si>
    <t>amphipods</t>
  </si>
  <si>
    <t xml:space="preserve">what taxon? </t>
  </si>
  <si>
    <t>mixed/other gelatinous</t>
  </si>
  <si>
    <t>Group as myctophids?</t>
  </si>
  <si>
    <t>Group with sawtooths? Or anything else?</t>
  </si>
  <si>
    <t>mixed fish and invertebrates</t>
  </si>
  <si>
    <t>Macrurids</t>
  </si>
  <si>
    <t>Kreffichthys andersonii</t>
  </si>
  <si>
    <t>check spelling</t>
  </si>
  <si>
    <t>Protomyctophum sp</t>
  </si>
  <si>
    <t>check family</t>
  </si>
  <si>
    <t>check family in photos</t>
  </si>
  <si>
    <t>mixed/other crustaceans</t>
  </si>
  <si>
    <t>entered as 9019, assumed to be error. Check data sheet</t>
  </si>
  <si>
    <t>t.MIDOC.on</t>
  </si>
  <si>
    <t>MIDOC18</t>
  </si>
  <si>
    <t>MIDOC19</t>
  </si>
  <si>
    <t>WP0601</t>
  </si>
  <si>
    <t>snow showers, swell &lt;1m, wind 5-10kt.</t>
  </si>
  <si>
    <t>day.night.crepuscular</t>
  </si>
  <si>
    <t>night</t>
  </si>
  <si>
    <t>pteropods</t>
  </si>
  <si>
    <t>decapods and gelatinous</t>
  </si>
  <si>
    <t>ptmopteris and chaetognaths</t>
  </si>
  <si>
    <t>photographed under 2 labels - 04 and 05, but bagged as one sample: 05; possibly 2 different species</t>
  </si>
  <si>
    <t>fish tissue</t>
  </si>
  <si>
    <t>amphipods and isopods</t>
  </si>
  <si>
    <t>mixed invertebrates and gelatinous</t>
  </si>
  <si>
    <t>krill mush</t>
  </si>
  <si>
    <t>medusae and atolia</t>
  </si>
  <si>
    <t>sawtooth?</t>
  </si>
  <si>
    <t>4.2.2016</t>
  </si>
  <si>
    <t>0.508 retained</t>
  </si>
  <si>
    <t>black gymno</t>
  </si>
  <si>
    <t>benthabella</t>
  </si>
  <si>
    <t>giant gymno</t>
  </si>
  <si>
    <t>0.295 retained</t>
  </si>
  <si>
    <t>guoping took  21g</t>
  </si>
  <si>
    <t>amphipods and decapods</t>
  </si>
  <si>
    <t>0.131 kg retained</t>
  </si>
  <si>
    <t>polychaete</t>
  </si>
  <si>
    <t>0.362g retained</t>
  </si>
  <si>
    <t>t. mac</t>
  </si>
  <si>
    <t>0.314 retained</t>
  </si>
  <si>
    <t>0.285 retained</t>
  </si>
  <si>
    <t>part fish only</t>
  </si>
  <si>
    <t>krill and other crustaceans</t>
  </si>
  <si>
    <t>black mycto</t>
  </si>
  <si>
    <t>viper fish?</t>
  </si>
  <si>
    <t>5.2.2016</t>
  </si>
  <si>
    <t>little black gymno</t>
  </si>
  <si>
    <t>.250 retained</t>
  </si>
  <si>
    <t>.255 retained</t>
  </si>
  <si>
    <t>individual pics</t>
  </si>
  <si>
    <t>diff sp to others</t>
  </si>
  <si>
    <t>.276 retained</t>
  </si>
  <si>
    <t>looks like cross between benthabella and bathylagus</t>
  </si>
  <si>
    <t>.269 retained</t>
  </si>
  <si>
    <t>retained .077</t>
  </si>
  <si>
    <t>1 additional individual given to Tom for OT</t>
  </si>
  <si>
    <t>.271 retained</t>
  </si>
  <si>
    <t>.232 retained</t>
  </si>
  <si>
    <t>.072 retianed</t>
  </si>
  <si>
    <t>in jar</t>
  </si>
  <si>
    <t>good for stomach</t>
  </si>
  <si>
    <t>.261 retained</t>
  </si>
  <si>
    <t>.391 retained</t>
  </si>
  <si>
    <t>.235 retained</t>
  </si>
  <si>
    <t>armless flounder</t>
  </si>
  <si>
    <t>viper fish</t>
  </si>
  <si>
    <t>random fish bits</t>
  </si>
  <si>
    <t>+ 1 amphipod</t>
  </si>
  <si>
    <t>naked pteropod</t>
  </si>
  <si>
    <t>decapods, amphipods, ostracods</t>
  </si>
  <si>
    <t>mixed sample of krill and salps; .275 kg retained</t>
  </si>
  <si>
    <t>.563 retained</t>
  </si>
  <si>
    <t>MIDOC17_6_03</t>
  </si>
  <si>
    <t>MIDOC17_6_05</t>
  </si>
  <si>
    <t>MIDOC17_6_06</t>
  </si>
  <si>
    <t>MIDOC17_6_07</t>
  </si>
  <si>
    <t>MIDOC17_6_09</t>
  </si>
  <si>
    <t>MIDOC17_6_08</t>
  </si>
  <si>
    <t>MIDOC17_6_10</t>
  </si>
  <si>
    <t>MIDOC17_6_11</t>
  </si>
  <si>
    <t>MIDOC17_6_12</t>
  </si>
  <si>
    <t>MIDOC17_6_13</t>
  </si>
  <si>
    <t>MIDOC17_6_14</t>
  </si>
  <si>
    <t>MIDOC17_6_15</t>
  </si>
  <si>
    <t>MIDOC17_6_16</t>
  </si>
  <si>
    <t>MIDOC17_6_17</t>
  </si>
  <si>
    <t>MIDOC17_6_18</t>
  </si>
  <si>
    <t>MIDOC17_6_19</t>
  </si>
  <si>
    <t>MIDOC17_6_20</t>
  </si>
  <si>
    <t>MIDOC17_6_25</t>
  </si>
  <si>
    <t>MIDOC17_6_27</t>
  </si>
  <si>
    <t>MIDOC17_6_26</t>
  </si>
  <si>
    <t>MIDOC17_6_24</t>
  </si>
  <si>
    <t>MIDOC17_6_23</t>
  </si>
  <si>
    <t>MIDOC17_6_21</t>
  </si>
  <si>
    <t>MIDOC17_6_22</t>
  </si>
  <si>
    <t>MIDOC17_6_DISCARDS</t>
  </si>
  <si>
    <t>MIDOC17_6_29</t>
  </si>
  <si>
    <t>MIDOC17_6_28</t>
  </si>
  <si>
    <t>MIDOC17_6_31</t>
  </si>
  <si>
    <t>MIDOC17_6_32</t>
  </si>
  <si>
    <t>MIDOC17_6_34</t>
  </si>
  <si>
    <t>MIDOC17_6_33</t>
  </si>
  <si>
    <t>MIDOC17_6_30</t>
  </si>
  <si>
    <t>MIDOC17_6_35</t>
  </si>
  <si>
    <t>MIDOC17_6_36</t>
  </si>
  <si>
    <t>MIDOC17_6_37</t>
  </si>
  <si>
    <t>MIDOC17_6_38</t>
  </si>
  <si>
    <t>MIDOC17_6_39</t>
  </si>
  <si>
    <t>MIDOC17_6_40</t>
  </si>
  <si>
    <t>MIDOC17_6_41</t>
  </si>
  <si>
    <t>MIDOC17_6_44</t>
  </si>
  <si>
    <t>MIDOC17_6_04</t>
  </si>
  <si>
    <t>MIDOC17_6_42</t>
  </si>
  <si>
    <t>MIDOC17_6_43</t>
  </si>
  <si>
    <t>MIDOC17_6_45</t>
  </si>
  <si>
    <t>MIDOC17_1_DISCARDS</t>
  </si>
  <si>
    <t>MIDOC17_1_01</t>
  </si>
  <si>
    <t>MIDOC17_1_02</t>
  </si>
  <si>
    <t>MIDOC17_1_03</t>
  </si>
  <si>
    <t>MIDOC17_1_04</t>
  </si>
  <si>
    <t>MIDOC17_1_05</t>
  </si>
  <si>
    <t>MIDOC18_2_01</t>
  </si>
  <si>
    <t>MIDOC18_2_02</t>
  </si>
  <si>
    <t>MIDOC18_2_03</t>
  </si>
  <si>
    <t>MIDOC18_2_04</t>
  </si>
  <si>
    <t>MIDOC18_2_05</t>
  </si>
  <si>
    <t>MIDOC18_2_06</t>
  </si>
  <si>
    <t>MIDOC18_2_07</t>
  </si>
  <si>
    <t>MIDOC18_2_DISCARDS</t>
  </si>
  <si>
    <t>MIDOC18_2_08</t>
  </si>
  <si>
    <t>MIDOC18_2_09</t>
  </si>
  <si>
    <t>MIDOC18_2_10</t>
  </si>
  <si>
    <t>MIDOC18_2_11</t>
  </si>
  <si>
    <t>MIDOC18_2_12</t>
  </si>
  <si>
    <t>MIDOC18_2_13</t>
  </si>
  <si>
    <t>MIDOC18_2_14</t>
  </si>
  <si>
    <t>MIDOC18_2_15</t>
  </si>
  <si>
    <t>MIDOC18_2_16</t>
  </si>
  <si>
    <t>MIDOC18_2_17</t>
  </si>
  <si>
    <t>MIDOC18_2_18</t>
  </si>
  <si>
    <t>MIDOC18_2_19</t>
  </si>
  <si>
    <t>MIDOC18_2_20</t>
  </si>
  <si>
    <t>MIDOC18_2_21</t>
  </si>
  <si>
    <t>MIDOC18_2_22</t>
  </si>
  <si>
    <t>MIDOC18_2_23</t>
  </si>
  <si>
    <t>MIDOC18_2_24</t>
  </si>
  <si>
    <t>MIDOC18_2_25</t>
  </si>
  <si>
    <t>MIDOC18_2_27</t>
  </si>
  <si>
    <t>MIDOC18_2_26</t>
  </si>
  <si>
    <t>MIDOC18_2_28</t>
  </si>
  <si>
    <t>MIDOC18_2_29</t>
  </si>
  <si>
    <t>MIDOC18_2_30</t>
  </si>
  <si>
    <t>MIDOC18_2_31</t>
  </si>
  <si>
    <t>MIDOC18_2_35</t>
  </si>
  <si>
    <t>MIDOC18_2_34</t>
  </si>
  <si>
    <t>MIDOC18_2_32</t>
  </si>
  <si>
    <t>MIDOC18_2_33</t>
  </si>
  <si>
    <t>MIDOC18_2_36</t>
  </si>
  <si>
    <t>MIDOC18_2_37</t>
  </si>
  <si>
    <t>MIDOC18_2_40</t>
  </si>
  <si>
    <t>MIDOC18_2_39</t>
  </si>
  <si>
    <t>MIDOC18_2_38</t>
  </si>
  <si>
    <t>MIDOC18_2_41</t>
  </si>
  <si>
    <t>MIDOC18_2_42</t>
  </si>
  <si>
    <t>MIDOC18_2_43</t>
  </si>
  <si>
    <t>MIDOC18_2_44</t>
  </si>
  <si>
    <t>MIDOC18_2_45</t>
  </si>
  <si>
    <t>MIDOC18_2_48</t>
  </si>
  <si>
    <t>MIDOC18_2_47</t>
  </si>
  <si>
    <t>MIDOC18_2_50</t>
  </si>
  <si>
    <t>MIDOC18_2_49</t>
  </si>
  <si>
    <t>MIDOC18_2_51</t>
  </si>
  <si>
    <t>MIDOC18_2_46</t>
  </si>
  <si>
    <t>MIDOC18_3_02</t>
  </si>
  <si>
    <t>MIDOC18_3_03</t>
  </si>
  <si>
    <t>MIDOC18_3_04</t>
  </si>
  <si>
    <t>MIDOC18_3_05</t>
  </si>
  <si>
    <t>MIDOC18_3_06</t>
  </si>
  <si>
    <t>MIDOC18_3_07</t>
  </si>
  <si>
    <t>MIDOC18_3_01</t>
  </si>
  <si>
    <t>MIDOC18_3_DISCARDS</t>
  </si>
  <si>
    <t>MIDOC18_3_08</t>
  </si>
  <si>
    <t>MIDOC18_3_09</t>
  </si>
  <si>
    <t>MIDOC18_3_10</t>
  </si>
  <si>
    <t>MIDOC18_3_11</t>
  </si>
  <si>
    <t>MIDOC18_3_12</t>
  </si>
  <si>
    <t>MIDOC18_3_13</t>
  </si>
  <si>
    <t>MIDOC18_3_14</t>
  </si>
  <si>
    <t>MIDOC18_3_15</t>
  </si>
  <si>
    <t>MIDOC18_3_16</t>
  </si>
  <si>
    <t>MIDOC18_3_17</t>
  </si>
  <si>
    <t>MIDOC18_3_18</t>
  </si>
  <si>
    <t>MIDOC18_3_19</t>
  </si>
  <si>
    <t>MIDOC18_3_20</t>
  </si>
  <si>
    <t>MIDOC18_3_21</t>
  </si>
  <si>
    <t>MIDOC18_3_22</t>
  </si>
  <si>
    <t>MIDOC18_3_23</t>
  </si>
  <si>
    <t>MIDOC18_3_35</t>
  </si>
  <si>
    <t>MIDOC18_3_26</t>
  </si>
  <si>
    <t>MIDOC18_3_27</t>
  </si>
  <si>
    <t>MIDOC18_3_28</t>
  </si>
  <si>
    <t>MIDOC18_3_24</t>
  </si>
  <si>
    <t>MIDOC18_3_25</t>
  </si>
  <si>
    <t>MIDOC18_3_29</t>
  </si>
  <si>
    <t>MIDOC18_3_30</t>
  </si>
  <si>
    <t>MIDOC18_3_31</t>
  </si>
  <si>
    <t>MIDOC18_3_33</t>
  </si>
  <si>
    <t>MIDOC18_3_34</t>
  </si>
  <si>
    <t>MIDOC18_3_32</t>
  </si>
  <si>
    <t>MIDOC18_4_01</t>
  </si>
  <si>
    <t>MIDOC18_front.of.net_DISCARDS</t>
  </si>
  <si>
    <t>MIDOC18_5_01</t>
  </si>
  <si>
    <t>MIDOC18_5_02</t>
  </si>
  <si>
    <t>MIDOC18_5_03</t>
  </si>
  <si>
    <t>MIDOC18_5_04</t>
  </si>
  <si>
    <t>MIDOC18_5_06</t>
  </si>
  <si>
    <t>MIDOC18_5_07</t>
  </si>
  <si>
    <t>MIDOC18_5_08</t>
  </si>
  <si>
    <t>MIDOC18_5_09</t>
  </si>
  <si>
    <t>MIDOC18_5_05</t>
  </si>
  <si>
    <t>MIDOC18_4_DISCARDS</t>
  </si>
  <si>
    <t>MIDOC18_4_02</t>
  </si>
  <si>
    <t>MIDOC18_4_03</t>
  </si>
  <si>
    <t>MIDOC18_4_04</t>
  </si>
  <si>
    <t>MIDOC18_4_05</t>
  </si>
  <si>
    <t>MIDOC18_4_06</t>
  </si>
  <si>
    <t>MIDOC18_4_07</t>
  </si>
  <si>
    <t>MIDOC18_4_08</t>
  </si>
  <si>
    <t>MIDOC18_4_09</t>
  </si>
  <si>
    <t>MIDOC18_4_10</t>
  </si>
  <si>
    <t>MIDOC18_4_11</t>
  </si>
  <si>
    <t>MIDOC18_4_15</t>
  </si>
  <si>
    <t>MIDOC18_4_16</t>
  </si>
  <si>
    <t>MIDOC18_4_14</t>
  </si>
  <si>
    <t>MIDOC18_4_12</t>
  </si>
  <si>
    <t>MIDOC18_4_13</t>
  </si>
  <si>
    <t>MIDOC18_6_01</t>
  </si>
  <si>
    <t>MIDOC18_6_02</t>
  </si>
  <si>
    <t>MIDOC18_6_03</t>
  </si>
  <si>
    <t>MIDOC18_6_04</t>
  </si>
  <si>
    <t>MIDOC18_6_05</t>
  </si>
  <si>
    <t>MIDOC18_6_06</t>
  </si>
  <si>
    <t>MIDOC18_6_07</t>
  </si>
  <si>
    <t>MIDOC18_6_08</t>
  </si>
  <si>
    <t>MIDOC18_6_09</t>
  </si>
  <si>
    <t>MIDOC18_6_10</t>
  </si>
  <si>
    <t>MIDOC18_6_11</t>
  </si>
  <si>
    <t>MIDOC18_6_12</t>
  </si>
  <si>
    <t>MIDOC18_6_DISCARDS</t>
  </si>
  <si>
    <t>MIDOC18_6_16</t>
  </si>
  <si>
    <t>MIDOC18_6_15</t>
  </si>
  <si>
    <t>MIDOC18_6_13</t>
  </si>
  <si>
    <t>MIDOC18_6_17</t>
  </si>
  <si>
    <t>MIDOC18_6_14</t>
  </si>
  <si>
    <t>MIDOC18_6_33</t>
  </si>
  <si>
    <t>MIDOC18_6_34</t>
  </si>
  <si>
    <t>MIDOC18_6_32</t>
  </si>
  <si>
    <t>MIDOC18_6_25</t>
  </si>
  <si>
    <t>MIDOC18_6_24</t>
  </si>
  <si>
    <t>MIDOC18_6_18</t>
  </si>
  <si>
    <t>MIDOC18_6_19</t>
  </si>
  <si>
    <t>MIDOC18_6_20</t>
  </si>
  <si>
    <t>MIDOC18_6_21</t>
  </si>
  <si>
    <t>MIDOC18_6_22</t>
  </si>
  <si>
    <t>MIDOC18_6_23</t>
  </si>
  <si>
    <t>MIDOC18_6_26</t>
  </si>
  <si>
    <t>MIDOC18_6_27</t>
  </si>
  <si>
    <t>MIDOC18_6_28</t>
  </si>
  <si>
    <t>MIDOC18_6_29</t>
  </si>
  <si>
    <t>MIDOC18_6_30</t>
  </si>
  <si>
    <t>MIDOC18_6_31</t>
  </si>
  <si>
    <t>MIDOC18_1_DISCARDS</t>
  </si>
  <si>
    <t>MIDOC18_1_01</t>
  </si>
  <si>
    <t>MIDOC18_1_02</t>
  </si>
  <si>
    <t>MIDOC18_1_03</t>
  </si>
  <si>
    <t>MIDOC19_2_01</t>
  </si>
  <si>
    <t>MIDOC19_2_02</t>
  </si>
  <si>
    <t>MIDOC19_2_03</t>
  </si>
  <si>
    <t>MIDOC19_2_04</t>
  </si>
  <si>
    <t>MIDOC19_2_05</t>
  </si>
  <si>
    <t>MIDOC19_2_06</t>
  </si>
  <si>
    <t>MIDOC19_2_07</t>
  </si>
  <si>
    <t>MIDOC19_2_DISCARDS</t>
  </si>
  <si>
    <t>MIDOC19_2_08</t>
  </si>
  <si>
    <t>MIDOC19_2_28</t>
  </si>
  <si>
    <t>MIDOC19_2_25</t>
  </si>
  <si>
    <t>MIDOC19_2_09</t>
  </si>
  <si>
    <t>MIDOC19_2_24</t>
  </si>
  <si>
    <t>MIDOC19_2_26</t>
  </si>
  <si>
    <t>MIDOC19_2_27</t>
  </si>
  <si>
    <t>MIDOC19_2_29</t>
  </si>
  <si>
    <t>MIDOC19_2_30</t>
  </si>
  <si>
    <t>MIDOC19_2_15</t>
  </si>
  <si>
    <t>MIDOC19_2_16</t>
  </si>
  <si>
    <t>MIDOC19_2_11</t>
  </si>
  <si>
    <t>MIDOC19_2_10</t>
  </si>
  <si>
    <t>MIDOC19_2_12</t>
  </si>
  <si>
    <t>MIDOC19_2_13</t>
  </si>
  <si>
    <t>MIDOC19_2_14</t>
  </si>
  <si>
    <t>MIDOC19_2_17</t>
  </si>
  <si>
    <t>MIDOC19_2_22</t>
  </si>
  <si>
    <t>MIDOC19_2_18</t>
  </si>
  <si>
    <t>MIDOC19_2_19</t>
  </si>
  <si>
    <t>MIDOC19_2_20</t>
  </si>
  <si>
    <t>MIDOC19_2_21</t>
  </si>
  <si>
    <t>MIDOC19_2_23</t>
  </si>
  <si>
    <t>MIDOC19_2_31</t>
  </si>
  <si>
    <t>MIDOC19_2_32</t>
  </si>
  <si>
    <t>MIDOC19_2_33</t>
  </si>
  <si>
    <t>MIDOC19_3_01</t>
  </si>
  <si>
    <t>MIDOC19_3_02</t>
  </si>
  <si>
    <t>MIDOC19_3_03</t>
  </si>
  <si>
    <t>MIDOC19_3_04</t>
  </si>
  <si>
    <t>MIDOC19_3_05</t>
  </si>
  <si>
    <t>MIDOC19_3_06</t>
  </si>
  <si>
    <t>MIDOC19_3_07</t>
  </si>
  <si>
    <t>MIDOC19_3_DISCARDS</t>
  </si>
  <si>
    <t>MIDOC19_3_10</t>
  </si>
  <si>
    <t>MIDOC19_3_12</t>
  </si>
  <si>
    <t>MIDOC19_3_11</t>
  </si>
  <si>
    <t>MIDOC19_3_13</t>
  </si>
  <si>
    <t>MIDOC19_3_14</t>
  </si>
  <si>
    <t>MIDOC19_3_16</t>
  </si>
  <si>
    <t>MIDOC19_3_08</t>
  </si>
  <si>
    <t>MIDOC19_3_09</t>
  </si>
  <si>
    <t>MIDOC19_3_15</t>
  </si>
  <si>
    <t>MIDOC19_3_18</t>
  </si>
  <si>
    <t>MIDOC19_3_19</t>
  </si>
  <si>
    <t>MIDOC19_3_20</t>
  </si>
  <si>
    <t>MIDOC19_3_24</t>
  </si>
  <si>
    <t>MIDOC19_3_21</t>
  </si>
  <si>
    <t>MIDOC19_3_22</t>
  </si>
  <si>
    <t>MIDOC19_3_23</t>
  </si>
  <si>
    <t>MIDOC19_3_31</t>
  </si>
  <si>
    <t>MIDOC19_3_32</t>
  </si>
  <si>
    <t>MIDOC19_3_33</t>
  </si>
  <si>
    <t>MIDOC19_3_29</t>
  </si>
  <si>
    <t>MIDOC19_3_28</t>
  </si>
  <si>
    <t>MIDOC19_3_27</t>
  </si>
  <si>
    <t>MIDOC19_3_26</t>
  </si>
  <si>
    <t>MIDOC19_3_30</t>
  </si>
  <si>
    <t>MIDOC19_3_17</t>
  </si>
  <si>
    <t>MIDOC19_3_25</t>
  </si>
  <si>
    <t>MIDOC19_4_01</t>
  </si>
  <si>
    <t>MIDOC19_4_02</t>
  </si>
  <si>
    <t>MIDOC19_4_03</t>
  </si>
  <si>
    <t>MIDOC19_4_04</t>
  </si>
  <si>
    <t>MIDOC19_4_05</t>
  </si>
  <si>
    <t>MIDOC19_4_25</t>
  </si>
  <si>
    <t>MIDOC19_4_27</t>
  </si>
  <si>
    <t>MIDOC19_4_06</t>
  </si>
  <si>
    <t>MIDOC19_4_07</t>
  </si>
  <si>
    <t>MIDOC19_4_08</t>
  </si>
  <si>
    <t>MIDOC19_4_09</t>
  </si>
  <si>
    <t>MIDOC19_4_11</t>
  </si>
  <si>
    <t>MIDOC19_4_12</t>
  </si>
  <si>
    <t>MIDOC19_4_13</t>
  </si>
  <si>
    <t>MIDOC19_4_14</t>
  </si>
  <si>
    <t>MIDOC19_4_15</t>
  </si>
  <si>
    <t>MIDOC19_4_16</t>
  </si>
  <si>
    <t>MIDOC19_4_17</t>
  </si>
  <si>
    <t>MIDOC19_4_18</t>
  </si>
  <si>
    <t>MIDOC19_4_19</t>
  </si>
  <si>
    <t>MIDOC19_4_20</t>
  </si>
  <si>
    <t>MIDOC19_4_21</t>
  </si>
  <si>
    <t>MIDOC19_4_22</t>
  </si>
  <si>
    <t>MIDOC19_4_23</t>
  </si>
  <si>
    <t>MIDOC19_4_24</t>
  </si>
  <si>
    <t>MIDOC19_4_DISCARDS</t>
  </si>
  <si>
    <t>MIDOC19_4_10</t>
  </si>
  <si>
    <t>MIDOC19_5_01</t>
  </si>
  <si>
    <t>MIDOC19_5_04</t>
  </si>
  <si>
    <t>MIDOC19_5_03</t>
  </si>
  <si>
    <t>MIDOC19_5_11</t>
  </si>
  <si>
    <t>MIDOC19_5_02</t>
  </si>
  <si>
    <t>MIDOC19_5_05</t>
  </si>
  <si>
    <t>MIDOC19_5_06</t>
  </si>
  <si>
    <t>MIDOC19_5_07</t>
  </si>
  <si>
    <t>MIDOC19_5_08</t>
  </si>
  <si>
    <t>MIDOC19_5_10</t>
  </si>
  <si>
    <t>MIDOC19_5_09</t>
  </si>
  <si>
    <t>MIDOC19_5_12</t>
  </si>
  <si>
    <t>MIDOC19_5_DISCARDS</t>
  </si>
  <si>
    <t>MIDOC19_6_01</t>
  </si>
  <si>
    <t>MIDOC19_6_26</t>
  </si>
  <si>
    <t>MIDOC19_6_32</t>
  </si>
  <si>
    <t>MIDOC19_6_11</t>
  </si>
  <si>
    <t>MIDOC19_6_12</t>
  </si>
  <si>
    <t>MIDOC19_6_13</t>
  </si>
  <si>
    <t>MIDOC19_6_14</t>
  </si>
  <si>
    <t>MIDOC19_6_09</t>
  </si>
  <si>
    <t>MIDOC19_6_08</t>
  </si>
  <si>
    <t>MIDOC19_6_07</t>
  </si>
  <si>
    <t>MIDOC19_6_33</t>
  </si>
  <si>
    <t>MIDOC19_6_10</t>
  </si>
  <si>
    <t>MIDOC19_6_02</t>
  </si>
  <si>
    <t>MIDOC19_6_03</t>
  </si>
  <si>
    <t>MIDOC19_6_04</t>
  </si>
  <si>
    <t>MIDOC19_6_05</t>
  </si>
  <si>
    <t>MIDOC19_6_06</t>
  </si>
  <si>
    <t>MIDOC19_6_15</t>
  </si>
  <si>
    <t>MIDOC19_6_20</t>
  </si>
  <si>
    <t>MIDOC19_6_19</t>
  </si>
  <si>
    <t>MIDOC19_6_18</t>
  </si>
  <si>
    <t>MIDOC19_6_17</t>
  </si>
  <si>
    <t>MIDOC19_6_28</t>
  </si>
  <si>
    <t>MIDOC19_6_21</t>
  </si>
  <si>
    <t>MIDOC19_6_22</t>
  </si>
  <si>
    <t>MIDOC19_6_23</t>
  </si>
  <si>
    <t>MIDOC19_6_24</t>
  </si>
  <si>
    <t>MIDOC19_6_16</t>
  </si>
  <si>
    <t>MIDOC19_6_DISCARDS</t>
  </si>
  <si>
    <t>MIDOC19_6_25</t>
  </si>
  <si>
    <t>MIDOC19_6_27</t>
  </si>
  <si>
    <t>MIDOC19_6_29</t>
  </si>
  <si>
    <t>MIDOC19_6_30</t>
  </si>
  <si>
    <t>MIDOC19_6_31</t>
  </si>
  <si>
    <t>MIDOC19_6_34</t>
  </si>
  <si>
    <t>MIDOC19_1_01</t>
  </si>
  <si>
    <t>MIDOC19_1_02</t>
  </si>
  <si>
    <t>MIDOC19_1_03</t>
  </si>
  <si>
    <t>MIDOC19_1_04</t>
  </si>
  <si>
    <t>MIDOC19_1_08</t>
  </si>
  <si>
    <t>MIDOC19_1_07</t>
  </si>
  <si>
    <t>MIDOC19_1_06</t>
  </si>
  <si>
    <t>MIDOC19_1_05</t>
  </si>
  <si>
    <t>MIDOC20</t>
  </si>
  <si>
    <t>Bathyteuthis squid</t>
  </si>
  <si>
    <t>salps and fish scales</t>
  </si>
  <si>
    <t>.433 retained</t>
  </si>
  <si>
    <t>.128 retained</t>
  </si>
  <si>
    <t>krill and amphipods</t>
  </si>
  <si>
    <t>E. superba, E.tricantha, amphipods</t>
  </si>
  <si>
    <t>.107 retained</t>
  </si>
  <si>
    <t>medusae, .082 retaomed</t>
  </si>
  <si>
    <t>E. superba and E. tricantha</t>
  </si>
  <si>
    <t>5 individuals? Not specified in notes</t>
  </si>
  <si>
    <t>chaetognaths and pteropod</t>
  </si>
  <si>
    <t>ostracods and 1 calycopsis</t>
  </si>
  <si>
    <t>calycopsis</t>
  </si>
  <si>
    <t>2 small fish to dale for otoliths</t>
  </si>
  <si>
    <t>t.gaudich, salps and shit</t>
  </si>
  <si>
    <t>.175 retained</t>
  </si>
  <si>
    <t>.159 retained</t>
  </si>
  <si>
    <t>superba and tricantha</t>
  </si>
  <si>
    <t>copepods and amphipods</t>
  </si>
  <si>
    <t>t. gaudi black and orange</t>
  </si>
  <si>
    <t>superba, tricantha</t>
  </si>
  <si>
    <t>IDs 28-31 in photo not used</t>
  </si>
  <si>
    <t>different species</t>
  </si>
  <si>
    <t>1 whole + 1 mantle</t>
  </si>
  <si>
    <t>.134 retained; includes a single big medusa weighing 11.3-2.8</t>
  </si>
  <si>
    <t>.124 retained</t>
  </si>
  <si>
    <t>single medusa weighing 6.1-.261</t>
  </si>
  <si>
    <t>dale: "amazing specimen"</t>
  </si>
  <si>
    <t>superba, triantha, t.mac</t>
  </si>
  <si>
    <t>T. gaudi, check photos to see if these are actually copepods - ostracods?</t>
  </si>
  <si>
    <t>MIDOC21</t>
  </si>
  <si>
    <t>6.2.2016</t>
  </si>
  <si>
    <t>sawtooth 2</t>
  </si>
  <si>
    <t>photo shows incorrect ID (15)</t>
  </si>
  <si>
    <t>likely 1 "little black guy" and 2 black bthy</t>
  </si>
  <si>
    <t>no label in photo</t>
  </si>
  <si>
    <t>.3 retaomed</t>
  </si>
  <si>
    <t>LBB?</t>
  </si>
  <si>
    <t>larval gymno</t>
  </si>
  <si>
    <t>snail fish</t>
  </si>
  <si>
    <t>.191 retained</t>
  </si>
  <si>
    <t>not clear from data sheet which is 23 and which is 24</t>
  </si>
  <si>
    <t>check photos: entered as 05</t>
  </si>
  <si>
    <t>single individual, with 5.8m tentacles</t>
  </si>
  <si>
    <t>retained .271</t>
  </si>
  <si>
    <t>retained .103</t>
  </si>
  <si>
    <t>.288 retained</t>
  </si>
  <si>
    <t>calycopsis and siphonophore</t>
  </si>
  <si>
    <t>mantles only</t>
  </si>
  <si>
    <t>MIDOC22</t>
  </si>
  <si>
    <t>KX29</t>
  </si>
  <si>
    <t>KX30</t>
  </si>
  <si>
    <t>KX31</t>
  </si>
  <si>
    <t>MIDOC23</t>
  </si>
  <si>
    <t>E. superba and E. triacantha</t>
  </si>
  <si>
    <t>retained 0.276kg</t>
  </si>
  <si>
    <t>n=1 shelled pteropod, n=1 amphipod, n=1 calycopsis, n=1 Themisto gaudichaudii</t>
  </si>
  <si>
    <t>ostracods, amphipods, decapods, calycopsis</t>
  </si>
  <si>
    <t>different species of gymnoscopelus?</t>
  </si>
  <si>
    <t>small/larval fish</t>
  </si>
  <si>
    <t>mixed mush</t>
  </si>
  <si>
    <t>retained 285g</t>
  </si>
  <si>
    <t>amphipods, ostracods</t>
  </si>
  <si>
    <t>ID#27 in photo not retained</t>
  </si>
  <si>
    <t>E. triacantha</t>
  </si>
  <si>
    <t>E. triacantha and T. macrura</t>
  </si>
  <si>
    <t>80% E. triacantha and 20% T. macrura</t>
  </si>
  <si>
    <t>lampanyctus</t>
  </si>
  <si>
    <t>inverts</t>
  </si>
  <si>
    <t>mixed inverts and gelatinous</t>
  </si>
  <si>
    <t>retained 177g</t>
  </si>
  <si>
    <t>mostly E. triacantha</t>
  </si>
  <si>
    <t>amphipods, naked and shelled pteropods</t>
  </si>
  <si>
    <t>retained 185g</t>
  </si>
  <si>
    <t>including one large medusa 15.1kg; retained 280g</t>
  </si>
  <si>
    <t>bad condition; multiple specimens</t>
  </si>
  <si>
    <t>mixed fish bits</t>
  </si>
  <si>
    <t>other inverts</t>
  </si>
  <si>
    <t>mixed gelat/scales/mush</t>
  </si>
  <si>
    <t>7.2.2016</t>
  </si>
  <si>
    <t>inidentified black myctophid</t>
  </si>
  <si>
    <t>mucruid</t>
  </si>
  <si>
    <t xml:space="preserve">E. triacantha </t>
  </si>
  <si>
    <t>gelat and mush</t>
  </si>
  <si>
    <t>retained 289g</t>
  </si>
  <si>
    <t>5% krill (at most)</t>
  </si>
  <si>
    <t>MIDOC23_3_37</t>
  </si>
  <si>
    <t>big black bathy</t>
  </si>
  <si>
    <t>gelat/mush/scales</t>
  </si>
  <si>
    <t>retained 744g (special jelly)</t>
  </si>
  <si>
    <t>plus bit of polychaetes</t>
  </si>
  <si>
    <t>unidentified black myctophid</t>
  </si>
  <si>
    <t>&gt;12</t>
  </si>
  <si>
    <t>no tail</t>
  </si>
  <si>
    <t>partial (missing body)</t>
  </si>
  <si>
    <t>were 29 total (full guts)</t>
  </si>
  <si>
    <t>retained 283g</t>
  </si>
  <si>
    <t>including 2 larval fish</t>
  </si>
  <si>
    <t>ugly dragonfish?</t>
  </si>
  <si>
    <t>viperfish</t>
  </si>
  <si>
    <t>black gymno.</t>
  </si>
  <si>
    <t>fish scale mush</t>
  </si>
  <si>
    <t>MIDOC23_5_37</t>
  </si>
  <si>
    <t xml:space="preserve">intestine 10g (orange colour in photo) bagged separately with no ID in CE1 bag </t>
  </si>
  <si>
    <t>snailfish</t>
  </si>
  <si>
    <t>50% E. triacantha: 50% mush and scales</t>
  </si>
  <si>
    <t>good stomach contents</t>
  </si>
  <si>
    <t>20% krill; 20% scales; 60% gelat.</t>
  </si>
  <si>
    <t>gymnoscopelus (giant)</t>
  </si>
  <si>
    <t>gymnoscopelus (black)</t>
  </si>
  <si>
    <t>mixed krill and gelat.</t>
  </si>
  <si>
    <t>sawtooth larval fish</t>
  </si>
  <si>
    <t>mixed fish, crustaceans and gelat.</t>
  </si>
  <si>
    <t>decapods, calycopsis, E. triacantha, amphipods</t>
  </si>
  <si>
    <t>retained 73g; 60% E. triacantha, 20% scales, 20% T. macrura</t>
  </si>
  <si>
    <t>retained 168g</t>
  </si>
  <si>
    <t>n=1 Bathyteuthis sp., the rest cranchid squids</t>
  </si>
  <si>
    <t>amphipods, pteropod shelled</t>
  </si>
  <si>
    <t>80% E. triacantha, 20% T. macrura</t>
  </si>
  <si>
    <t>tomopteris</t>
  </si>
  <si>
    <t>mixed krill</t>
  </si>
  <si>
    <t>fat tummy fish</t>
  </si>
  <si>
    <t>fish pieces</t>
  </si>
  <si>
    <t>check data sheet - no ID recorded</t>
  </si>
  <si>
    <t>MIDOC20_front.of.net_01</t>
  </si>
  <si>
    <t>MIDOC20_front.of.net_02</t>
  </si>
  <si>
    <t>MIDOC20_2_01</t>
  </si>
  <si>
    <t>MIDOC20_2_03</t>
  </si>
  <si>
    <t>MIDOC20_2_02</t>
  </si>
  <si>
    <t>MIDOC20_2_37</t>
  </si>
  <si>
    <t>MIDOC20_2_05</t>
  </si>
  <si>
    <t>MIDOC20_2_06</t>
  </si>
  <si>
    <t>MIDOC20_2_04</t>
  </si>
  <si>
    <t>MIDOC20_2_DISCARDS</t>
  </si>
  <si>
    <t>MIDOC20_2_07</t>
  </si>
  <si>
    <t>MIDOC20_2_10</t>
  </si>
  <si>
    <t>MIDOC20_2_11</t>
  </si>
  <si>
    <t>MIDOC20_2_12</t>
  </si>
  <si>
    <t>MIDOC20_2_13</t>
  </si>
  <si>
    <t>MIDOC20_2_08</t>
  </si>
  <si>
    <t>MIDOC20_2_09</t>
  </si>
  <si>
    <t>MIDOC20_2_38</t>
  </si>
  <si>
    <t>MIDOC20_2_14</t>
  </si>
  <si>
    <t>MIDOC20_2_15</t>
  </si>
  <si>
    <t>MIDOC20_2_16</t>
  </si>
  <si>
    <t>MIDOC20_2_17</t>
  </si>
  <si>
    <t>MIDOC20_2_18</t>
  </si>
  <si>
    <t>MIDOC20_2_19</t>
  </si>
  <si>
    <t>MIDOC20_2_20</t>
  </si>
  <si>
    <t>MIDOC20_2_21</t>
  </si>
  <si>
    <t>MIDOC20_2_22</t>
  </si>
  <si>
    <t>MIDOC20_2_23</t>
  </si>
  <si>
    <t>MIDOC20_2_24</t>
  </si>
  <si>
    <t>MIDOC20_2_25</t>
  </si>
  <si>
    <t>MIDOC20_2_26</t>
  </si>
  <si>
    <t>MIDOC20_2_27</t>
  </si>
  <si>
    <t>MIDOC20_2_28</t>
  </si>
  <si>
    <t>MIDOC20_2_29</t>
  </si>
  <si>
    <t>MIDOC20_2_30</t>
  </si>
  <si>
    <t>MIDOC20_2_31</t>
  </si>
  <si>
    <t>MIDOC20_2_32</t>
  </si>
  <si>
    <t>MIDOC20_2_33</t>
  </si>
  <si>
    <t>MIDOC20_2_34</t>
  </si>
  <si>
    <t>MIDOC20_2_35</t>
  </si>
  <si>
    <t>MIDOC20_2_36</t>
  </si>
  <si>
    <t>MIDOC20_2_39</t>
  </si>
  <si>
    <t>MIDOC20_2_40</t>
  </si>
  <si>
    <t>MIDOC20_2_41</t>
  </si>
  <si>
    <t>MIDOC20_2_42</t>
  </si>
  <si>
    <t>MIDOC20_2_43</t>
  </si>
  <si>
    <t>MIDOC20_3_02</t>
  </si>
  <si>
    <t>MIDOC20_3_01</t>
  </si>
  <si>
    <t>MIDOC20_3_03</t>
  </si>
  <si>
    <t>MIDOC20_3_04</t>
  </si>
  <si>
    <t>MIDOC20_3_05</t>
  </si>
  <si>
    <t>MIDOC20_3_06</t>
  </si>
  <si>
    <t>MIDOC20_3_07</t>
  </si>
  <si>
    <t>MIDOC20_3_08</t>
  </si>
  <si>
    <t>MIDOC20_3_DISCARDS</t>
  </si>
  <si>
    <t>MIDOC20_3_09</t>
  </si>
  <si>
    <t>MIDOC20_3_10</t>
  </si>
  <si>
    <t>MIDOC20_3_11</t>
  </si>
  <si>
    <t>MIDOC20_3_12</t>
  </si>
  <si>
    <t>MIDOC20_3_13</t>
  </si>
  <si>
    <t>MIDOC20_3_14</t>
  </si>
  <si>
    <t>MIDOC20_3_15</t>
  </si>
  <si>
    <t>MIDOC20_3_17</t>
  </si>
  <si>
    <t>MIDOC20_3_18</t>
  </si>
  <si>
    <t>MIDOC20_3_16</t>
  </si>
  <si>
    <t>MIDOC20_3_25</t>
  </si>
  <si>
    <t>MIDOC20_3_26</t>
  </si>
  <si>
    <t>MIDOC20_3_27</t>
  </si>
  <si>
    <t>MIDOC20_3_28</t>
  </si>
  <si>
    <t>MIDOC20_3_29</t>
  </si>
  <si>
    <t>MIDOC20_3_30</t>
  </si>
  <si>
    <t>MIDOC20_3_31</t>
  </si>
  <si>
    <t>MIDOC20_3_32</t>
  </si>
  <si>
    <t>MIDOC20_3_33</t>
  </si>
  <si>
    <t>MIDOC20_3_34</t>
  </si>
  <si>
    <t>MIDOC20_3_35</t>
  </si>
  <si>
    <t>MIDOC20_3_36</t>
  </si>
  <si>
    <t>MIDOC20_3_37</t>
  </si>
  <si>
    <t>MIDOC20_3_38</t>
  </si>
  <si>
    <t>MIDOC20_3_39</t>
  </si>
  <si>
    <t>MIDOC20_3_40</t>
  </si>
  <si>
    <t>MIDOC20_3_41</t>
  </si>
  <si>
    <t>MIDOC20_3_21</t>
  </si>
  <si>
    <t>MIDOC20_3_19</t>
  </si>
  <si>
    <t>MIDOC20_3_23</t>
  </si>
  <si>
    <t>MIDOC20_3_22</t>
  </si>
  <si>
    <t>MIDOC20_3_20</t>
  </si>
  <si>
    <t>MIDOC20_3_24</t>
  </si>
  <si>
    <t>MIDOC20_3_42</t>
  </si>
  <si>
    <t>MIDOC20_3_44</t>
  </si>
  <si>
    <t>MIDOC20_3_43</t>
  </si>
  <si>
    <t>MIDOC20_3_45</t>
  </si>
  <si>
    <t>MIDOC20_3_46</t>
  </si>
  <si>
    <t>MIDOC20_3_47</t>
  </si>
  <si>
    <t>MIDOC20_5_01</t>
  </si>
  <si>
    <t>MIDOC20_5_02</t>
  </si>
  <si>
    <t>MIDOC20_5_03</t>
  </si>
  <si>
    <t>MIDOC20_5_04</t>
  </si>
  <si>
    <t>MIDOC20_5_05</t>
  </si>
  <si>
    <t>MIDOC20_5_06</t>
  </si>
  <si>
    <t>MIDOC20_5_07</t>
  </si>
  <si>
    <t>MIDOC20_5_08</t>
  </si>
  <si>
    <t>MIDOC20_5_09</t>
  </si>
  <si>
    <t>MIDOC20_5_DISCARDS</t>
  </si>
  <si>
    <t>MIDOC20_5_10</t>
  </si>
  <si>
    <t>MIDOC20_5_11</t>
  </si>
  <si>
    <t>MIDOC20_5_12</t>
  </si>
  <si>
    <t>MIDOC20_5_13</t>
  </si>
  <si>
    <t>MIDOC20_5_14</t>
  </si>
  <si>
    <t>MIDOC20_5_15</t>
  </si>
  <si>
    <t>MIDOC20_5_16</t>
  </si>
  <si>
    <t>MIDOC20_5_17</t>
  </si>
  <si>
    <t>MIDOC20_5_18</t>
  </si>
  <si>
    <t>MIDOC20_5_40</t>
  </si>
  <si>
    <t>MIDOC20_5_41</t>
  </si>
  <si>
    <t>MIDOC20_5_19</t>
  </si>
  <si>
    <t>MIDOC20_5_20</t>
  </si>
  <si>
    <t>MIDOC20_5_21</t>
  </si>
  <si>
    <t>MIDOC20_5_22</t>
  </si>
  <si>
    <t>MIDOC20_5_23</t>
  </si>
  <si>
    <t>MIDOC20_5_24</t>
  </si>
  <si>
    <t>MIDOC20_5_25</t>
  </si>
  <si>
    <t>MIDOC20_5_26</t>
  </si>
  <si>
    <t>MIDOC20_5_27</t>
  </si>
  <si>
    <t>MIDOC20_5_28</t>
  </si>
  <si>
    <t>MIDOC20_5_29</t>
  </si>
  <si>
    <t>MIDOC20_5_30</t>
  </si>
  <si>
    <t>MIDOC20_5_31</t>
  </si>
  <si>
    <t>MIDOC20_5_32</t>
  </si>
  <si>
    <t>MIDOC20_5_42</t>
  </si>
  <si>
    <t>MIDOC20_5_33</t>
  </si>
  <si>
    <t>MIDOC20_5_34</t>
  </si>
  <si>
    <t>MIDOC20_5_35</t>
  </si>
  <si>
    <t>MIDOC20_5_36</t>
  </si>
  <si>
    <t>MIDOC20_5_37</t>
  </si>
  <si>
    <t>MIDOC20_5_38</t>
  </si>
  <si>
    <t>MIDOC20_5_39</t>
  </si>
  <si>
    <t>MIDOC20_4_DISCARDS</t>
  </si>
  <si>
    <t>MIDOC20_4_01</t>
  </si>
  <si>
    <t>MIDOC20_4_23</t>
  </si>
  <si>
    <t>MIDOC20_4_02</t>
  </si>
  <si>
    <t>MIDOC20_4_03</t>
  </si>
  <si>
    <t>MIDOC20_4_04</t>
  </si>
  <si>
    <t>MIDOC20_4_05</t>
  </si>
  <si>
    <t>MIDOC20_4_06</t>
  </si>
  <si>
    <t>MIDOC20_4_07</t>
  </si>
  <si>
    <t>MIDOC20_4_08</t>
  </si>
  <si>
    <t>MIDOC20_4_09</t>
  </si>
  <si>
    <t>MIDOC20_4_10</t>
  </si>
  <si>
    <t>MIDOC20_4_11</t>
  </si>
  <si>
    <t>MIDOC20_4_12</t>
  </si>
  <si>
    <t>MIDOC20_4_13</t>
  </si>
  <si>
    <t>MIDOC20_4_44</t>
  </si>
  <si>
    <t>MIDOC20_4_14</t>
  </si>
  <si>
    <t>MIDOC20_4_15</t>
  </si>
  <si>
    <t>MIDOC20_4_16</t>
  </si>
  <si>
    <t>MIDOC20_4_17</t>
  </si>
  <si>
    <t>MIDOC20_4_18</t>
  </si>
  <si>
    <t>MIDOC20_4_19</t>
  </si>
  <si>
    <t>MIDOC20_4_20</t>
  </si>
  <si>
    <t>MIDOC20_4_21</t>
  </si>
  <si>
    <t>MIDOC20_4_22</t>
  </si>
  <si>
    <t>MIDOC20_4_24</t>
  </si>
  <si>
    <t>MIDOC20_4_25</t>
  </si>
  <si>
    <t>MIDOC20_4_26</t>
  </si>
  <si>
    <t>MIDOC20_4_27</t>
  </si>
  <si>
    <t>MIDOC20_4_36</t>
  </si>
  <si>
    <t>MIDOC20_4_32</t>
  </si>
  <si>
    <t>MIDOC20_4_33</t>
  </si>
  <si>
    <t>MIDOC20_4_34</t>
  </si>
  <si>
    <t>MIDOC20_4_35</t>
  </si>
  <si>
    <t>MIDOC20_4_37</t>
  </si>
  <si>
    <t>MIDOC20_4_38</t>
  </si>
  <si>
    <t>MIDOC20_4_39</t>
  </si>
  <si>
    <t>MIDOC20_4_40</t>
  </si>
  <si>
    <t>MIDOC20_4_41</t>
  </si>
  <si>
    <t>MIDOC20_4_43</t>
  </si>
  <si>
    <t>MIDOC20_6_42</t>
  </si>
  <si>
    <t>MIDOC20_6_01</t>
  </si>
  <si>
    <t>MIDOC20_6_02</t>
  </si>
  <si>
    <t>MIDOC20_6_03</t>
  </si>
  <si>
    <t>MIDOC20_6_04</t>
  </si>
  <si>
    <t>MIDOC20_6_05</t>
  </si>
  <si>
    <t>MIDOC20_6_06</t>
  </si>
  <si>
    <t>MIDOC20_6_07</t>
  </si>
  <si>
    <t>MIDOC20_6_08</t>
  </si>
  <si>
    <t>MIDOC20_6_09</t>
  </si>
  <si>
    <t>MIDOC20_6_10</t>
  </si>
  <si>
    <t>MIDOC20_6_11</t>
  </si>
  <si>
    <t>MIDOC20_6_12</t>
  </si>
  <si>
    <t>MIDOC20_6_13</t>
  </si>
  <si>
    <t>MIDOC20_6_14</t>
  </si>
  <si>
    <t>MIDOC20_6_15</t>
  </si>
  <si>
    <t>MIDOC20_6_16</t>
  </si>
  <si>
    <t>MIDOC20_6_17</t>
  </si>
  <si>
    <t>MIDOC20_6_18</t>
  </si>
  <si>
    <t>MIDOC20_6_19</t>
  </si>
  <si>
    <t>MIDOC20_6_20</t>
  </si>
  <si>
    <t>MIDOC20_6_21</t>
  </si>
  <si>
    <t>MIDOC20_6_22</t>
  </si>
  <si>
    <t>MIDOC20_6_31</t>
  </si>
  <si>
    <t>MIDOC20_6_32</t>
  </si>
  <si>
    <t>MIDOC20_6_33</t>
  </si>
  <si>
    <t>MIDOC20_6_35</t>
  </si>
  <si>
    <t>MIDOC20_6_34</t>
  </si>
  <si>
    <t>MIDOC20_6_36</t>
  </si>
  <si>
    <t>MIDOC20_6_DISCARDS</t>
  </si>
  <si>
    <t>MIDOC20_6_26</t>
  </si>
  <si>
    <t>MIDOC20_6_27</t>
  </si>
  <si>
    <t>MIDOC20_6_28</t>
  </si>
  <si>
    <t>MIDOC20_6_29</t>
  </si>
  <si>
    <t>MIDOC20_6_30</t>
  </si>
  <si>
    <t>MIDOC20_6_51</t>
  </si>
  <si>
    <t>MIDOC20_6_24</t>
  </si>
  <si>
    <t>MIDOC20_6_25</t>
  </si>
  <si>
    <t>MIDOC20_6_23</t>
  </si>
  <si>
    <t>MIDOC20_6_43</t>
  </si>
  <si>
    <t>MIDOC20_6_44</t>
  </si>
  <si>
    <t>MIDOC20_6_45</t>
  </si>
  <si>
    <t>MIDOC20_6_46</t>
  </si>
  <si>
    <t>MIDOC20_6_47</t>
  </si>
  <si>
    <t>MIDOC20_6_48</t>
  </si>
  <si>
    <t>MIDOC20_6_37</t>
  </si>
  <si>
    <t>MIDOC20_6_38</t>
  </si>
  <si>
    <t>MIDOC20_6_39</t>
  </si>
  <si>
    <t>MIDOC20_6_40</t>
  </si>
  <si>
    <t>MIDOC20_6_41</t>
  </si>
  <si>
    <t>MIDOC20_6_49</t>
  </si>
  <si>
    <t>MIDOC20_6_50</t>
  </si>
  <si>
    <t>MIDOC20_6_52</t>
  </si>
  <si>
    <t>MIDOC20_6_53</t>
  </si>
  <si>
    <t>MIDOC20_6_54</t>
  </si>
  <si>
    <t>MIDOC20_1_01</t>
  </si>
  <si>
    <t>MIDOC20_1_DISCARDS</t>
  </si>
  <si>
    <t>MIDOC20_1_no.ID</t>
  </si>
  <si>
    <t>MIDOC21_2_30</t>
  </si>
  <si>
    <t>MIDOC21_2_01</t>
  </si>
  <si>
    <t>MIDOC21_2_02</t>
  </si>
  <si>
    <t>MIDOC21_2_03</t>
  </si>
  <si>
    <t>MIDOC21_2_04</t>
  </si>
  <si>
    <t>MIDOC21_2_05</t>
  </si>
  <si>
    <t>MIDOC21_2_06</t>
  </si>
  <si>
    <t>MIDOC21_2_07</t>
  </si>
  <si>
    <t>MIDOC21_2_19</t>
  </si>
  <si>
    <t>MIDOC21_2_20</t>
  </si>
  <si>
    <t>MIDOC21_2_21</t>
  </si>
  <si>
    <t>MIDOC21_2_16</t>
  </si>
  <si>
    <t>MIDOC21_2_17</t>
  </si>
  <si>
    <t>MIDOC21_2_18</t>
  </si>
  <si>
    <t>MIDOC21_2_22</t>
  </si>
  <si>
    <t>MIDOC21_2_29</t>
  </si>
  <si>
    <t>MIDOC21_2_10</t>
  </si>
  <si>
    <t>MIDOC21_2_09</t>
  </si>
  <si>
    <t>MIDOC21_2_11</t>
  </si>
  <si>
    <t>MIDOC21_2_12</t>
  </si>
  <si>
    <t>MIDOC21_2_08</t>
  </si>
  <si>
    <t>MIDOC21_2_14</t>
  </si>
  <si>
    <t>MIDOC21_2_15</t>
  </si>
  <si>
    <t>MIDOC21_2_13</t>
  </si>
  <si>
    <t>MIDOC21_2_28</t>
  </si>
  <si>
    <t>MIDOC21_2_27</t>
  </si>
  <si>
    <t>MIDOC21_2_26</t>
  </si>
  <si>
    <t>MIDOC21_2_23</t>
  </si>
  <si>
    <t>MIDOC21_2_24</t>
  </si>
  <si>
    <t>MIDOC21_2_25</t>
  </si>
  <si>
    <t>MIDOC21_2_DISCARDS</t>
  </si>
  <si>
    <t>MIDOC21_3_01</t>
  </si>
  <si>
    <t>MIDOC21_3_02</t>
  </si>
  <si>
    <t>MIDOC21_3_03</t>
  </si>
  <si>
    <t>MIDOC21_3_04</t>
  </si>
  <si>
    <t>MIDOC21_3_05</t>
  </si>
  <si>
    <t>MIDOC21_3_06</t>
  </si>
  <si>
    <t>MIDOC21_3_07</t>
  </si>
  <si>
    <t>MIDOC21_3_08</t>
  </si>
  <si>
    <t>MIDOC21_3_DISCARDS</t>
  </si>
  <si>
    <t>MIDOC21_3_21</t>
  </si>
  <si>
    <t>MIDOC21_3_09</t>
  </si>
  <si>
    <t>MIDOC21_3_10</t>
  </si>
  <si>
    <t>MIDOC21_3_11</t>
  </si>
  <si>
    <t>MIDOC21_3_12</t>
  </si>
  <si>
    <t>MIDOC21_3_13</t>
  </si>
  <si>
    <t>MIDOC21_3_14</t>
  </si>
  <si>
    <t>MIDOC21_3_15</t>
  </si>
  <si>
    <t>MIDOC21_3_19</t>
  </si>
  <si>
    <t>MIDOC21_3_18</t>
  </si>
  <si>
    <t>MIDOC21_3_17</t>
  </si>
  <si>
    <t>MIDOC21_3_16</t>
  </si>
  <si>
    <t>MIDOC21_3_20</t>
  </si>
  <si>
    <t>MIDOC21_3_22</t>
  </si>
  <si>
    <t>MIDOC21_3_23</t>
  </si>
  <si>
    <t>MIDOC21_3_24</t>
  </si>
  <si>
    <t>MIDOC21_3_25</t>
  </si>
  <si>
    <t>MIDOC21_3_26</t>
  </si>
  <si>
    <t>MIDOC21_3_27</t>
  </si>
  <si>
    <t>MIDOC21_3_32</t>
  </si>
  <si>
    <t>MIDOC21_3_31</t>
  </si>
  <si>
    <t>MIDOC21_3_33</t>
  </si>
  <si>
    <t>MIDOC21_3_30</t>
  </si>
  <si>
    <t>MIDOC21_3_28</t>
  </si>
  <si>
    <t>MIDOC21_3_29</t>
  </si>
  <si>
    <t>MIDOC21_3_35</t>
  </si>
  <si>
    <t>MIDOC21_3_34</t>
  </si>
  <si>
    <t>MIDOC21_3_37</t>
  </si>
  <si>
    <t>MIDOC21_3_38</t>
  </si>
  <si>
    <t>MIDOC21_3_39</t>
  </si>
  <si>
    <t>MIDOC21_3_40</t>
  </si>
  <si>
    <t>MIDOC21_3_42</t>
  </si>
  <si>
    <t>MIDOC21_3_43</t>
  </si>
  <si>
    <t>MIDOC21_3_44</t>
  </si>
  <si>
    <t>MIDOC21_3_45</t>
  </si>
  <si>
    <t>MIDOC21_3_46</t>
  </si>
  <si>
    <t>MIDOC21_3_41</t>
  </si>
  <si>
    <t>MIDOC21_3_36</t>
  </si>
  <si>
    <t>MIDOC21_4_01</t>
  </si>
  <si>
    <t>MIDOC21_4_08</t>
  </si>
  <si>
    <t>MIDOC21_4_09</t>
  </si>
  <si>
    <t>MIDOC21_4_10</t>
  </si>
  <si>
    <t>MIDOC21_4_11</t>
  </si>
  <si>
    <t>MIDOC21_4_12</t>
  </si>
  <si>
    <t>MIDOC21_4_13</t>
  </si>
  <si>
    <t>MIDOC21_4_19</t>
  </si>
  <si>
    <t>MIDOC21_4_14</t>
  </si>
  <si>
    <t>MIDOC21_4_15</t>
  </si>
  <si>
    <t>MIDOC21_4_16</t>
  </si>
  <si>
    <t>MIDOC21_4_17</t>
  </si>
  <si>
    <t>MIDOC21_4_18</t>
  </si>
  <si>
    <t>MIDOC21_4_20</t>
  </si>
  <si>
    <t>MIDOC21_4_21</t>
  </si>
  <si>
    <t>MIDOC21_4_22</t>
  </si>
  <si>
    <t>MIDOC21_4_24</t>
  </si>
  <si>
    <t>MIDOC21_4_23</t>
  </si>
  <si>
    <t>MIDOC21_4_25</t>
  </si>
  <si>
    <t>MIDOC21_4_26</t>
  </si>
  <si>
    <t>MIDOC21_4_DISCARDS</t>
  </si>
  <si>
    <t>MIDOC21_4_05</t>
  </si>
  <si>
    <t>MIDOC21_4_07</t>
  </si>
  <si>
    <t>MIDOC21_4_06</t>
  </si>
  <si>
    <t>MIDOC21_4_03</t>
  </si>
  <si>
    <t>MIDOC21_4_02</t>
  </si>
  <si>
    <t>MIDOC21_4_04</t>
  </si>
  <si>
    <t>MIDOC21_6_01</t>
  </si>
  <si>
    <t>MIDOC21_6_12</t>
  </si>
  <si>
    <t>MIDOC21_6_07</t>
  </si>
  <si>
    <t>MIDOC21_6_08</t>
  </si>
  <si>
    <t>MIDOC21_6_09</t>
  </si>
  <si>
    <t>MIDOC21_6_10</t>
  </si>
  <si>
    <t>MIDOC21_6_11</t>
  </si>
  <si>
    <t>MIDOC21_6_13</t>
  </si>
  <si>
    <t>MIDOC21_6_14</t>
  </si>
  <si>
    <t>MIDOC21_6_15</t>
  </si>
  <si>
    <t>MIDOC21_6_04</t>
  </si>
  <si>
    <t>MIDOC21_6_05</t>
  </si>
  <si>
    <t>MIDOC21_6_06</t>
  </si>
  <si>
    <t>MIDOC21_6_03</t>
  </si>
  <si>
    <t>MIDOC21_6_02</t>
  </si>
  <si>
    <t>MIDOC21_5_99</t>
  </si>
  <si>
    <t>MIDOC21_6_16</t>
  </si>
  <si>
    <t>MIDOC21_6_17</t>
  </si>
  <si>
    <t>MIDOC21_6_18</t>
  </si>
  <si>
    <t>MIDOC21_6_19</t>
  </si>
  <si>
    <t>MIDOC21_6_20</t>
  </si>
  <si>
    <t>MIDOC21_6_21</t>
  </si>
  <si>
    <t>MIDOC21_6_22</t>
  </si>
  <si>
    <t>MIDOC21_6_23</t>
  </si>
  <si>
    <t>MIDOC21_6_24</t>
  </si>
  <si>
    <t>MIDOC21_6_25</t>
  </si>
  <si>
    <t>MIDOC21_6_26</t>
  </si>
  <si>
    <t>MIDOC21_6_27</t>
  </si>
  <si>
    <t>MIDOC21_6_28</t>
  </si>
  <si>
    <t>MIDOC21_6_29</t>
  </si>
  <si>
    <t>MIDOC21_6_30</t>
  </si>
  <si>
    <t>MIDOC21_6_31</t>
  </si>
  <si>
    <t>MIDOC21_6_32</t>
  </si>
  <si>
    <t>MIDOC21_6_DISCARDS</t>
  </si>
  <si>
    <t>MIDOC21_6_34</t>
  </si>
  <si>
    <t>MIDOC21_6_33</t>
  </si>
  <si>
    <t>MIDOC21_6_35</t>
  </si>
  <si>
    <t>MIDOC21_6_36</t>
  </si>
  <si>
    <t>MIDOC21_6_37</t>
  </si>
  <si>
    <t>MIDOC21_6_41</t>
  </si>
  <si>
    <t>MIDOC21_6_42</t>
  </si>
  <si>
    <t>MIDOC21_6_38</t>
  </si>
  <si>
    <t>MIDOC21_6_39</t>
  </si>
  <si>
    <t>MIDOC21_6_40</t>
  </si>
  <si>
    <t>MIDOC21_6_43</t>
  </si>
  <si>
    <t>MIDOC21_6_44</t>
  </si>
  <si>
    <t>MIDOC21_5_01</t>
  </si>
  <si>
    <t>MIDOC21_6_45</t>
  </si>
  <si>
    <t>MIDOC21_6_46</t>
  </si>
  <si>
    <t>MIDOC21_6_48</t>
  </si>
  <si>
    <t>MIDOC21_6_49</t>
  </si>
  <si>
    <t>MIDOC21_6_52</t>
  </si>
  <si>
    <t>MIDOC21_6_50</t>
  </si>
  <si>
    <t>MIDOC21_6_47</t>
  </si>
  <si>
    <t>MIDOC21_6_51</t>
  </si>
  <si>
    <t>MIDOC21_1_01</t>
  </si>
  <si>
    <t>MIDOC21_1_02</t>
  </si>
  <si>
    <t>MIDOC21_1_03</t>
  </si>
  <si>
    <t>MIDOC21_1_09</t>
  </si>
  <si>
    <t>MIDOC21_1_07</t>
  </si>
  <si>
    <t>MIDOC21_1_DISCARDS</t>
  </si>
  <si>
    <t>MIDOC21_1_06</t>
  </si>
  <si>
    <t>MIDOC21_1_05</t>
  </si>
  <si>
    <t>MIDOC21_1_08</t>
  </si>
  <si>
    <t>MIDOC21_1_04</t>
  </si>
  <si>
    <t>MIDOC21_front.of.net_DISCARDS</t>
  </si>
  <si>
    <t>MIDOC22_2_01</t>
  </si>
  <si>
    <t>MIDOC22_2_02</t>
  </si>
  <si>
    <t>MIDOC22_2_03</t>
  </si>
  <si>
    <t>MIDOC22_2_04</t>
  </si>
  <si>
    <t>MIDOC22_2_05</t>
  </si>
  <si>
    <t>MIDOC22_2_DISCARDS</t>
  </si>
  <si>
    <t>MIDOC22_2_06</t>
  </si>
  <si>
    <t>MIDOC22_2_07</t>
  </si>
  <si>
    <t>MIDOC22_2_08</t>
  </si>
  <si>
    <t>MIDOC22_2_09</t>
  </si>
  <si>
    <t>MIDOC22_2_10</t>
  </si>
  <si>
    <t>MIDOC22_2_11</t>
  </si>
  <si>
    <t>MIDOC22_2_15</t>
  </si>
  <si>
    <t>MIDOC22_2_16</t>
  </si>
  <si>
    <t>MIDOC22_2_17</t>
  </si>
  <si>
    <t>MIDOC22_2_18</t>
  </si>
  <si>
    <t>MIDOC22_2_13</t>
  </si>
  <si>
    <t>MIDOC22_2_14</t>
  </si>
  <si>
    <t>MIDOC22_2_12</t>
  </si>
  <si>
    <t>MIDOC22_front.of.net_front.of.net</t>
  </si>
  <si>
    <t>MIDOC22_3_01</t>
  </si>
  <si>
    <t>MIDOC22_3_02</t>
  </si>
  <si>
    <t>MIDOC22_3_03</t>
  </si>
  <si>
    <t>MIDOC22_3_04</t>
  </si>
  <si>
    <t>MIDOC22_3_05</t>
  </si>
  <si>
    <t>MIDOC22_3_06</t>
  </si>
  <si>
    <t>MIDOC22_3_07</t>
  </si>
  <si>
    <t>MIDOC22_3_DISCARDS</t>
  </si>
  <si>
    <t>MIDOC22_3_08</t>
  </si>
  <si>
    <t>MIDOC22_3_09</t>
  </si>
  <si>
    <t>MIDOC22_3_10</t>
  </si>
  <si>
    <t>MIDOC22_3_11</t>
  </si>
  <si>
    <t>MIDOC22_3_12</t>
  </si>
  <si>
    <t>MIDOC22_3_13</t>
  </si>
  <si>
    <t>MIDOC22_3_14</t>
  </si>
  <si>
    <t>MIDOC22_3_15</t>
  </si>
  <si>
    <t>MIDOC22_3_16</t>
  </si>
  <si>
    <t>MIDOC22_3_17</t>
  </si>
  <si>
    <t>MIDOC22_3_18</t>
  </si>
  <si>
    <t>MIDOC22_3_19</t>
  </si>
  <si>
    <t>MIDOC22_3_20</t>
  </si>
  <si>
    <t>MIDOC22_3_21</t>
  </si>
  <si>
    <t>MIDOC22_3_23</t>
  </si>
  <si>
    <t>MIDOC22_3_24</t>
  </si>
  <si>
    <t>MIDOC22_3_25</t>
  </si>
  <si>
    <t>MIDOC22_3_26</t>
  </si>
  <si>
    <t>MIDOC22_3_27</t>
  </si>
  <si>
    <t>MIDOC22_3_22</t>
  </si>
  <si>
    <t>MIDOC22_3_28</t>
  </si>
  <si>
    <t>MIDOC22_3_29</t>
  </si>
  <si>
    <t>MIDOC22_3_30</t>
  </si>
  <si>
    <t>MIDOC22_3_31</t>
  </si>
  <si>
    <t>MIDOC22_3_33</t>
  </si>
  <si>
    <t>MIDOC22_3_46</t>
  </si>
  <si>
    <t>MIDOC22_3_32</t>
  </si>
  <si>
    <t>MIDOC22_3_34</t>
  </si>
  <si>
    <t>MIDOC22_3_35</t>
  </si>
  <si>
    <t>MIDOC22_3_37</t>
  </si>
  <si>
    <t>MIDOC22_3_36</t>
  </si>
  <si>
    <t>MIDOC22_3_38</t>
  </si>
  <si>
    <t>MIDOC22_4_01</t>
  </si>
  <si>
    <t>MIDOC22_4_02</t>
  </si>
  <si>
    <t>MIDOC22_4_03</t>
  </si>
  <si>
    <t>MIDOC22_4_04</t>
  </si>
  <si>
    <t>MIDOC22_4_05</t>
  </si>
  <si>
    <t>MIDOC22_4_06</t>
  </si>
  <si>
    <t>MIDOC22_4_07</t>
  </si>
  <si>
    <t>MIDOC22_4_DISCARDS</t>
  </si>
  <si>
    <t>MIDOC22_4_08</t>
  </si>
  <si>
    <t>MIDOC22_4_09</t>
  </si>
  <si>
    <t>MIDOC22_4_13</t>
  </si>
  <si>
    <t>MIDOC22_4_14</t>
  </si>
  <si>
    <t>MIDOC22_4_10</t>
  </si>
  <si>
    <t>MIDOC22_4_11</t>
  </si>
  <si>
    <t>MIDOC22_4_12</t>
  </si>
  <si>
    <t>MIDOC22_4_21</t>
  </si>
  <si>
    <t>MIDOC22_4_15</t>
  </si>
  <si>
    <t>MIDOC22_4_16</t>
  </si>
  <si>
    <t>MIDOC22_4_20</t>
  </si>
  <si>
    <t>MIDOC22_4_17</t>
  </si>
  <si>
    <t>MIDOC22_4_18</t>
  </si>
  <si>
    <t>MIDOC22_4_19</t>
  </si>
  <si>
    <t>MIDOC22_4_25</t>
  </si>
  <si>
    <t>MIDOC22_4_26</t>
  </si>
  <si>
    <t>MIDOC22_4_24</t>
  </si>
  <si>
    <t>MIDOC22_4_23</t>
  </si>
  <si>
    <t>MIDOC22_4_22</t>
  </si>
  <si>
    <t>MIDOC22_5_01</t>
  </si>
  <si>
    <t>MIDOC22_5_02</t>
  </si>
  <si>
    <t>MIDOC22_5_03</t>
  </si>
  <si>
    <t>MIDOC22_5_04</t>
  </si>
  <si>
    <t>MIDOC22_5_05</t>
  </si>
  <si>
    <t>MIDOC22_5_06</t>
  </si>
  <si>
    <t>MIDOC22_5_07</t>
  </si>
  <si>
    <t>MIDOC22_5_08</t>
  </si>
  <si>
    <t>MIDOC22_5_09</t>
  </si>
  <si>
    <t>MIDOC22_5_10</t>
  </si>
  <si>
    <t>MIDOC22_5_11</t>
  </si>
  <si>
    <t>MIDOC22_5_13</t>
  </si>
  <si>
    <t>MIDOC22_5_12</t>
  </si>
  <si>
    <t>MIDOC22_5_14</t>
  </si>
  <si>
    <t>MIDOC22_5_15</t>
  </si>
  <si>
    <t>MIDOC22_5_17</t>
  </si>
  <si>
    <t>MIDOC22_5_16</t>
  </si>
  <si>
    <t>MIDOC22_5_18</t>
  </si>
  <si>
    <t>MIDOC22_5_19</t>
  </si>
  <si>
    <t>MIDOC22_5_20</t>
  </si>
  <si>
    <t>MIDOC22_5_21</t>
  </si>
  <si>
    <t>MIDOC22_5_22</t>
  </si>
  <si>
    <t>MIDOC22_6_01</t>
  </si>
  <si>
    <t>MIDOC22_6_13</t>
  </si>
  <si>
    <t>MIDOC22_6_12</t>
  </si>
  <si>
    <t>MIDOC22_6_11</t>
  </si>
  <si>
    <t>MIDOC22_6_15</t>
  </si>
  <si>
    <t>MIDOC22_6_14</t>
  </si>
  <si>
    <t>MIDOC22_6_30</t>
  </si>
  <si>
    <t>MIDOC22_6_29</t>
  </si>
  <si>
    <t>MIDOC22_6_04</t>
  </si>
  <si>
    <t>MIDOC22_6_05</t>
  </si>
  <si>
    <t>MIDOC22_6_03</t>
  </si>
  <si>
    <t>MIDOC22_6_02</t>
  </si>
  <si>
    <t>MIDOC22_6_06</t>
  </si>
  <si>
    <t>MIDOC22_6_07</t>
  </si>
  <si>
    <t>MIDOC22_6_24</t>
  </si>
  <si>
    <t>MIDOC22_6_23</t>
  </si>
  <si>
    <t>MIDOC22_6_26</t>
  </si>
  <si>
    <t>MIDOC22_6_27</t>
  </si>
  <si>
    <t>MIDOC22_6_25</t>
  </si>
  <si>
    <t>MIDOC22_6_28</t>
  </si>
  <si>
    <t>MIDOC22_6_08</t>
  </si>
  <si>
    <t>MIDOC22_6_09</t>
  </si>
  <si>
    <t>MIDOC22_6_10</t>
  </si>
  <si>
    <t>MIDOC22_6_16</t>
  </si>
  <si>
    <t>MIDOC22_6_17</t>
  </si>
  <si>
    <t>MIDOC22_6_18</t>
  </si>
  <si>
    <t>MIDOC22_6_19</t>
  </si>
  <si>
    <t>MIDOC22_6_20</t>
  </si>
  <si>
    <t>MIDOC22_6_21</t>
  </si>
  <si>
    <t>MIDOC22_6_22</t>
  </si>
  <si>
    <t>MIDOC22_6_DISCARDS</t>
  </si>
  <si>
    <t>MIDOC22_6_38</t>
  </si>
  <si>
    <t>MIDOC22_6_39</t>
  </si>
  <si>
    <t>MIDOC22_6_37</t>
  </si>
  <si>
    <t>MIDOC22_6_46</t>
  </si>
  <si>
    <t>MIDOC22_6_31</t>
  </si>
  <si>
    <t>MIDOC22_6_32</t>
  </si>
  <si>
    <t>MIDOC22_6_33</t>
  </si>
  <si>
    <t>MIDOC22_6_34</t>
  </si>
  <si>
    <t>MIDOC22_6_35</t>
  </si>
  <si>
    <t>MIDOC22_6_36</t>
  </si>
  <si>
    <t>MIDOC22_6_40</t>
  </si>
  <si>
    <t>MIDOC22_6_41</t>
  </si>
  <si>
    <t>MIDOC22_6_42</t>
  </si>
  <si>
    <t>MIDOC22_6_43</t>
  </si>
  <si>
    <t>MIDOC22_6_44</t>
  </si>
  <si>
    <t>MIDOC22_6_45</t>
  </si>
  <si>
    <t>MIDOC22_1_BAG</t>
  </si>
  <si>
    <t>MIDOC22_1_02</t>
  </si>
  <si>
    <t>MIDOC22_1_03</t>
  </si>
  <si>
    <t>MIDOC22_1_01</t>
  </si>
  <si>
    <t>MIDOC23_2_01</t>
  </si>
  <si>
    <t>MIDOC23_2_02</t>
  </si>
  <si>
    <t>MIDOC23_2_03</t>
  </si>
  <si>
    <t>MIDOC23_2_04</t>
  </si>
  <si>
    <t>MIDOC23_2_10</t>
  </si>
  <si>
    <t>MIDOC23_2_11</t>
  </si>
  <si>
    <t>MIDOC23_2_12</t>
  </si>
  <si>
    <t>MIDOC23_2_14</t>
  </si>
  <si>
    <t>MIDOC23_2_15</t>
  </si>
  <si>
    <t>MIDOC23_2_16</t>
  </si>
  <si>
    <t>MIDOC23_2_13</t>
  </si>
  <si>
    <t>MIDOC23_2_17</t>
  </si>
  <si>
    <t>MIDOC23_2_DISCARDS</t>
  </si>
  <si>
    <t>MIDOC23_2_18</t>
  </si>
  <si>
    <t>MIDOC23_2_19</t>
  </si>
  <si>
    <t>MIDOC23_2_05</t>
  </si>
  <si>
    <t>MIDOC23_2_06</t>
  </si>
  <si>
    <t>MIDOC23_2_07</t>
  </si>
  <si>
    <t>MIDOC23_2_08</t>
  </si>
  <si>
    <t>MIDOC23_2_09</t>
  </si>
  <si>
    <t>MIDOC23_2_20</t>
  </si>
  <si>
    <t>MIDOC23_2_21</t>
  </si>
  <si>
    <t>MIDOC23_2_25</t>
  </si>
  <si>
    <t>MIDOC23_2_22</t>
  </si>
  <si>
    <t>MIDOC23_2_23</t>
  </si>
  <si>
    <t>MIDOC23_2_24</t>
  </si>
  <si>
    <t>MIDOC23_2_32</t>
  </si>
  <si>
    <t>MIDOC23_2_29</t>
  </si>
  <si>
    <t>MIDOC23_2_26</t>
  </si>
  <si>
    <t>MIDOC23_2_28</t>
  </si>
  <si>
    <t>MIDOC23_2_27</t>
  </si>
  <si>
    <t>MIDOC23_2_33</t>
  </si>
  <si>
    <t>MIDOC23_2_34</t>
  </si>
  <si>
    <t>MIDOC23_2_30</t>
  </si>
  <si>
    <t>MIDOC23_2_31</t>
  </si>
  <si>
    <t>MIDOC23_2_35</t>
  </si>
  <si>
    <t>MIDOC23_2_36</t>
  </si>
  <si>
    <t>MIDOC23_2_37</t>
  </si>
  <si>
    <t>MIDOC23_2_38</t>
  </si>
  <si>
    <t>MIDOC23_3_07</t>
  </si>
  <si>
    <t>MIDOC23_3_01</t>
  </si>
  <si>
    <t>MIDOC23_3_02</t>
  </si>
  <si>
    <t>MIDOC23_3_03</t>
  </si>
  <si>
    <t>MIDOC23_3_04</t>
  </si>
  <si>
    <t>MIDOC23_3_05</t>
  </si>
  <si>
    <t>MIDOC23_3_08</t>
  </si>
  <si>
    <t>MIDOC23_3_09</t>
  </si>
  <si>
    <t>MIDOC23_3_10</t>
  </si>
  <si>
    <t>MIDOC23_3_11</t>
  </si>
  <si>
    <t>MIDOC23_3_12</t>
  </si>
  <si>
    <t>MIDOC23_3_13</t>
  </si>
  <si>
    <t>MIDOC23_3_06</t>
  </si>
  <si>
    <t>MIDOC23_3_14</t>
  </si>
  <si>
    <t>MIDOC23_3_DISCARDS</t>
  </si>
  <si>
    <t>MIDOC23_3_36</t>
  </si>
  <si>
    <t>MIDOC23_3_34</t>
  </si>
  <si>
    <t>MIDOC23_3_35</t>
  </si>
  <si>
    <t>MIDOC23_3_38</t>
  </si>
  <si>
    <t>MIDOC23_3_15</t>
  </si>
  <si>
    <t>MIDOC23_3_16</t>
  </si>
  <si>
    <t>MIDOC23_3_17</t>
  </si>
  <si>
    <t>MIDOC23_3_18</t>
  </si>
  <si>
    <t>MIDOC23_3_19</t>
  </si>
  <si>
    <t>MIDOC23_3_20</t>
  </si>
  <si>
    <t>MIDOC23_3_21</t>
  </si>
  <si>
    <t>MIDOC23_3_22</t>
  </si>
  <si>
    <t>MIDOC23_3_33</t>
  </si>
  <si>
    <t>MIDOC23_3_23</t>
  </si>
  <si>
    <t>MIDOC23_3_24</t>
  </si>
  <si>
    <t>MIDOC23_3_32</t>
  </si>
  <si>
    <t>MIDOC23_3_29</t>
  </si>
  <si>
    <t>MIDOC23_3_26</t>
  </si>
  <si>
    <t>MIDOC23_3_27</t>
  </si>
  <si>
    <t>MIDOC23_3_25</t>
  </si>
  <si>
    <t>MIDOC23_3_28</t>
  </si>
  <si>
    <t>MIDOC23_3_30</t>
  </si>
  <si>
    <t>MIDOC23_3_31</t>
  </si>
  <si>
    <t>MIDOC23_4_01</t>
  </si>
  <si>
    <t>MIDOC23_4_02</t>
  </si>
  <si>
    <t>MIDOC23_4_03</t>
  </si>
  <si>
    <t>MIDOC23_4_04</t>
  </si>
  <si>
    <t>MIDOC23_4_05</t>
  </si>
  <si>
    <t>MIDOC23_4_06</t>
  </si>
  <si>
    <t>MIDOC23_4_07</t>
  </si>
  <si>
    <t>MIDOC23_4_DISCARDS</t>
  </si>
  <si>
    <t>MIDOC23_4_18</t>
  </si>
  <si>
    <t>MIDOC23_4_19</t>
  </si>
  <si>
    <t>MIDOC23_4_20</t>
  </si>
  <si>
    <t>MIDOC23_4_21</t>
  </si>
  <si>
    <t>MIDOC23_4_22</t>
  </si>
  <si>
    <t>MIDOC23_4_23</t>
  </si>
  <si>
    <t>MIDOC23_4_24</t>
  </si>
  <si>
    <t>MIDOC23_4_08</t>
  </si>
  <si>
    <t>MIDOC23_4_09</t>
  </si>
  <si>
    <t>MIDOC23_4_10</t>
  </si>
  <si>
    <t>MIDOC23_4_11</t>
  </si>
  <si>
    <t>MIDOC23_4_12</t>
  </si>
  <si>
    <t>MIDOC23_4_13</t>
  </si>
  <si>
    <t>MIDOC23_4_15</t>
  </si>
  <si>
    <t>MIDOC23_4_16</t>
  </si>
  <si>
    <t>MIDOC23_4_14</t>
  </si>
  <si>
    <t>MIDOC23_4_17</t>
  </si>
  <si>
    <t>MIDOC23_4_25</t>
  </si>
  <si>
    <t>MIDOC23_4_26</t>
  </si>
  <si>
    <t>MIDOC23_4_27</t>
  </si>
  <si>
    <t>MIDOC23_4_31</t>
  </si>
  <si>
    <t>MIDOC23_4_32</t>
  </si>
  <si>
    <t>MIDOC23_4_33</t>
  </si>
  <si>
    <t>MIDOC23_4_34</t>
  </si>
  <si>
    <t>MIDOC23_4_37</t>
  </si>
  <si>
    <t>MIDOC23_4_38</t>
  </si>
  <si>
    <t>MIDOC23_4_39</t>
  </si>
  <si>
    <t>MIDOC23_4_40</t>
  </si>
  <si>
    <t>MIDOC23_4_41</t>
  </si>
  <si>
    <t>MIDOC23_4_43</t>
  </si>
  <si>
    <t>MIDOC23_4_44</t>
  </si>
  <si>
    <t>MIDOC23_4_42</t>
  </si>
  <si>
    <t>MIDOC23_4_45</t>
  </si>
  <si>
    <t>MIDOC23_4_46</t>
  </si>
  <si>
    <t>MIDOC23_4_47</t>
  </si>
  <si>
    <t>MIDOC23_4_48</t>
  </si>
  <si>
    <t>MIDOC23_4_49</t>
  </si>
  <si>
    <t>MIDOC23_4_36</t>
  </si>
  <si>
    <t>MIDOC23_4_35</t>
  </si>
  <si>
    <t>MIDOC23_4_53</t>
  </si>
  <si>
    <t>MIDOC23_4_28</t>
  </si>
  <si>
    <t>MIDOC23_4_52</t>
  </si>
  <si>
    <t>MIDOC23_4_51</t>
  </si>
  <si>
    <t>MIDOC23_4_50</t>
  </si>
  <si>
    <t>MIDOC23_4_30</t>
  </si>
  <si>
    <t>MIDOC23_4_29</t>
  </si>
  <si>
    <t>MIDOC23_5_01</t>
  </si>
  <si>
    <t>MIDOC23_5_02</t>
  </si>
  <si>
    <t>MIDOC23_5_03</t>
  </si>
  <si>
    <t>MIDOC23_5_04</t>
  </si>
  <si>
    <t>MIDOC23_5_05</t>
  </si>
  <si>
    <t>MIDOC23_5_14</t>
  </si>
  <si>
    <t>MIDOC23_5_DISCARDS</t>
  </si>
  <si>
    <t>MIDOC23_5_06</t>
  </si>
  <si>
    <t>MIDOC23_5_07</t>
  </si>
  <si>
    <t>MIDOC23_5_08</t>
  </si>
  <si>
    <t>MIDOC23_5_09</t>
  </si>
  <si>
    <t>MIDOC23_5_10</t>
  </si>
  <si>
    <t>MIDOC23_5_11</t>
  </si>
  <si>
    <t>MIDOC23_5_12</t>
  </si>
  <si>
    <t>MIDOC23_5_13</t>
  </si>
  <si>
    <t>MIDOC23_1_DISCARDS</t>
  </si>
  <si>
    <t>MIDOC23_5_15</t>
  </si>
  <si>
    <t>MIDOC23_5_16</t>
  </si>
  <si>
    <t>MIDOC23_5_17</t>
  </si>
  <si>
    <t>MIDOC23_5_18</t>
  </si>
  <si>
    <t>MIDOC23_5_19</t>
  </si>
  <si>
    <t>MIDOC23_5_20</t>
  </si>
  <si>
    <t>MIDOC23_5_21</t>
  </si>
  <si>
    <t>MIDOC23_5_22</t>
  </si>
  <si>
    <t>MIDOC23_5_23</t>
  </si>
  <si>
    <t>MIDOC23_5_24</t>
  </si>
  <si>
    <t>MIDOC23_5_25</t>
  </si>
  <si>
    <t>MIDOC23_5_26</t>
  </si>
  <si>
    <t>MIDOC23_5_27</t>
  </si>
  <si>
    <t>MIDOC23_5_28</t>
  </si>
  <si>
    <t>MIDOC23_5_29</t>
  </si>
  <si>
    <t>MIDOC23_5_30</t>
  </si>
  <si>
    <t>MIDOC23_5_31</t>
  </si>
  <si>
    <t>MIDOC23_5_36</t>
  </si>
  <si>
    <t>MIDOC23_1_BAG</t>
  </si>
  <si>
    <t>MIDOC23_5_32</t>
  </si>
  <si>
    <t>MIDOC23_5_42</t>
  </si>
  <si>
    <t>MIDOC23_5_35</t>
  </si>
  <si>
    <t>MIDOC23_5_34</t>
  </si>
  <si>
    <t>MIDOC23_5_33</t>
  </si>
  <si>
    <t>MIDOC23_front.of.net_front.of.net</t>
  </si>
  <si>
    <t>MIDOC23_1_01</t>
  </si>
  <si>
    <t>MIDOC23_1_02</t>
  </si>
  <si>
    <t>MIDOC23_1_03</t>
  </si>
  <si>
    <t>MIDOC23_1_04</t>
  </si>
  <si>
    <t>MIDOC23_1_05</t>
  </si>
  <si>
    <t>MIDOC23_6_01</t>
  </si>
  <si>
    <t>MIDOC23_6_02</t>
  </si>
  <si>
    <t>MIDOC23_6_03</t>
  </si>
  <si>
    <t>MIDOC23_6_04</t>
  </si>
  <si>
    <t>MIDOC23_6_05</t>
  </si>
  <si>
    <t>MIDOC23_6_06</t>
  </si>
  <si>
    <t>MIDOC23_6_DISCARDS</t>
  </si>
  <si>
    <t>MIDOC23_6_07</t>
  </si>
  <si>
    <t>MIDOC23_6_08</t>
  </si>
  <si>
    <t>MIDOC23_6_09</t>
  </si>
  <si>
    <t>MIDOC23_6_10</t>
  </si>
  <si>
    <t>MIDOC23_6_11</t>
  </si>
  <si>
    <t>MIDOC23_6_12</t>
  </si>
  <si>
    <t>MIDOC23_6_13</t>
  </si>
  <si>
    <t>MIDOC23_6_14</t>
  </si>
  <si>
    <t>MIDOC23_6_15</t>
  </si>
  <si>
    <t>MIDOC23_6_16</t>
  </si>
  <si>
    <t>MIDOC23_6_17</t>
  </si>
  <si>
    <t>MIDOC23_6_18</t>
  </si>
  <si>
    <t>MIDOC23_6_19</t>
  </si>
  <si>
    <t>MIDOC23_6_20</t>
  </si>
  <si>
    <t>MIDOC23_6_21</t>
  </si>
  <si>
    <t>MIDOC23_6_22</t>
  </si>
  <si>
    <t>MIDOC23_6_23</t>
  </si>
  <si>
    <t>MIDOC23_6_24</t>
  </si>
  <si>
    <t>MIDOC23_6_25</t>
  </si>
  <si>
    <t>MIDOC23_6_32</t>
  </si>
  <si>
    <t>MIDOC23_6_26</t>
  </si>
  <si>
    <t>MIDOC23_6_27</t>
  </si>
  <si>
    <t>MIDOC23_6_28</t>
  </si>
  <si>
    <t>MIDOC23_6_29</t>
  </si>
  <si>
    <t>MIDOC23_6_30</t>
  </si>
  <si>
    <t>MIDOC23_6_31</t>
  </si>
  <si>
    <t>MIDOC23_6_54</t>
  </si>
  <si>
    <t>MIDOC23_6_53</t>
  </si>
  <si>
    <t>MIDOC23_6_58</t>
  </si>
  <si>
    <t>MIDOC23_6_57</t>
  </si>
  <si>
    <t>MIDOC23_6_60</t>
  </si>
  <si>
    <t>MIDOC23_6_56</t>
  </si>
  <si>
    <t>MIDOC23_6_55</t>
  </si>
  <si>
    <t>MIDOC23_6_43</t>
  </si>
  <si>
    <t>MIDOC23_6_44</t>
  </si>
  <si>
    <t>MIDOC23_6_45</t>
  </si>
  <si>
    <t>MIDOC23_6_46</t>
  </si>
  <si>
    <t>MIDOC23_6_35</t>
  </si>
  <si>
    <t>MIDOC23_6_34</t>
  </si>
  <si>
    <t>MIDOC23_6_33</t>
  </si>
  <si>
    <t>MIDOC23_6_40</t>
  </si>
  <si>
    <t>MIDOC23_6_41</t>
  </si>
  <si>
    <t>MIDOC23_6_47</t>
  </si>
  <si>
    <t>MIDOC23_6_48</t>
  </si>
  <si>
    <t>MIDOC23_6_49</t>
  </si>
  <si>
    <t>MIDOC23_6_50</t>
  </si>
  <si>
    <t>MIDOC23_6_51</t>
  </si>
  <si>
    <t>MIDOC23_6_52</t>
  </si>
  <si>
    <t>MIDOC23_6_37</t>
  </si>
  <si>
    <t>MIDOC23_6_38</t>
  </si>
  <si>
    <t>MIDOC23_6_39</t>
  </si>
  <si>
    <t>MIDOC23_6_42</t>
  </si>
  <si>
    <t>MIDOC23_6_36</t>
  </si>
  <si>
    <t xml:space="preserve">    MIDOC19_1_01</t>
  </si>
  <si>
    <t xml:space="preserve">    MIDOC19_2_24</t>
  </si>
  <si>
    <t xml:space="preserve">    MIDOC19_2_25</t>
  </si>
  <si>
    <t xml:space="preserve">    MIDOC19_2_26</t>
  </si>
  <si>
    <t xml:space="preserve">    MIDOC19_2_27</t>
  </si>
  <si>
    <t xml:space="preserve">    MIDOC19_2_28</t>
  </si>
  <si>
    <t xml:space="preserve">    MIDOC19_2_29</t>
  </si>
  <si>
    <t xml:space="preserve">    MIDOC19_2_30</t>
  </si>
  <si>
    <t xml:space="preserve"> MIDOC20_1_no.ID</t>
  </si>
  <si>
    <t xml:space="preserve">    MIDOC20_6_42</t>
  </si>
  <si>
    <t xml:space="preserve">    MIDOC21_1_04</t>
  </si>
  <si>
    <t xml:space="preserve">    MIDOC21_1_05</t>
  </si>
  <si>
    <t xml:space="preserve">    MIDOC21_1_08</t>
  </si>
  <si>
    <t xml:space="preserve">    MIDOC21_6_02</t>
  </si>
  <si>
    <t xml:space="preserve">    MIDOC21_6_03</t>
  </si>
  <si>
    <t xml:space="preserve">    MIDOC21_6_04</t>
  </si>
  <si>
    <t xml:space="preserve">    MIDOC21_6_05</t>
  </si>
  <si>
    <t xml:space="preserve">    MIDOC21_6_06</t>
  </si>
  <si>
    <t xml:space="preserve">    MIDOC21_6_07</t>
  </si>
  <si>
    <t xml:space="preserve">    MIDOC21_6_08</t>
  </si>
  <si>
    <t xml:space="preserve">    MIDOC21_6_09</t>
  </si>
  <si>
    <t xml:space="preserve">    MIDOC21_6_10</t>
  </si>
  <si>
    <t xml:space="preserve">    MIDOC21_6_11</t>
  </si>
  <si>
    <t xml:space="preserve">   MIDOC22_1_BAG</t>
  </si>
  <si>
    <t xml:space="preserve">   MIDOC23_1_BAG</t>
  </si>
  <si>
    <t xml:space="preserve">    MIDOC23_3_37</t>
  </si>
  <si>
    <t xml:space="preserve">    MIDOC23_5_37</t>
  </si>
  <si>
    <t>mixed/other fish</t>
  </si>
  <si>
    <t>fish.groups.coarse</t>
  </si>
  <si>
    <t>Gymnoscopelus sp.</t>
  </si>
  <si>
    <t>KX32</t>
  </si>
  <si>
    <t>MIDOC24</t>
  </si>
  <si>
    <t>8.2.2016</t>
  </si>
  <si>
    <t>MIDOC24_2_01</t>
  </si>
  <si>
    <t>MIDOC24_2_02</t>
  </si>
  <si>
    <t>MIDOC24_2_03</t>
  </si>
  <si>
    <t>MIDOC24_2_04</t>
  </si>
  <si>
    <t>MIDOC24_2_05</t>
  </si>
  <si>
    <t>MIDOC24_2_06</t>
  </si>
  <si>
    <t>MIDOC24_2_07</t>
  </si>
  <si>
    <t>MIDOC24_2_08</t>
  </si>
  <si>
    <t>MIDOC24_2_09</t>
  </si>
  <si>
    <t>MIDOC24_2_10</t>
  </si>
  <si>
    <t>MIDOC24_2_11</t>
  </si>
  <si>
    <t>MIDOC24_2_12</t>
  </si>
  <si>
    <t>MIDOC24_2_13</t>
  </si>
  <si>
    <t>MIDOC24_2_14</t>
  </si>
  <si>
    <t>MIDOC24_2_15</t>
  </si>
  <si>
    <t>MIDOC24_2_16</t>
  </si>
  <si>
    <t>MIDOC24_2_17</t>
  </si>
  <si>
    <t>MIDOC24_2_18</t>
  </si>
  <si>
    <t>MIDOC24_2_19</t>
  </si>
  <si>
    <t>MIDOC24_2_20</t>
  </si>
  <si>
    <t>MIDOC24_2_21</t>
  </si>
  <si>
    <t>MIDOC24_2_22</t>
  </si>
  <si>
    <t>MIDOC24_2_23</t>
  </si>
  <si>
    <t>MIDOC24_2_24</t>
  </si>
  <si>
    <t>MIDOC24_2_25</t>
  </si>
  <si>
    <t>MIDOC24_2_26</t>
  </si>
  <si>
    <t>MIDOC24_2_27</t>
  </si>
  <si>
    <t>MIDOC24_2_28</t>
  </si>
  <si>
    <t>MIDOC24_2_29</t>
  </si>
  <si>
    <t>MIDOC24_2_DISCARDS</t>
  </si>
  <si>
    <t>MIDOC24_2_30</t>
  </si>
  <si>
    <t>MIDOC24_2_31</t>
  </si>
  <si>
    <t>MIDOC24_2_32</t>
  </si>
  <si>
    <t>MIDOC24_2_33</t>
  </si>
  <si>
    <t>MIDOC24_2_34</t>
  </si>
  <si>
    <t>MIDOC24_2_35</t>
  </si>
  <si>
    <t>MIDOC24_3_01</t>
  </si>
  <si>
    <t>MIDOC24_3_02</t>
  </si>
  <si>
    <t>MIDOC24_3_03</t>
  </si>
  <si>
    <t>MIDOC24_3_04</t>
  </si>
  <si>
    <t>MIDOC24_3_05</t>
  </si>
  <si>
    <t>MIDOC24_3_06</t>
  </si>
  <si>
    <t>MIDOC24_3_07</t>
  </si>
  <si>
    <t>MIDOC24_3_08</t>
  </si>
  <si>
    <t>MIDOC24_3_09</t>
  </si>
  <si>
    <t>MIDOC24_3_DISCARDS</t>
  </si>
  <si>
    <t>MIDOC24_3_10</t>
  </si>
  <si>
    <t>MIDOC24_3_11</t>
  </si>
  <si>
    <t>MIDOC24_3_12</t>
  </si>
  <si>
    <t>MIDOC24_3_13</t>
  </si>
  <si>
    <t>MIDOC24_3_14</t>
  </si>
  <si>
    <t>MIDOC24_3_15</t>
  </si>
  <si>
    <t>MIDOC24_3_16</t>
  </si>
  <si>
    <t>MIDOC24_3_17</t>
  </si>
  <si>
    <t>MIDOC24_3_18</t>
  </si>
  <si>
    <t>MIDOC24_3_19</t>
  </si>
  <si>
    <t>Little black bathy, electrona sp</t>
  </si>
  <si>
    <t>mush</t>
  </si>
  <si>
    <t>brown gymnoscopelus</t>
  </si>
  <si>
    <t>unidentified rattail</t>
  </si>
  <si>
    <t>Retained 148g</t>
  </si>
  <si>
    <t>plus n=1 Thysanoessa macrura</t>
  </si>
  <si>
    <t>Check if T. macrura or Euphausia vallentini?</t>
  </si>
  <si>
    <t>70% salps, 30% scales</t>
  </si>
  <si>
    <t>medusae and atolia; Retained 118g (medusae only)</t>
  </si>
  <si>
    <t>yellow</t>
  </si>
  <si>
    <t>not recorded. Get from MIDOC logs</t>
  </si>
  <si>
    <t>MIDOC25</t>
  </si>
  <si>
    <t>MIDOC26</t>
  </si>
  <si>
    <t>MIDOC27</t>
  </si>
  <si>
    <t>MIDOC28</t>
  </si>
  <si>
    <t>MIDOC29</t>
  </si>
  <si>
    <t>MIDOC30</t>
  </si>
  <si>
    <t>not recorded. Get from nav files</t>
  </si>
  <si>
    <t>Full darkness. Little activity indicated on acoustic scanner. Krill indicated on scanner at ~22:00 UTC @50-100m depth. Catch forward of condend consisted of mixed fish larvae, krill, decapods, 1 or 2 jellies - all very mushed.</t>
  </si>
  <si>
    <t>WP602</t>
  </si>
  <si>
    <t>Wind 5-10kt, swell less than 1m. Cloudy, no precip. Whales spotted forward of ship at 03:30UTC; ice floes visible for most of deployment</t>
  </si>
  <si>
    <t>no problems</t>
  </si>
  <si>
    <t>WP604</t>
  </si>
  <si>
    <t>Partial cloud cover (80%); no precipitation; swell &lt;1; wind 10kt. GPs around ship, few small bergs visible &gt;2km from ship</t>
  </si>
  <si>
    <t>smooth deployment</t>
  </si>
  <si>
    <t>WP605</t>
  </si>
  <si>
    <t xml:space="preserve">Wind &lt;10kn, calm. Ice bergs in area. GPs and wanderings  following </t>
  </si>
  <si>
    <t>smooth deployment; deployed just after sunset</t>
  </si>
  <si>
    <t>WP606</t>
  </si>
  <si>
    <t>Swell ~1m, wind 10-15kt. Overcast (100% cloud); wandering albatross cape petrels, GPs following.</t>
  </si>
  <si>
    <t>No photos from cod-end2 or CE3 because of file writing error</t>
  </si>
  <si>
    <t>WP607</t>
  </si>
  <si>
    <t>Dawn breaking; 80% cloud cover; no precipitation; swell ~1m; wind 10kt</t>
  </si>
  <si>
    <t>crepuscular</t>
  </si>
  <si>
    <t>WP608</t>
  </si>
  <si>
    <t xml:space="preserve">Wind ~5-10knts. Fog (visibility ~ 1km) and snow. ~15 m swell and some giant petrels and wandering albatross and black browed albatross following </t>
  </si>
  <si>
    <t>SCANMAR going in and out</t>
  </si>
  <si>
    <t>Scanmar not working ~30-40 min into deployment. Codends still timed to open/close. Deployment continued despite lack of real-time depth. Scanmar started working again at 23:07. Probem seemed to see that net was offset too much to side of ship, so couldn't be detected until the ships course was adjusted so ttaht the net was behind the ship</t>
  </si>
  <si>
    <t>WP701</t>
  </si>
  <si>
    <t>snow showers, low cloud/fog, swell around 2 m, wind 15knts.</t>
  </si>
  <si>
    <t>MIDOC timer program changed to 100 minutes for 0-1000 m depth stratum (codend 1) instead of 90 minutes. Lighting program on camera not operational.</t>
  </si>
  <si>
    <t>WP702</t>
  </si>
  <si>
    <t>KX33</t>
  </si>
  <si>
    <t>~2-3 m swell and ~10-15 knt winds. Wandering albatross and giant petrels following.</t>
  </si>
  <si>
    <t>WP703</t>
  </si>
  <si>
    <t>KX34</t>
  </si>
  <si>
    <t>9.2.2016</t>
  </si>
  <si>
    <t>Most northern station we will be sampling</t>
  </si>
  <si>
    <t>wind ~17knts, swell 1-2 m, low cloud, visibility &lt; 2 km</t>
  </si>
  <si>
    <t>WP800</t>
  </si>
  <si>
    <t>KX35</t>
  </si>
  <si>
    <t>Wind 20 knts, swell ~2m. White chinned petrels and prions following</t>
  </si>
  <si>
    <t>MIDOC shot at dusk and trawl at full dark.</t>
  </si>
  <si>
    <t>WP801</t>
  </si>
  <si>
    <t>KX36</t>
  </si>
  <si>
    <t>10.2.2016</t>
  </si>
  <si>
    <t>KX37</t>
  </si>
  <si>
    <t>swell ~3-4m, wind 20knts. Giant, white chinned and cape petrels, and wandering albatross following.</t>
  </si>
  <si>
    <t>day</t>
  </si>
  <si>
    <t>wind ~26 knts, swell ~2m increasing. Cloud cover 80%, glare weak. White chinned petrels off trawl deck circling above. Wandering albatross also. Daylight shot</t>
  </si>
  <si>
    <t>swell ~2m, snow showers; wind 13 knts; cloud cover less than 30%; glare weak; intermittant snow showers; wandering albatross circling ship as well as white chinned petrels and prions; daylight deployment, trawl and retrieval</t>
  </si>
  <si>
    <t>WP802</t>
  </si>
  <si>
    <t>WP803</t>
  </si>
  <si>
    <t>KX38</t>
  </si>
  <si>
    <t>MIDOC24_3_20</t>
  </si>
  <si>
    <t>MIDOC24_3_21</t>
  </si>
  <si>
    <t>MIDOC24_3_22</t>
  </si>
  <si>
    <t>MIDOC24_3_23</t>
  </si>
  <si>
    <t>MIDOC24_3_24</t>
  </si>
  <si>
    <t>MIDOC24_3_25</t>
  </si>
  <si>
    <t>MIDOC24_3_26</t>
  </si>
  <si>
    <t>MIDOC24_3_27</t>
  </si>
  <si>
    <t>MIDOC24_3_28</t>
  </si>
  <si>
    <t>MIDOC24_3_29</t>
  </si>
  <si>
    <t>MIDOC24_3_30</t>
  </si>
  <si>
    <t>MIDOC24_3_31</t>
  </si>
  <si>
    <t>MIDOC24_3_32</t>
  </si>
  <si>
    <t>MIDOC24_3_33</t>
  </si>
  <si>
    <t>MIDOC24_3_34</t>
  </si>
  <si>
    <t>MIDOC24_3_35</t>
  </si>
  <si>
    <t>MIDOC24_3_36</t>
  </si>
  <si>
    <t>MIDOC24_3_37</t>
  </si>
  <si>
    <t>MIDOC24_3_38</t>
  </si>
  <si>
    <t>MIDOC24_3_39</t>
  </si>
  <si>
    <t>MIDOC24_3_40</t>
  </si>
  <si>
    <t>MIDOC24_4_01</t>
  </si>
  <si>
    <t>MIDOC24_4_02</t>
  </si>
  <si>
    <t>MIDOC24_4_03</t>
  </si>
  <si>
    <t>MIDOC24_4_04</t>
  </si>
  <si>
    <t>MIDOC24_4_05</t>
  </si>
  <si>
    <t>MIDOC24_4_06</t>
  </si>
  <si>
    <t>MIDOC24_4_07</t>
  </si>
  <si>
    <t>MIDOC24_4_08</t>
  </si>
  <si>
    <t>MIDOC24_4_09</t>
  </si>
  <si>
    <t>little black gymnoscopelus</t>
  </si>
  <si>
    <t>gelat</t>
  </si>
  <si>
    <t>salps and T. mac</t>
  </si>
  <si>
    <t>rudderfish</t>
  </si>
  <si>
    <t>whopper!</t>
  </si>
  <si>
    <t>95% salps, 60g retained</t>
  </si>
  <si>
    <t>189g retained</t>
  </si>
  <si>
    <t>80% sapls, 15% scales, 5% calycopsis; 144g retained</t>
  </si>
  <si>
    <t>ostracods, decapods, amphipods and 1 pteropod</t>
  </si>
  <si>
    <t>Trigonolampa miriceps</t>
  </si>
  <si>
    <t>MIDOC24_4_10</t>
  </si>
  <si>
    <t>MIDOC24_4_11</t>
  </si>
  <si>
    <t>MIDOC24_4_12</t>
  </si>
  <si>
    <t>MIDOC24_4_13</t>
  </si>
  <si>
    <t>MIDOC24_4_14</t>
  </si>
  <si>
    <t>MIDOC24_4_15</t>
  </si>
  <si>
    <t>MIDOC24_4_16</t>
  </si>
  <si>
    <t>MIDOC24_4_17</t>
  </si>
  <si>
    <t>MIDOC24_4_18</t>
  </si>
  <si>
    <t>MIDOC24_4_19</t>
  </si>
  <si>
    <t>MIDOC24_4_25</t>
  </si>
  <si>
    <t>MIDOC24_4_20</t>
  </si>
  <si>
    <t>MIDOC24_4_DISCARDS</t>
  </si>
  <si>
    <t>MIDOC24_4_22</t>
  </si>
  <si>
    <t>MIDOC24_4_23</t>
  </si>
  <si>
    <t>MIDOC24_4_24</t>
  </si>
  <si>
    <t>MIDOC24_5_18</t>
  </si>
  <si>
    <t>MIDOC24_5_01</t>
  </si>
  <si>
    <t>MIDOC24_5_02</t>
  </si>
  <si>
    <t>MIDOC24_5_03</t>
  </si>
  <si>
    <t>MIDOC24_5_04</t>
  </si>
  <si>
    <t>MIDOC24_5_05</t>
  </si>
  <si>
    <t>MIDOC24_5_06</t>
  </si>
  <si>
    <t>MIDOC24_5_07</t>
  </si>
  <si>
    <t>MIDOC24_5_08</t>
  </si>
  <si>
    <t>MIDOC24_5_09</t>
  </si>
  <si>
    <t>MIDOC24_5_10</t>
  </si>
  <si>
    <t>MIDOC24_5_11</t>
  </si>
  <si>
    <t>MIDOC24_5_12</t>
  </si>
  <si>
    <t>MIDOC24_5_16</t>
  </si>
  <si>
    <t>MIDOC24_5_14</t>
  </si>
  <si>
    <t>black gymnoscopelus</t>
  </si>
  <si>
    <t>black myctophid</t>
  </si>
  <si>
    <t>Inverts</t>
  </si>
  <si>
    <t>3 x ostracods, 1 x decapod</t>
  </si>
  <si>
    <t>E, triacantha, E. superba, T. macrura. 80% E. triacantha</t>
  </si>
  <si>
    <t>98% E. triacantha</t>
  </si>
  <si>
    <t>and 1% polychaetes</t>
  </si>
  <si>
    <t>no head</t>
  </si>
  <si>
    <t>MIDOC24_5_15</t>
  </si>
  <si>
    <t>MIDOC24_5_17</t>
  </si>
  <si>
    <t>MIDOC24_5_19</t>
  </si>
  <si>
    <t>MIDOC24_5_20</t>
  </si>
  <si>
    <t>MIDOC24_6_01</t>
  </si>
  <si>
    <t>MIDOC24_6_02</t>
  </si>
  <si>
    <t>MIDOC24_front.of.net</t>
  </si>
  <si>
    <t>MIDOC24_6_03</t>
  </si>
  <si>
    <t>MIDOC24_6_04</t>
  </si>
  <si>
    <t>MIDOC24_6_05</t>
  </si>
  <si>
    <t>MIDOC24_6_06</t>
  </si>
  <si>
    <t>MIDOC24_6_07</t>
  </si>
  <si>
    <t>MIDOC24_6_08</t>
  </si>
  <si>
    <t>MIDOC24_6_09</t>
  </si>
  <si>
    <t>MIDOC24_6_31</t>
  </si>
  <si>
    <t>MIDOC24_6_10</t>
  </si>
  <si>
    <t>MIDOC24_6_11</t>
  </si>
  <si>
    <t>MIDOC24_6_12</t>
  </si>
  <si>
    <t>MIDOC24_6_13</t>
  </si>
  <si>
    <t>MIDOC24_6_14</t>
  </si>
  <si>
    <t>MIDOC24_6_15</t>
  </si>
  <si>
    <t>MIDOC24_6_16</t>
  </si>
  <si>
    <t>MIDOC24_6_17</t>
  </si>
  <si>
    <t>MIDOC24_6_18</t>
  </si>
  <si>
    <t>MIDOC24_6_19</t>
  </si>
  <si>
    <t>MIDOC24_6_DISCARDS</t>
  </si>
  <si>
    <t>MIDOC24_6_20</t>
  </si>
  <si>
    <t>MIDOC24_6_21</t>
  </si>
  <si>
    <t>MIDOC24_6_22</t>
  </si>
  <si>
    <t>MIDOC24_6_23</t>
  </si>
  <si>
    <t>MIDOC24_6_24</t>
  </si>
  <si>
    <t>coryphanoides</t>
  </si>
  <si>
    <t>70g retained</t>
  </si>
  <si>
    <t>316g retained</t>
  </si>
  <si>
    <t>DISCARDS</t>
  </si>
  <si>
    <t>tails only</t>
  </si>
  <si>
    <t>bits</t>
  </si>
  <si>
    <t>mainly triacantha</t>
  </si>
  <si>
    <t>and polychaetes</t>
  </si>
  <si>
    <t>and gaudicaudi</t>
  </si>
  <si>
    <t>MIDOC24_6_25</t>
  </si>
  <si>
    <t>MIDOC24_6_26</t>
  </si>
  <si>
    <t>MIDOC24_6_27</t>
  </si>
  <si>
    <t>MIDOC24_6_28</t>
  </si>
  <si>
    <t>MIDOC24_6_29</t>
  </si>
  <si>
    <t>MIDOC24_6_30</t>
  </si>
  <si>
    <t>MIDOC24_6_32</t>
  </si>
  <si>
    <t>MIDOC24_6_33</t>
  </si>
  <si>
    <t>MIDOC24_6_34</t>
  </si>
  <si>
    <t>MIDOC24_6_35</t>
  </si>
  <si>
    <t>MIDOC24_6_39</t>
  </si>
  <si>
    <t>MIDOC24_6_41</t>
  </si>
  <si>
    <t>MIDOC24_6_42</t>
  </si>
  <si>
    <t>MIDOC24_6_36</t>
  </si>
  <si>
    <t>MIDOC24_6_37</t>
  </si>
  <si>
    <t>MIDOC24_6_43</t>
  </si>
  <si>
    <t>MIDOC24_6_40</t>
  </si>
  <si>
    <t>MIDOC24_6_45</t>
  </si>
  <si>
    <t>MIDOC24_6_44</t>
  </si>
  <si>
    <t>01</t>
  </si>
  <si>
    <t>02</t>
  </si>
  <si>
    <t>decapods,ostracods,amphipods</t>
  </si>
  <si>
    <t>gelat and shit</t>
  </si>
  <si>
    <t>60% salps, 30% scales, 10% crustaceans</t>
  </si>
  <si>
    <t>20% fish, 30% decapods, 50% salps</t>
  </si>
  <si>
    <t>blue bathy</t>
  </si>
  <si>
    <t>MIDOC24_6_front.of.net</t>
  </si>
  <si>
    <t>03</t>
  </si>
  <si>
    <t>04</t>
  </si>
  <si>
    <t>05</t>
  </si>
  <si>
    <t>06</t>
  </si>
  <si>
    <t>krill triac</t>
  </si>
  <si>
    <t>07</t>
  </si>
  <si>
    <t>krill triac and valentini</t>
  </si>
  <si>
    <t>50% triac, 50% valentini</t>
  </si>
  <si>
    <t>08</t>
  </si>
  <si>
    <t>09</t>
  </si>
  <si>
    <t>?</t>
  </si>
  <si>
    <t>krill triac and tmac</t>
  </si>
  <si>
    <t>retained 334g</t>
  </si>
  <si>
    <t>retained 273g</t>
  </si>
  <si>
    <t>larval electrona</t>
  </si>
  <si>
    <t xml:space="preserve">unidentified </t>
  </si>
  <si>
    <t>crunchy head</t>
  </si>
  <si>
    <t>scales etc</t>
  </si>
  <si>
    <t>retained 233g</t>
  </si>
  <si>
    <t>&lt;1g</t>
  </si>
  <si>
    <t>calycopsis and ostracods</t>
  </si>
  <si>
    <t>2 x ostracods and the rest calycopsis</t>
  </si>
  <si>
    <t>95% triac</t>
  </si>
  <si>
    <t>thermisto gaudi</t>
  </si>
  <si>
    <t>scales and mush and krill and gelat</t>
  </si>
  <si>
    <t>50% scales</t>
  </si>
  <si>
    <t>retained 169g</t>
  </si>
  <si>
    <t>small fish</t>
  </si>
  <si>
    <t>sawtooth #!</t>
  </si>
  <si>
    <t>black</t>
  </si>
  <si>
    <t>salp and gelat mush</t>
  </si>
  <si>
    <t>retained 106g; &lt;10 E.triac,  mostly salps/gelat (few T.gaudi too)</t>
  </si>
  <si>
    <t>little gymno</t>
  </si>
  <si>
    <t>mushed fish</t>
  </si>
  <si>
    <t>some in bits; one small squid</t>
  </si>
  <si>
    <t>decapods, amphipods, T. Gaudi and one ostracod</t>
  </si>
  <si>
    <t>ptemopterous and chaetognaths</t>
  </si>
  <si>
    <t>naked</t>
  </si>
  <si>
    <t>salp mush</t>
  </si>
  <si>
    <t>scales mush gelat</t>
  </si>
  <si>
    <t>decapods, amphipods, E. triacsntha, ostracods, chaetognaths</t>
  </si>
  <si>
    <t>BAG</t>
  </si>
  <si>
    <t>KX39</t>
  </si>
  <si>
    <t>WP901</t>
  </si>
  <si>
    <t>MIDOC31</t>
  </si>
  <si>
    <t>11.2.2016</t>
  </si>
  <si>
    <t>11/02/2016  16:37:00 PM</t>
  </si>
  <si>
    <t>11/02/2016  16:35:00 PM</t>
  </si>
  <si>
    <t>swell ~2-3m, wind 10knts. Wandering albatross, giant petrels, prions and white chinned petrels following.</t>
  </si>
  <si>
    <t>Net snagged on winch just after MIDOC put in water. MIDOC in wash/swell longer than usual, but did not appear to twist.</t>
  </si>
  <si>
    <t>39</t>
  </si>
  <si>
    <t>16</t>
  </si>
  <si>
    <t>17</t>
  </si>
  <si>
    <t>18</t>
  </si>
  <si>
    <t>19</t>
  </si>
  <si>
    <t>20</t>
  </si>
  <si>
    <t>21</t>
  </si>
  <si>
    <t>22</t>
  </si>
  <si>
    <t>23</t>
  </si>
  <si>
    <t>24</t>
  </si>
  <si>
    <t>25</t>
  </si>
  <si>
    <t>26</t>
  </si>
  <si>
    <t>27</t>
  </si>
  <si>
    <t>28</t>
  </si>
  <si>
    <t>29</t>
  </si>
  <si>
    <t>30</t>
  </si>
  <si>
    <t>31</t>
  </si>
  <si>
    <t>32</t>
  </si>
  <si>
    <t>33</t>
  </si>
  <si>
    <t>34</t>
  </si>
  <si>
    <t>41</t>
  </si>
  <si>
    <t>42</t>
  </si>
  <si>
    <t>43</t>
  </si>
  <si>
    <t>40</t>
  </si>
  <si>
    <t>salps and mush</t>
  </si>
  <si>
    <t>retained 293g</t>
  </si>
  <si>
    <t>90% salps, 10% scales and mush</t>
  </si>
  <si>
    <t>10</t>
  </si>
  <si>
    <t>11</t>
  </si>
  <si>
    <t>12</t>
  </si>
  <si>
    <t>13</t>
  </si>
  <si>
    <t>14</t>
  </si>
  <si>
    <t>15</t>
  </si>
  <si>
    <t>35</t>
  </si>
  <si>
    <t>36</t>
  </si>
  <si>
    <t>37</t>
  </si>
  <si>
    <t>38</t>
  </si>
  <si>
    <t>giant gymnoscopelus</t>
  </si>
  <si>
    <t>unidentified black rattail</t>
  </si>
  <si>
    <t>? Blue</t>
  </si>
  <si>
    <t>ostracods, decapods, Themisto gaudichaudii</t>
  </si>
  <si>
    <t>orange/red</t>
  </si>
  <si>
    <t>365g retained</t>
  </si>
  <si>
    <t>48</t>
  </si>
  <si>
    <t>51</t>
  </si>
  <si>
    <t>45</t>
  </si>
  <si>
    <t>46</t>
  </si>
  <si>
    <t>47</t>
  </si>
  <si>
    <t>49</t>
  </si>
  <si>
    <t>50</t>
  </si>
  <si>
    <t>44</t>
  </si>
  <si>
    <t>full belly</t>
  </si>
  <si>
    <t xml:space="preserve">not retained </t>
  </si>
  <si>
    <t>MIDOC26_3_36</t>
  </si>
  <si>
    <t>mainly translucent 70%. 181g retained</t>
  </si>
  <si>
    <t>80% salps</t>
  </si>
  <si>
    <t>gelatinous and jellies</t>
  </si>
  <si>
    <t>T. macrura?</t>
  </si>
  <si>
    <t>tomopetris</t>
  </si>
  <si>
    <t>retained 259g. mostly translucent 95%</t>
  </si>
  <si>
    <t>retained 210g</t>
  </si>
  <si>
    <t>purple hotrod</t>
  </si>
  <si>
    <t>300g retained. Quite a few T. macrura in jellies</t>
  </si>
  <si>
    <t>75% salps, 5% T. macrura, rest miscellaneous gelatinous. 181g retained</t>
  </si>
  <si>
    <t>mostly not whole specimens, only ~3 or so whole ones</t>
  </si>
  <si>
    <t>2 whole; 4 part</t>
  </si>
  <si>
    <t>2 amphipods</t>
  </si>
  <si>
    <t>partially digested/mushed</t>
  </si>
  <si>
    <t>sapls etc.</t>
  </si>
  <si>
    <t>T. macrura</t>
  </si>
  <si>
    <t>amphipods and random chunk of crap</t>
  </si>
  <si>
    <t>MIDOC26_6_45</t>
  </si>
  <si>
    <t>squid mantles</t>
  </si>
  <si>
    <t xml:space="preserve">scales and mush </t>
  </si>
  <si>
    <t>big squid</t>
  </si>
  <si>
    <t>dragonfish (with gymnoscopelus in gut)</t>
  </si>
  <si>
    <t>12g gymnoscopelus in gut</t>
  </si>
  <si>
    <t>70% salps, 20% gelatinous, 10% inverts</t>
  </si>
  <si>
    <t>2 whole, 2 heads (red)</t>
  </si>
  <si>
    <t>2 whole, 2 heads</t>
  </si>
  <si>
    <t>krill and decapods and amphipods</t>
  </si>
  <si>
    <t>macruid/rattail</t>
  </si>
  <si>
    <t>Borostomias antarcticus</t>
  </si>
  <si>
    <t>66</t>
  </si>
  <si>
    <t>52</t>
  </si>
  <si>
    <t>59</t>
  </si>
  <si>
    <t>55</t>
  </si>
  <si>
    <t>54</t>
  </si>
  <si>
    <t>53</t>
  </si>
  <si>
    <t>56</t>
  </si>
  <si>
    <t>57</t>
  </si>
  <si>
    <t>new myctophid</t>
  </si>
  <si>
    <t>big little black gymnoscopelus</t>
  </si>
  <si>
    <t>58</t>
  </si>
  <si>
    <t>62</t>
  </si>
  <si>
    <t>61</t>
  </si>
  <si>
    <t>60</t>
  </si>
  <si>
    <t>64</t>
  </si>
  <si>
    <t>65</t>
  </si>
  <si>
    <t>71</t>
  </si>
  <si>
    <t>72</t>
  </si>
  <si>
    <t>73</t>
  </si>
  <si>
    <t>74</t>
  </si>
  <si>
    <t>75</t>
  </si>
  <si>
    <t>76</t>
  </si>
  <si>
    <t>67</t>
  </si>
  <si>
    <t>68</t>
  </si>
  <si>
    <t>69</t>
  </si>
  <si>
    <t>70</t>
  </si>
  <si>
    <t>99</t>
  </si>
  <si>
    <t>77</t>
  </si>
  <si>
    <t>new?? Megamouth</t>
  </si>
  <si>
    <t>gelatinous, calycopsis, gunk and T. gaudichaudii</t>
  </si>
  <si>
    <t>salps, scales and gelatinous</t>
  </si>
  <si>
    <t>125g retained</t>
  </si>
  <si>
    <t>gelatinous and scales</t>
  </si>
  <si>
    <t>E. triacantha and E. vallentini</t>
  </si>
  <si>
    <t>amphipods and pteropod shell</t>
  </si>
  <si>
    <t>163g retained</t>
  </si>
  <si>
    <t>Amphipods include T. gaudichaudii</t>
  </si>
  <si>
    <t>n=4 E. vallentini</t>
  </si>
  <si>
    <t>n=2 E. vallentini</t>
  </si>
  <si>
    <t>Amphipods (95% T. gaudichaudii) and n=1 decapod</t>
  </si>
  <si>
    <t>could be E. carlsbergi or E. subaspera</t>
  </si>
  <si>
    <t>retained 377g</t>
  </si>
  <si>
    <t>retained 197g</t>
  </si>
  <si>
    <t>salps and scales</t>
  </si>
  <si>
    <t>80:20 ratio salps:scales</t>
  </si>
  <si>
    <t>flounder</t>
  </si>
  <si>
    <t>larval flounder</t>
  </si>
  <si>
    <t>bathyteuthis squid</t>
  </si>
  <si>
    <t>large squid</t>
  </si>
  <si>
    <t>squid and mantle</t>
  </si>
  <si>
    <t>coryphaenoiodes</t>
  </si>
  <si>
    <t>bodies and bits</t>
  </si>
  <si>
    <t>small</t>
  </si>
  <si>
    <t>font.of.net</t>
  </si>
  <si>
    <t>chaetognaths and polychaetes</t>
  </si>
  <si>
    <t>and a few E. vallentini</t>
  </si>
  <si>
    <t>amphipods, ostracod and naked pteropod</t>
  </si>
  <si>
    <t>krill, scales and gelat mush</t>
  </si>
  <si>
    <t xml:space="preserve">229g retained. 50% T. gaudichaudii </t>
  </si>
  <si>
    <t>decapods, amphipods, ostracods and E. triacantha</t>
  </si>
  <si>
    <t>krill, gelat mush</t>
  </si>
  <si>
    <t>mainly mixed fish and 1x jelly</t>
  </si>
  <si>
    <t>KX40</t>
  </si>
  <si>
    <t>MIDOC32</t>
  </si>
  <si>
    <t>melamphidae</t>
  </si>
  <si>
    <t>red squid heads</t>
  </si>
  <si>
    <t>Nancinia antarctica</t>
  </si>
  <si>
    <t>5 decapods and 1 ostracod</t>
  </si>
  <si>
    <t>#36 and #37 labels not used</t>
  </si>
  <si>
    <t>204g retained</t>
  </si>
  <si>
    <t>2-5% T. macrura</t>
  </si>
  <si>
    <t>mix of salps, other gelat and crustaceans</t>
  </si>
  <si>
    <t>266g retained. 80% salps, 15% krill, 51% other</t>
  </si>
  <si>
    <t>186g retained</t>
  </si>
  <si>
    <t>no 'taxon' entered in lab data book</t>
  </si>
  <si>
    <t>subsample from 6_02</t>
  </si>
  <si>
    <t>Stomias gracilis</t>
  </si>
  <si>
    <t>squid mantle</t>
  </si>
  <si>
    <t>pieces of fish</t>
  </si>
  <si>
    <t>headless fish</t>
  </si>
  <si>
    <t>50% E. tricantha and 50% E. vallentini</t>
  </si>
  <si>
    <t>larvae</t>
  </si>
  <si>
    <t>larval</t>
  </si>
  <si>
    <t>199g retained</t>
  </si>
  <si>
    <t>90% E. triacantha, 10% T. macrura</t>
  </si>
  <si>
    <t>118g retained. 80% salps</t>
  </si>
  <si>
    <t>salps and jelly mush</t>
  </si>
  <si>
    <t>remaining fish</t>
  </si>
  <si>
    <t>macrurids</t>
  </si>
  <si>
    <t>decapods, amphipods, ostracods, calycopsis and E. triacantha</t>
  </si>
  <si>
    <t>80% salps and 20% gelat</t>
  </si>
  <si>
    <t>WP902</t>
  </si>
  <si>
    <t>12.2.2016</t>
  </si>
  <si>
    <t>swell ~3-4m, wind 30 knts.</t>
  </si>
  <si>
    <t>challenging deployment. Seemed to be difficulty keeping net straight behind vessel.</t>
  </si>
  <si>
    <t>unidentified red polychaete</t>
  </si>
  <si>
    <t>445g retained</t>
  </si>
  <si>
    <t>255g retained</t>
  </si>
  <si>
    <t>304g retained</t>
  </si>
  <si>
    <t>224g retained</t>
  </si>
  <si>
    <t>krill E. superba?</t>
  </si>
  <si>
    <t>krill E. triacantha</t>
  </si>
  <si>
    <t>25% T. macrura and E. triacantha, 50% scale gunk</t>
  </si>
  <si>
    <t>131g retained</t>
  </si>
  <si>
    <t>192g retained</t>
  </si>
  <si>
    <t>gigantor!</t>
  </si>
  <si>
    <t>salps, krill and scales</t>
  </si>
  <si>
    <t>98</t>
  </si>
  <si>
    <t>Electrona antarctica</t>
  </si>
  <si>
    <t>yellow hotrod</t>
  </si>
  <si>
    <t>electrona larvae</t>
  </si>
  <si>
    <t>211g retained</t>
  </si>
  <si>
    <t>110g retained</t>
  </si>
  <si>
    <t xml:space="preserve">taxon? </t>
  </si>
  <si>
    <t>226g retained. 1% T. macrura. #19-25 have CE5 on tags in photo</t>
  </si>
  <si>
    <t>partial</t>
  </si>
  <si>
    <t>calycopsis, ostracod and siphonophore</t>
  </si>
  <si>
    <t>chaetognaths and tomopteris</t>
  </si>
  <si>
    <t>Mixed inverts</t>
  </si>
  <si>
    <t>25% fish, 10% crustaceans and other inverts, 60% salps and 5% squid</t>
  </si>
  <si>
    <t>fish, crustaceans and other inverts, salps and squid</t>
  </si>
  <si>
    <t>184g retained</t>
  </si>
  <si>
    <t>2 calycopsis, 1 siphonophore</t>
  </si>
  <si>
    <t>atolia and medusae jellies</t>
  </si>
  <si>
    <t>Icichtys australis (Drift fish)</t>
  </si>
  <si>
    <t>salps, scales, gelatinous and inverts</t>
  </si>
  <si>
    <t>Nannobranchium sp</t>
  </si>
  <si>
    <t>Cynomacrurus sp</t>
  </si>
  <si>
    <t>Lampadena sp</t>
  </si>
  <si>
    <t>Rattail (black)</t>
  </si>
  <si>
    <t>Rattail (brown)</t>
  </si>
  <si>
    <t>electrona</t>
  </si>
  <si>
    <t>white and blue bathy</t>
  </si>
  <si>
    <t>brown bathy</t>
  </si>
  <si>
    <t>103g retained</t>
  </si>
  <si>
    <t>male stage 2; tissue sample collected for SIA, gut and otoliths collected</t>
  </si>
  <si>
    <t>medusae jelly</t>
  </si>
  <si>
    <t>96g retained</t>
  </si>
  <si>
    <t>macrurid? Unidentified</t>
  </si>
  <si>
    <t>brown gymno'</t>
  </si>
  <si>
    <t>little black bathy/little black fish</t>
  </si>
  <si>
    <t>Nansenia antarcticus</t>
  </si>
  <si>
    <t>90% E. triacantha</t>
  </si>
  <si>
    <t>Themisto gaudichaudii</t>
  </si>
  <si>
    <t>80% salps, 10% fish, 10% krill (E. vallentini, T. macrura) and T. gaudichaudii</t>
  </si>
  <si>
    <t>126g retained</t>
  </si>
  <si>
    <t>201g retained</t>
  </si>
  <si>
    <t>fish bits</t>
  </si>
  <si>
    <t>T. macrura and T. gaudichaudii</t>
  </si>
  <si>
    <t>60% T. mac, 40% T. gaud</t>
  </si>
  <si>
    <t>WP904</t>
  </si>
  <si>
    <t>KX42</t>
  </si>
  <si>
    <t>MIDOC33</t>
  </si>
  <si>
    <t>13.2.2016</t>
  </si>
  <si>
    <t>cloud cover, hazy with weak glare. Sea state less than ~2m swell, wind ~7 knots. Wandering albatross, white chinned and prions following.</t>
  </si>
  <si>
    <t>Net deployed at 05:33 (13/2/2016 UTC) but SCANMAR indicated net failed to open - headline height &lt;3m. One of the bridles got twisted on starboard side. Decision made to bring net back up on deck at 06:09. SCANMAR reset and net re-deployed (MIDOC34).</t>
  </si>
  <si>
    <t>MIDOC34</t>
  </si>
  <si>
    <t>~1.5m swell, wind &lt;10kn. Calm. Intermittant snow flurries. Few prions and wandering albatross following. Pod of hourglass dolphins sighted at ~10:00 UTC.</t>
  </si>
  <si>
    <t>Clean deployment</t>
  </si>
  <si>
    <t>mixed salps, krill and crap</t>
  </si>
  <si>
    <t>retained 396g</t>
  </si>
  <si>
    <t>retained 131g. 60% salps, 20% T. gaudichaudii, 20% E. triacantha</t>
  </si>
  <si>
    <t>No sample #45</t>
  </si>
  <si>
    <t>krefftichthys anderssoni</t>
  </si>
  <si>
    <t>macrurid (little tadpole)</t>
  </si>
  <si>
    <t>nanobranchium</t>
  </si>
  <si>
    <t>krefftichthys anderssoni (headless)</t>
  </si>
  <si>
    <t>calycopsis and jellies</t>
  </si>
  <si>
    <t>ptomopterus and chaetognaths</t>
  </si>
  <si>
    <t>gaudicaudi and 2 amphipods</t>
  </si>
  <si>
    <t>headless</t>
  </si>
  <si>
    <t>'13/01/16 01:10</t>
  </si>
  <si>
    <t>'</t>
  </si>
  <si>
    <t>'13/01/16 2:28</t>
  </si>
  <si>
    <t>'13/01/16 2:34</t>
  </si>
  <si>
    <t>'13/01/16 5:00</t>
  </si>
  <si>
    <t>'13/01/16 5:56</t>
  </si>
  <si>
    <t>'24/01/16 10:55</t>
  </si>
  <si>
    <t>'24/01/16 12:22</t>
  </si>
  <si>
    <t>'24/01/16 14:50</t>
  </si>
  <si>
    <t>'24/01/16 15:06</t>
  </si>
  <si>
    <t>'25/01/16 00:19</t>
  </si>
  <si>
    <t>'25/01/16 1:45</t>
  </si>
  <si>
    <t>'25/01/16 4:15</t>
  </si>
  <si>
    <t>'25/01/16 4:35</t>
  </si>
  <si>
    <t>'25/01/16 11:45</t>
  </si>
  <si>
    <t>'25/01/16 13:19</t>
  </si>
  <si>
    <t>'25/01/16 15:50</t>
  </si>
  <si>
    <t>'26/01/16 08:11</t>
  </si>
  <si>
    <t>'26/01/16 9:50</t>
  </si>
  <si>
    <t>'26/01/16 12:20</t>
  </si>
  <si>
    <t>'26/01/16 12:28</t>
  </si>
  <si>
    <t>27/1/16 09:41</t>
  </si>
  <si>
    <t>09:41</t>
  </si>
  <si>
    <t>27/1/16 11:20</t>
  </si>
  <si>
    <t>27/1/16 13:50</t>
  </si>
  <si>
    <t>27/1/16 13:55</t>
  </si>
  <si>
    <t>28/01/16 12:21</t>
  </si>
  <si>
    <t>'28/01/16 12:31</t>
  </si>
  <si>
    <t>'28/01/16 13:40</t>
  </si>
  <si>
    <t>'28/01/16 13:54</t>
  </si>
  <si>
    <t>'28/01/16 16:24</t>
  </si>
  <si>
    <t>'28/01/16 16:40</t>
  </si>
  <si>
    <t>midoc in time estimated; double check from on-board log</t>
  </si>
  <si>
    <t>29/01/16 10:12</t>
  </si>
  <si>
    <t>'29/01/16 10:14</t>
  </si>
  <si>
    <t>29/01/16 10:27</t>
  </si>
  <si>
    <t>'29/01/16 11:52</t>
  </si>
  <si>
    <t>'29/01/16 14:22</t>
  </si>
  <si>
    <t>'29/01/16 14:24</t>
  </si>
  <si>
    <t>'29/01/16 14:34</t>
  </si>
  <si>
    <t>'30/01/16 00:07</t>
  </si>
  <si>
    <t>'30/01/16 00:20</t>
  </si>
  <si>
    <t>'30/01/16 1:36</t>
  </si>
  <si>
    <t>'30/01/16 4:07</t>
  </si>
  <si>
    <t>'30/01/16 4:24</t>
  </si>
  <si>
    <t>'30/01/16 13:32</t>
  </si>
  <si>
    <t>30/01/16 13:42</t>
  </si>
  <si>
    <t>'30/01/16 17:39</t>
  </si>
  <si>
    <t>30/1/16 17:44</t>
  </si>
  <si>
    <t>second shot at station due to cod-ends not firing on previous shot; midoc time on deck not recorded so estimated as 5 min after doors at surface - check from midoc log files</t>
  </si>
  <si>
    <t>30/01/16 18:35</t>
  </si>
  <si>
    <t>'30/01/16 19:42</t>
  </si>
  <si>
    <t>'30/01/16 21:36</t>
  </si>
  <si>
    <t>30/01/16 21:38</t>
  </si>
  <si>
    <t>'30/01/16 23:02</t>
  </si>
  <si>
    <t>'31/01/16 1:32</t>
  </si>
  <si>
    <t>'31/01/16 1:38</t>
  </si>
  <si>
    <t>31/01/16 13:42</t>
  </si>
  <si>
    <t>31/01/16 13:56</t>
  </si>
  <si>
    <t>31/01/16 15:22</t>
  </si>
  <si>
    <t>31/01/16 17:52</t>
  </si>
  <si>
    <t>31/01/16 17:58</t>
  </si>
  <si>
    <t>31/01/16 18:02</t>
  </si>
  <si>
    <t>CE6 misfired; CE5&amp;6 combined; Antarctic fur seals (males/subadult males) hauled out on ice floes at start of shot</t>
  </si>
  <si>
    <t>31/01/16 18:54</t>
  </si>
  <si>
    <t>'31/01/16 19:36</t>
  </si>
  <si>
    <t>01/02/16 12:08</t>
  </si>
  <si>
    <t>'01/02/16 12:10</t>
  </si>
  <si>
    <t>'01/02/16 12:22</t>
  </si>
  <si>
    <t>'1/02/16 13:38</t>
  </si>
  <si>
    <t>'1/02/16 16:06</t>
  </si>
  <si>
    <t>'1/02/16 16:13</t>
  </si>
  <si>
    <t>02/02/16 12:06</t>
  </si>
  <si>
    <t>'02/02/16 12:10</t>
  </si>
  <si>
    <t>02/02/16 12:15</t>
  </si>
  <si>
    <t>'2/02/16 16:04</t>
  </si>
  <si>
    <t>'2/02/16 16:05</t>
  </si>
  <si>
    <t>'2/02/16 16:14</t>
  </si>
  <si>
    <t>03/02/16 05:11</t>
  </si>
  <si>
    <t>'03/02/16 05:06</t>
  </si>
  <si>
    <t>'03/02/16 05:16</t>
  </si>
  <si>
    <t>'3/02/16 6:31</t>
  </si>
  <si>
    <t>'3/02/16 9:01</t>
  </si>
  <si>
    <t>'3/02/2016 9:00:00 am</t>
  </si>
  <si>
    <t>'3/02/16 9:05</t>
  </si>
  <si>
    <t>'3/02/16 20:02</t>
  </si>
  <si>
    <t>'03/02/16 20:05</t>
  </si>
  <si>
    <t>'03/02/16 20:15</t>
  </si>
  <si>
    <t>'3/02/16 21:32</t>
  </si>
  <si>
    <t>'4/02/16 0:03</t>
  </si>
  <si>
    <t>'4/02/16 0:18</t>
  </si>
  <si>
    <t>4/02/16 0:20</t>
  </si>
  <si>
    <t>'4/02/16 5:01</t>
  </si>
  <si>
    <t>'04/02/16 05:05</t>
  </si>
  <si>
    <t>'4/02/16 6:31</t>
  </si>
  <si>
    <t>'4/02/16 9:01</t>
  </si>
  <si>
    <t>'4/02/2016  9:001:00 am</t>
  </si>
  <si>
    <t>'4/02/16 9:05</t>
  </si>
  <si>
    <t>'5/02/16 1:49</t>
  </si>
  <si>
    <t>'05/02/16 01:51</t>
  </si>
  <si>
    <t>'05/02/16 02:01</t>
  </si>
  <si>
    <t>'5/02/16 3:19</t>
  </si>
  <si>
    <t>'5/02/16 5:49</t>
  </si>
  <si>
    <t>'5/02/16 5:55</t>
  </si>
  <si>
    <t>'5/02/16 15:16</t>
  </si>
  <si>
    <t>'05/02/16 15:17</t>
  </si>
  <si>
    <t>'05/02/16 15:27</t>
  </si>
  <si>
    <t>'5/02/16 16:46</t>
  </si>
  <si>
    <t>'5/02/2016 19:16:00 pm</t>
  </si>
  <si>
    <t>'5/02/16 19:12</t>
  </si>
  <si>
    <t>5/02/16 19:14</t>
  </si>
  <si>
    <t>'6/02/16 5:22</t>
  </si>
  <si>
    <t>'06/02/16 05:23</t>
  </si>
  <si>
    <t>'06/02/16 05:33</t>
  </si>
  <si>
    <t>'6/02/16 5:52</t>
  </si>
  <si>
    <t>'6/02/16 9:22</t>
  </si>
  <si>
    <t>'6/02/16 9:27</t>
  </si>
  <si>
    <t>'6/02/16 20:02</t>
  </si>
  <si>
    <t>'06/02/16 22:13</t>
  </si>
  <si>
    <t>'6/02/16 23:52</t>
  </si>
  <si>
    <t>'7/02/16 2:03</t>
  </si>
  <si>
    <t>'7/02/16 2:02</t>
  </si>
  <si>
    <t>'7/02/16 2:08</t>
  </si>
  <si>
    <t>'7/02/16 13:01</t>
  </si>
  <si>
    <t>'07/02/16 13:03</t>
  </si>
  <si>
    <t>'07/02/16 13:13</t>
  </si>
  <si>
    <t>'7/02/16 14:31</t>
  </si>
  <si>
    <t>'7/02/16 16:58</t>
  </si>
  <si>
    <t>'7/02/16 17:00</t>
  </si>
  <si>
    <t>'7/02/16 17:05</t>
  </si>
  <si>
    <t>'8/02/16 2:06</t>
  </si>
  <si>
    <t>'08/02/16 02:27</t>
  </si>
  <si>
    <t>'8/02/16 6:16</t>
  </si>
  <si>
    <t>'8/02/16 6:21</t>
  </si>
  <si>
    <t>'8/02/16 13:52</t>
  </si>
  <si>
    <t>'08/02/16 13:55</t>
  </si>
  <si>
    <t>'08/02/16 14:02</t>
  </si>
  <si>
    <t>'8/02/16 17:50</t>
  </si>
  <si>
    <t>'8/02/16 18:00</t>
  </si>
  <si>
    <t>'9/02/16 0:53</t>
  </si>
  <si>
    <t>'09/02/16 00:56</t>
  </si>
  <si>
    <t>'09/02/16 01:07</t>
  </si>
  <si>
    <t>'9/02/16 4:55</t>
  </si>
  <si>
    <t>'9/02/16 12:14</t>
  </si>
  <si>
    <t>'09/02/16 12:29</t>
  </si>
  <si>
    <t>'09/02/16 12:33</t>
  </si>
  <si>
    <t>'9/02/16 16:13</t>
  </si>
  <si>
    <t>'9/02/16 16:14</t>
  </si>
  <si>
    <t>'9/02/16 16:23</t>
  </si>
  <si>
    <t>'10/02/16 1:00</t>
  </si>
  <si>
    <t>'10/02/16 01:03</t>
  </si>
  <si>
    <t>'10/02/16 01:16</t>
  </si>
  <si>
    <t>'10/02/16 5:10</t>
  </si>
  <si>
    <t>'10/02/16 10:00</t>
  </si>
  <si>
    <t>'10/02/16 10:05</t>
  </si>
  <si>
    <t>'10/02/16 10:18</t>
  </si>
  <si>
    <t>'10/02/16 14:00</t>
  </si>
  <si>
    <t>'10/02/16 13:58</t>
  </si>
  <si>
    <t>'10/02/16 14:04</t>
  </si>
  <si>
    <t>'10/02/16 23:37</t>
  </si>
  <si>
    <t>'10/02/16 11:39</t>
  </si>
  <si>
    <t>'10/02/16 23:48</t>
  </si>
  <si>
    <t>'11/02/16 12:37</t>
  </si>
  <si>
    <t>'13/02/16 5:28</t>
  </si>
  <si>
    <t>'13/02/16 6:20</t>
  </si>
  <si>
    <t>'11/02/16 12:38</t>
  </si>
  <si>
    <t>'not recorded. Get from nav files</t>
  </si>
  <si>
    <t>'13/02/16 5:33</t>
  </si>
  <si>
    <t>'13/02/16 6:23</t>
  </si>
  <si>
    <t>'11/02/16 12:48</t>
  </si>
  <si>
    <t>'13/02/16 5:41</t>
  </si>
  <si>
    <t>'13/02/16 6:33</t>
  </si>
  <si>
    <t>'13/02/16 7:50</t>
  </si>
  <si>
    <t>'13/02/16 10:20</t>
  </si>
  <si>
    <t>'13/02/16 10:18</t>
  </si>
  <si>
    <t>'13/02/16 10:26</t>
  </si>
  <si>
    <t>'13/02/16 6:09</t>
  </si>
  <si>
    <t>check data sheet - no sample ID</t>
  </si>
  <si>
    <t>krill; tricantha and tmac</t>
  </si>
  <si>
    <t>decapods and other crustaceans</t>
  </si>
  <si>
    <t>macrurid</t>
  </si>
  <si>
    <t>tricantha</t>
  </si>
  <si>
    <t>decapods, ostracods, amphipod</t>
  </si>
  <si>
    <t>mixed sample of salps, fish scales and some krill. 148g retained</t>
  </si>
  <si>
    <t>mixed fish scales and krill</t>
  </si>
  <si>
    <t>.283 retained</t>
  </si>
  <si>
    <t>benthabella macrospina</t>
  </si>
  <si>
    <t>borostomias antarctica</t>
  </si>
  <si>
    <t>previously called little brown gymno</t>
  </si>
  <si>
    <t>superba</t>
  </si>
  <si>
    <t>0.244 retained</t>
  </si>
  <si>
    <t>gaudicaudi</t>
  </si>
  <si>
    <t>retained from 37</t>
  </si>
  <si>
    <t>mixed sample of salps (80%), gaudicaudi (10%) and tricantha (10%); 0.142 mixed sample and separate gaudicaudi sample (37) retained</t>
  </si>
  <si>
    <t>brown gymno</t>
  </si>
  <si>
    <t>KX43</t>
  </si>
  <si>
    <t>MIDOC35</t>
  </si>
  <si>
    <t>PA: 79mm</t>
  </si>
  <si>
    <t>PA: 99mm</t>
  </si>
  <si>
    <t>PA: 90mm</t>
  </si>
  <si>
    <t>PA: 72mm</t>
  </si>
  <si>
    <t>retained 275g</t>
  </si>
  <si>
    <t>giant brown gymno</t>
  </si>
  <si>
    <t>regular gymno</t>
  </si>
  <si>
    <t>unidentified rattail?</t>
  </si>
  <si>
    <t>labelled #21 in photo</t>
  </si>
  <si>
    <t>little brown gymno</t>
  </si>
  <si>
    <t>gelatinous (sea lychee)</t>
  </si>
  <si>
    <t>4 E. triacantha, 2 E. vallentini</t>
  </si>
  <si>
    <t>retained 240g</t>
  </si>
  <si>
    <t>fish junk</t>
  </si>
  <si>
    <t>large squid (biggest)</t>
  </si>
  <si>
    <t>medium squid</t>
  </si>
  <si>
    <t>retained 506g</t>
  </si>
  <si>
    <t>ML: 447</t>
  </si>
  <si>
    <t>ML: 296</t>
  </si>
  <si>
    <t>scales mush</t>
  </si>
  <si>
    <t>E. vallentini</t>
  </si>
  <si>
    <t>E. vallentini and E. superba</t>
  </si>
  <si>
    <t>gelat krill mush</t>
  </si>
  <si>
    <t>1 E. vallentini, 1 juvenile E. superba</t>
  </si>
  <si>
    <t>KX44</t>
  </si>
  <si>
    <t>MIDOC36</t>
  </si>
  <si>
    <t>sawtooth larval</t>
  </si>
  <si>
    <t>krill mush/scales</t>
  </si>
  <si>
    <t>retained 313g</t>
  </si>
  <si>
    <t>1 E. superba, rest T. macrura and E. vallentini</t>
  </si>
  <si>
    <t>benthabella macropinna</t>
  </si>
  <si>
    <t>63</t>
  </si>
  <si>
    <t>gelat krill mush/scales</t>
  </si>
  <si>
    <t xml:space="preserve">E. vallentini </t>
  </si>
  <si>
    <t>juveniles</t>
  </si>
  <si>
    <t>plus 1 siphonophore</t>
  </si>
  <si>
    <t>squid, tail and mantle</t>
  </si>
  <si>
    <t>14.2.2016</t>
  </si>
  <si>
    <t>isopod (gigantor)</t>
  </si>
  <si>
    <t>benthabella elongata</t>
  </si>
  <si>
    <t>retained 350g</t>
  </si>
  <si>
    <t>retained 202g. 98% salps, 2% scales</t>
  </si>
  <si>
    <t>6 triacantha, 3 vallentini, 1 T. macrura, 0.5 superba</t>
  </si>
  <si>
    <t>retained 352g</t>
  </si>
  <si>
    <t>retained 201g</t>
  </si>
  <si>
    <t>9 triacantha, 1 vallentini</t>
  </si>
  <si>
    <t xml:space="preserve">viperfish </t>
  </si>
  <si>
    <t>eaten an Electrona sp</t>
  </si>
  <si>
    <t>benthalbella macropinna</t>
  </si>
  <si>
    <t>benthalbella elongata</t>
  </si>
  <si>
    <t>electrona small larval</t>
  </si>
  <si>
    <t xml:space="preserve">T. macrura </t>
  </si>
  <si>
    <t>145g retained</t>
  </si>
  <si>
    <t>larval electrona sp</t>
  </si>
  <si>
    <t>retained 162g</t>
  </si>
  <si>
    <t>re-photod tray for missing labels</t>
  </si>
  <si>
    <t xml:space="preserve">bathylagidae </t>
  </si>
  <si>
    <t>larval bathylagidae</t>
  </si>
  <si>
    <t>shelled and naked pteropods</t>
  </si>
  <si>
    <t>retained 239g. 5% inverts</t>
  </si>
  <si>
    <t>labels not in photo</t>
  </si>
  <si>
    <t>mixed inverts and gelat.</t>
  </si>
  <si>
    <t>salps, scales mush</t>
  </si>
  <si>
    <t>WP905</t>
  </si>
  <si>
    <t>0.620 retained</t>
  </si>
  <si>
    <t>0.222 retained; 5% gaudicaudi</t>
  </si>
  <si>
    <t>unidentified mycophid</t>
  </si>
  <si>
    <t>nancinia antarctica</t>
  </si>
  <si>
    <t>possibly viperfish</t>
  </si>
  <si>
    <t>juvenile</t>
  </si>
  <si>
    <t>salp mix</t>
  </si>
  <si>
    <t>60% salps, 25% scales, 5% inverts, 10% jellies</t>
  </si>
  <si>
    <t>tricantha, decapods, amphipods, ostracods, calycopsis</t>
  </si>
  <si>
    <t>50% fish, 35% salps/gelatinous, 10% squid, 5% crustaceans ...30% leprochauns</t>
  </si>
  <si>
    <t>0.463 g retained</t>
  </si>
  <si>
    <t>bentabella macropinna</t>
  </si>
  <si>
    <t>unidentified gymnoscopelus</t>
  </si>
  <si>
    <t>162 g retained</t>
  </si>
  <si>
    <t>borostomias</t>
  </si>
  <si>
    <t>.399 retained</t>
  </si>
  <si>
    <t>not whole</t>
  </si>
  <si>
    <t>ptomopteris</t>
  </si>
  <si>
    <t>90% gelatinous, 10% inverts</t>
  </si>
  <si>
    <t>subsample from mixed discard</t>
  </si>
  <si>
    <t>.285 retained</t>
  </si>
  <si>
    <t>.219 retained</t>
  </si>
  <si>
    <t>themisto</t>
  </si>
  <si>
    <t>12g subsample retained from mixed salp/gelat/scale sample</t>
  </si>
  <si>
    <t xml:space="preserve">salps </t>
  </si>
  <si>
    <t>ptomopteris and orange polychaete</t>
  </si>
  <si>
    <t>unidentified fish larva</t>
  </si>
  <si>
    <t>gaudicaudi and gunk</t>
  </si>
  <si>
    <t>gymno, viperfish, sawtooth #1</t>
  </si>
  <si>
    <t>mixed getlatinout</t>
  </si>
  <si>
    <t>.288 returned</t>
  </si>
  <si>
    <t>cynomacruris</t>
  </si>
  <si>
    <t>tadpole</t>
  </si>
  <si>
    <t>mr shiny face</t>
  </si>
  <si>
    <t xml:space="preserve">70% tricantha, 30% Tmac </t>
  </si>
  <si>
    <t>cranchid squids</t>
  </si>
  <si>
    <t>scale mush</t>
  </si>
  <si>
    <t>approx 25% gelatinous</t>
  </si>
  <si>
    <t>mashed</t>
  </si>
  <si>
    <t>POKEMON!</t>
  </si>
  <si>
    <t>Tmac</t>
  </si>
  <si>
    <t>fish scales and gelatinous</t>
  </si>
  <si>
    <t>includes a few siphonophores</t>
  </si>
  <si>
    <t>DUPLICATE ID</t>
  </si>
  <si>
    <t>notes indicate 2 bags of fish, but only weight of 1 bag recorded</t>
  </si>
  <si>
    <t>juvenile crocodile icefish</t>
  </si>
  <si>
    <t>stomias boaboa</t>
  </si>
  <si>
    <t>mutilated</t>
  </si>
  <si>
    <t>Tmac and mush</t>
  </si>
  <si>
    <t>70% tmac, 30% mush</t>
  </si>
  <si>
    <t>tmac</t>
  </si>
  <si>
    <t>krill E. triac</t>
  </si>
  <si>
    <t>KX46</t>
  </si>
  <si>
    <t>MIDOC38</t>
  </si>
  <si>
    <t>15.2.2016</t>
  </si>
  <si>
    <t>scales and gelatinous</t>
  </si>
  <si>
    <t>50:50 scales:gelat</t>
  </si>
  <si>
    <t>squid and squid head</t>
  </si>
  <si>
    <t>calycopsis, chaetognath and siphonophore</t>
  </si>
  <si>
    <t>3x calycopsis, 1x siphonophore, 1x chaetognath</t>
  </si>
  <si>
    <t>99% salps</t>
  </si>
  <si>
    <t>gelatinous and mush</t>
  </si>
  <si>
    <t>.217 retained</t>
  </si>
  <si>
    <t>.234 retained</t>
  </si>
  <si>
    <t>266g retained</t>
  </si>
  <si>
    <t>230g retained</t>
  </si>
  <si>
    <t>tricantha x3; valentini x10</t>
  </si>
  <si>
    <t>entered as 993-40, supposed to be -400??</t>
  </si>
  <si>
    <t>check with AW if CE 4 or 5</t>
  </si>
  <si>
    <t>valentini</t>
  </si>
  <si>
    <t>.275 retained</t>
  </si>
  <si>
    <t>33 full and 2 halves</t>
  </si>
  <si>
    <t>eel pout</t>
  </si>
  <si>
    <t>MIDOC39</t>
  </si>
  <si>
    <t>plus 1 fish larva</t>
  </si>
  <si>
    <t>unidentified gelatinous</t>
  </si>
  <si>
    <t>95% salps; 193 g retained</t>
  </si>
  <si>
    <t>big amphipod</t>
  </si>
  <si>
    <t>16.2.2016</t>
  </si>
  <si>
    <t>labelled as 02 as photo; fish labelled as 06 is was relabelled 99</t>
  </si>
  <si>
    <t>diffierent species to "normal" gymno?</t>
  </si>
  <si>
    <t>256g retained</t>
  </si>
  <si>
    <t>112g retained. 60% salps, 10% jellies; 30% scales and mush</t>
  </si>
  <si>
    <t>amphipods and ostracods</t>
  </si>
  <si>
    <t>unknown, like stubby sawtooth</t>
  </si>
  <si>
    <t>KX47</t>
  </si>
  <si>
    <t>KX48</t>
  </si>
  <si>
    <t>286g retained</t>
  </si>
  <si>
    <t>different gymno species?</t>
  </si>
  <si>
    <t>little black gymnoscopelus/fish</t>
  </si>
  <si>
    <t>icefish larva</t>
  </si>
  <si>
    <t>gut very full</t>
  </si>
  <si>
    <t xml:space="preserve">mixed inverts </t>
  </si>
  <si>
    <t xml:space="preserve">calycopsis 137g; ostracods 29g; decapods 20g; amphipods 20g. Ostracods to Jake Wallis </t>
  </si>
  <si>
    <t>257g retained</t>
  </si>
  <si>
    <t>574g of bathylagidae to Brett</t>
  </si>
  <si>
    <t>MIDOC40</t>
  </si>
  <si>
    <t>different to 9 and 8?</t>
  </si>
  <si>
    <t>different to others?</t>
  </si>
  <si>
    <t>retained 202g</t>
  </si>
  <si>
    <t>retained 300g</t>
  </si>
  <si>
    <t>95% scales</t>
  </si>
  <si>
    <t>regular gymnoscopelus</t>
  </si>
  <si>
    <t>1% E. triacantha</t>
  </si>
  <si>
    <t>MIDOC40_1_06</t>
  </si>
  <si>
    <t>mushed fish (possibly sawtooth)</t>
  </si>
  <si>
    <t>little black bathy mushed</t>
  </si>
  <si>
    <t>all squids</t>
  </si>
  <si>
    <t>Neopagetopsis ionah (icefish)</t>
  </si>
  <si>
    <t>larval cod</t>
  </si>
  <si>
    <t>fish, squid, inverts and scales</t>
  </si>
  <si>
    <t>little black gymnoscopelus (damaged)</t>
  </si>
  <si>
    <t>larval icefish</t>
  </si>
  <si>
    <t>amphipods and  ostracod</t>
  </si>
  <si>
    <t>Scales mush</t>
  </si>
  <si>
    <t>retained 406g</t>
  </si>
  <si>
    <t>1x E. triacantha, 1x E. vallentini</t>
  </si>
  <si>
    <t>1x ostracod</t>
  </si>
  <si>
    <t>trigonolampa miriceps</t>
  </si>
  <si>
    <t>3x amphipods</t>
  </si>
  <si>
    <t>catch.wt.raw</t>
  </si>
  <si>
    <t>codend.col</t>
  </si>
  <si>
    <t>CE6 didn't open so 5 represents 2 strata combined</t>
  </si>
  <si>
    <t>no scanmar, get from MIDOC logs</t>
  </si>
  <si>
    <t>white</t>
  </si>
  <si>
    <t>codend weight:.227</t>
  </si>
  <si>
    <t>zip colour not recorde, but codend weight noted as .200 kg</t>
  </si>
  <si>
    <t>codend weight:.195</t>
  </si>
  <si>
    <t>codend weight:.234</t>
  </si>
  <si>
    <t>codend weight:.241</t>
  </si>
  <si>
    <t>codend weight:.245</t>
  </si>
  <si>
    <t>codend not weighed</t>
  </si>
  <si>
    <t>adjusted</t>
  </si>
  <si>
    <t>white, yellow</t>
  </si>
  <si>
    <t>black, yellow</t>
  </si>
  <si>
    <t>MIDOC37</t>
  </si>
  <si>
    <t>not recorded</t>
  </si>
  <si>
    <t>check in midoc files</t>
  </si>
  <si>
    <t>no light</t>
  </si>
  <si>
    <t>13/02/16 21:23</t>
  </si>
  <si>
    <t>13/02/16 21:25</t>
  </si>
  <si>
    <t>13/02/16 21:33</t>
  </si>
  <si>
    <t>13/02/16 23:33</t>
  </si>
  <si>
    <t>14/02/16 01:23</t>
  </si>
  <si>
    <t>14/02/16 01:18</t>
  </si>
  <si>
    <t>14/02/16 01:26</t>
  </si>
  <si>
    <t>wind 11 kt, swell around 1m, no precip.</t>
  </si>
  <si>
    <t>Shot in full darkness, retrieved in full daylight. Appeared to be a smooth deployment</t>
  </si>
  <si>
    <t>crepuscular, morning</t>
  </si>
  <si>
    <t>14/02/16 15:12</t>
  </si>
  <si>
    <t>14/02/16 15:13</t>
  </si>
  <si>
    <t>14/02/16 15:22</t>
  </si>
  <si>
    <t>14/02/16 16:42</t>
  </si>
  <si>
    <t>14/02/16 19:12</t>
  </si>
  <si>
    <t>14/02/16 19:10</t>
  </si>
  <si>
    <t>14/02/16 19:18</t>
  </si>
  <si>
    <t>no notes</t>
  </si>
  <si>
    <t>WP1001</t>
  </si>
  <si>
    <t>15/2/16 04:45</t>
  </si>
  <si>
    <t>15/2/16 04:46</t>
  </si>
  <si>
    <t>15/2/16 04:55</t>
  </si>
  <si>
    <t>15/2/16 05:15</t>
  </si>
  <si>
    <t>15/2/16 08:45</t>
  </si>
  <si>
    <t>15/2/16 08:43</t>
  </si>
  <si>
    <t>15/2/16 08:49</t>
  </si>
  <si>
    <t>wind ~17kt and increasing, swell ~2m. Strong glare, ~70% cloud cover. WCPs, Prions and ant petrels following</t>
  </si>
  <si>
    <t>15/2/16 16:47</t>
  </si>
  <si>
    <t>15/2/16 16:48</t>
  </si>
  <si>
    <t>15/2/16 16:56</t>
  </si>
  <si>
    <t>15/2/16 18:17</t>
  </si>
  <si>
    <t>15/2/16 20:47</t>
  </si>
  <si>
    <t>15/2/16 20:45</t>
  </si>
  <si>
    <t>15/2/16 20:53</t>
  </si>
  <si>
    <t>wind ~22kt, swell ~1m</t>
  </si>
  <si>
    <t>WP1003</t>
  </si>
  <si>
    <t>16/2/16 01:30</t>
  </si>
  <si>
    <t>16/2/16 01:34</t>
  </si>
  <si>
    <t>16/2/16 01:44</t>
  </si>
  <si>
    <t>16/2/16 03:00</t>
  </si>
  <si>
    <t>16/2/16 05:30</t>
  </si>
  <si>
    <t>16/2/16 05:31</t>
  </si>
  <si>
    <t>wind ~18 kt, swell  1-2m, cloud cover 50%</t>
  </si>
  <si>
    <t>16/2/16 12:29</t>
  </si>
  <si>
    <t>16/2/16 12:31</t>
  </si>
  <si>
    <t>16/2/16 12:40</t>
  </si>
  <si>
    <t>16/2/16 13:59</t>
  </si>
  <si>
    <t>16/2/16 16:29</t>
  </si>
  <si>
    <t>16/2/16 16:31</t>
  </si>
  <si>
    <t>16/2/16 16:38</t>
  </si>
  <si>
    <t>swell ~3m and 1.5m confused sea. Wind 25-30 knot. Snowing and visibility &lt;1 mile. GPs, white chin and cape petrels following</t>
  </si>
  <si>
    <t>Camera was not downloaded between deployments.</t>
  </si>
  <si>
    <t>crepuscular, evening</t>
  </si>
  <si>
    <t>ID confirmed</t>
  </si>
  <si>
    <t>Photographed within a tray of mixed fish</t>
  </si>
  <si>
    <t>Benthalbella elongata</t>
  </si>
  <si>
    <t>protomyctophum?</t>
  </si>
  <si>
    <t>Coryphaenoides</t>
  </si>
  <si>
    <t>Benthalbella macropinna</t>
  </si>
  <si>
    <t>large sawtooth with same sample id</t>
  </si>
  <si>
    <t>Nansenia antarctica?</t>
  </si>
  <si>
    <t>all_fish</t>
  </si>
  <si>
    <t>taxon missing, check data sheet</t>
  </si>
  <si>
    <t>08/02/16 02:06</t>
  </si>
  <si>
    <t>12/02/16 7:23</t>
  </si>
  <si>
    <t>11/02/16  16:42</t>
  </si>
  <si>
    <t>Stomias boa boa?</t>
  </si>
  <si>
    <t>scaly dragonfish</t>
  </si>
  <si>
    <t>MIDOC20_4_28</t>
  </si>
  <si>
    <t>MIDOC20_4_29</t>
  </si>
  <si>
    <t>MIDOC20_4_30</t>
  </si>
  <si>
    <t>MIDOC20_4_31</t>
  </si>
  <si>
    <t>In photo (KX16-MIDOC20_048), but no ID or weights recorded. Entered 21 June 2016</t>
  </si>
  <si>
    <t>In photo (KX16-MIDOC20_048), but no ID or weights recorded. Entered 21 June 2017</t>
  </si>
  <si>
    <t>In photo (KX16-MIDOC20_048), but no ID or weights recorded. Entered 21 June 2018</t>
  </si>
  <si>
    <t>In photo (KX16-MIDOC20_048), but no ID or weights recorded. Entered 21 June 2019</t>
  </si>
  <si>
    <t>Paradiplospinus gracilis</t>
  </si>
  <si>
    <t>KX16-MIDOC03_CODEND4_020.jpg:2380-1956</t>
  </si>
  <si>
    <t>KX16-MIDOC03_CODEND4_020.jpg:1906-2046</t>
  </si>
  <si>
    <t>KX16-MIDOC03_CODEND4_020.jpg:1502-1892</t>
  </si>
  <si>
    <t>KX16-MIDOC06_045.jpg:2335-2041</t>
  </si>
  <si>
    <t>KX16-MIDOC12_018.jpg:0632-2189</t>
  </si>
  <si>
    <t>KX16-MIDOC20_002.jpg:0782-1874</t>
  </si>
  <si>
    <t>photo.label</t>
  </si>
  <si>
    <t>KX16-MIDOC23_018.jpg:1610-2043</t>
  </si>
  <si>
    <t>KX16-MIDOC23_018.jpg:1032-1951</t>
  </si>
  <si>
    <t>KX16-MIDOC23_054.jpg:2564-2117</t>
  </si>
  <si>
    <t>KX16-Midoc 24_011.jpg:2390-2256</t>
  </si>
  <si>
    <t>KX16-Midoc 26_008.jpg:2293-1940</t>
  </si>
  <si>
    <t>KX16-Midoc 26_008.jpg:2626-2104</t>
  </si>
  <si>
    <t>KX16-Midoc 26_032.jpg:2438-2046</t>
  </si>
  <si>
    <t>KX16-Midoc 27_081.jpg:0613-2110</t>
  </si>
  <si>
    <t>KX16-Midoc 27_081.jpg:0894-2418</t>
  </si>
  <si>
    <t>KX16-Midoc 27_081.jpg:0350-2124</t>
  </si>
  <si>
    <t>KX16-Midoc 28_011.jpg:2159-2239</t>
  </si>
  <si>
    <t>KX16-Midoc 28_011.jpg:1560-2250</t>
  </si>
  <si>
    <t>KX16-Midoc 28_023.jpg:0980-2069</t>
  </si>
  <si>
    <t>KX16-Midoc 29_016.jpg:1351-2152</t>
  </si>
  <si>
    <t>KX16-Midoc 30_007.jpg:2465-2296</t>
  </si>
  <si>
    <t>KX16-Midoc 30_044.jpg:2378-2103</t>
  </si>
  <si>
    <t>KX16-Midoc 30_044.jpg:2084-1958</t>
  </si>
  <si>
    <t>KX16-Midoc 30_044.jpg:1689-2060</t>
  </si>
  <si>
    <t>KX16-Midoc 31_007.jpg:2457-1960</t>
  </si>
  <si>
    <t>KX16-Midoc 31_064.jpg:0347-2032</t>
  </si>
  <si>
    <t>KX16-Midoc 34_005_measured.jpg:1389-2263</t>
  </si>
  <si>
    <t>KX16-Midoc 35_042.jpg:2368-2124</t>
  </si>
  <si>
    <t>.420 retained</t>
  </si>
  <si>
    <t>90% salps, 10% scales; 354g retained</t>
  </si>
  <si>
    <t>gelatinous crud</t>
  </si>
  <si>
    <t>0.140kg retained</t>
  </si>
  <si>
    <t>95% salps; 5% scales</t>
  </si>
  <si>
    <t>NO WEIGHT RECORDED; ESTIMATED WEIGHT OF 7 BASED ON INDIVIDUALS</t>
  </si>
  <si>
    <t>2 decapods, 1 ostracod, 2 "maggots"</t>
  </si>
  <si>
    <t>.252 kg retained</t>
  </si>
  <si>
    <t>97g retained</t>
  </si>
  <si>
    <t>10% misc gelat; 197g retained</t>
  </si>
  <si>
    <t>salps, scales, gelatinous</t>
  </si>
  <si>
    <t>all but 1 headless</t>
  </si>
  <si>
    <t>partial fish, at least 11 individuals</t>
  </si>
  <si>
    <t>parasite (from bathylagiid?)</t>
  </si>
  <si>
    <t>2 naked, 1 shelled</t>
  </si>
  <si>
    <t>.226 retained</t>
  </si>
  <si>
    <t>.103 retained</t>
  </si>
  <si>
    <t>crustaceans and calycopsis</t>
  </si>
  <si>
    <t>gunk</t>
  </si>
  <si>
    <t>salps 60%; scales 30%; jellies 10%</t>
  </si>
  <si>
    <t>Jellies</t>
  </si>
  <si>
    <t>KX16-Midoc 38_021.jpg:2171-2106</t>
  </si>
  <si>
    <t>KX16-Midoc 38_021.jpg:2548-2101</t>
  </si>
  <si>
    <t>KX16-Midoc 38_047.jpg:0632-2028</t>
  </si>
  <si>
    <t>KX16-Midoc 38_047.jpg:0315-2058</t>
  </si>
  <si>
    <t>KX16-Midoc 40_067.jpg:KX16-Midoc 40_067</t>
  </si>
  <si>
    <t>KX16-Midoc 40_068.jpg:1538-1924</t>
  </si>
  <si>
    <t>KX16-Midoc 37_001.jpg:0366-2162</t>
  </si>
  <si>
    <t>KX16-MIDOC02_CODEND1_004.jpg:0352-3014</t>
  </si>
  <si>
    <t>KX16-MIDOC02_CODEND1_004.jpg:0258-3198</t>
  </si>
  <si>
    <t>KX16-MIDOC16_031.jpg:1334-3773</t>
  </si>
  <si>
    <t>Notolepis</t>
  </si>
  <si>
    <t>KX16-MIDOC16_031.jpg:1380-0748</t>
  </si>
  <si>
    <t>KX16-MIDOC16_031.jpg:1810-1080</t>
  </si>
  <si>
    <t>KX16-MIDOC16_031.jpg:1867-1345</t>
  </si>
  <si>
    <t>KX16-MIDOC16_031.jpg:1924-2535</t>
  </si>
  <si>
    <t>KX16-MIDOC16_031.jpg:2023-3045</t>
  </si>
  <si>
    <t>Notolepis larvae</t>
  </si>
  <si>
    <t>Notothenioid larvae</t>
  </si>
  <si>
    <t>KX16-MIDOC16_028.jpg:1390-2421</t>
  </si>
  <si>
    <t>KX16-MIDOC16_028.jpg:1552-2179</t>
  </si>
  <si>
    <t>KX16-MIDOC16_026.jpg:1239-2180</t>
  </si>
  <si>
    <t>KX16-MIDOC16_026.jpg:1105-1956</t>
  </si>
  <si>
    <t>KX16-MIDOC16_019.jpg:1182-3272</t>
  </si>
  <si>
    <t>KX16-MIDOC16_019.jpg:1606-3433</t>
  </si>
  <si>
    <t>KX16-MIDOC16_019.jpg:1500-3544</t>
  </si>
  <si>
    <t>KX16-MIDOC16_019.jpg:1305-3631</t>
  </si>
  <si>
    <t>Notolepis coatsi</t>
  </si>
  <si>
    <t>KX16-MIDOC16_016.jpg:1227-1009</t>
  </si>
  <si>
    <t>KX16-MIDOC16_016.jpg:1332-1681</t>
  </si>
  <si>
    <t>KX16-MIDOC16_016.jpg:1120-1467</t>
  </si>
  <si>
    <t>KX16-MIDOC16_016.jpg:0836-1205</t>
  </si>
  <si>
    <t>KX16-MIDOC16_016.jpg:0853-0740</t>
  </si>
  <si>
    <t>KX16-MIDOC15_076.jpg:1491-3782</t>
  </si>
  <si>
    <t>KX16-MIDOC15_076.jpg:1194-3619</t>
  </si>
  <si>
    <t>KX16-MIDOC15_076.jpg:1586-0953</t>
  </si>
  <si>
    <t>KX16-MIDOC15_076.jpg:1498-2770</t>
  </si>
  <si>
    <t>KX16-MIDOC15_076.jpg:1472-1233</t>
  </si>
  <si>
    <t>KX16-MIDOC15_076.jpg:1452-3484</t>
  </si>
  <si>
    <t>KX16-MIDOC15_076.jpg:1478-3238</t>
  </si>
  <si>
    <t>KX16-MIDOC15_055.jpg:1302-3653</t>
  </si>
  <si>
    <t>KX16-MIDOC15_055.jpg:1234-3191</t>
  </si>
  <si>
    <t>KX16-MIDOC15_055.jpg:1122-3002</t>
  </si>
  <si>
    <t>KX16-MIDOC15_055.jpg:0980-2247</t>
  </si>
  <si>
    <t>KX16-MIDOC15_055.jpg:0940-1231</t>
  </si>
  <si>
    <t>KX16-MIDOC15_029.jpg:2271-2547</t>
  </si>
  <si>
    <t>KX16-MIDOC15_029.jpg:2160-2706</t>
  </si>
  <si>
    <t>KX16-MIDOC15_020.jpg:1394-0607</t>
  </si>
  <si>
    <t>KX16-MIDOC15_020.jpg:0405-2928</t>
  </si>
  <si>
    <t>KX16-MIDOC15_020.jpg:1405-2047</t>
  </si>
  <si>
    <t>KX16-MIDOC15_020.jpg:1549-2723</t>
  </si>
  <si>
    <t>KX16-MIDOC15_020.jpg:1598-2974</t>
  </si>
  <si>
    <t>KX16-MIDOC15_014.jpg:1348-0662</t>
  </si>
  <si>
    <t>KX16-MIDOC15_014.jpg:1424-0828</t>
  </si>
  <si>
    <t>KX16-MIDOC15_014.jpg:1354-1002</t>
  </si>
  <si>
    <t>KX16-MIDOC15_014.jpg:1488-1102</t>
  </si>
  <si>
    <t>KX16-MIDOC14_025.jpg:1407-2254</t>
  </si>
  <si>
    <t>KX16-MIDOC14_025.jpg:1373-2070</t>
  </si>
  <si>
    <t>KX16-MIDOC14_025.jpg:1333-1799</t>
  </si>
  <si>
    <t>KX16-MIDOC14_025.jpg:1356-1617</t>
  </si>
  <si>
    <t>KX16-MIDOC14_018.jpg:1298-3515</t>
  </si>
  <si>
    <t>KX16-MIDOC14_018.jpg:0601-2175</t>
  </si>
  <si>
    <t>KX16-MIDOC14_013.jpg:1913-1148</t>
  </si>
  <si>
    <t>KX16-MIDOC14_013.jpg:2038-0788</t>
  </si>
  <si>
    <t>KX16-MIDOC14_013.jpg:1993-1365</t>
  </si>
  <si>
    <t>KX16-MIDOC14_013.jpg:2106-0687</t>
  </si>
  <si>
    <t>KX16-MIDOC14_013.jpg:1834-0968</t>
  </si>
  <si>
    <t>KX_16-MIDOC_13_001.jpg:0649-2024</t>
  </si>
  <si>
    <t>KX_16-MIDOC_13_001.jpg:0990-2114</t>
  </si>
  <si>
    <t>KX_16-MIDOC_13_001.jpg:1178-1955</t>
  </si>
  <si>
    <t>KX_16-MIDOC_13_001.jpg:1348-1911</t>
  </si>
  <si>
    <t>KX16-MIDOC12_045.jpg:1706-3479</t>
  </si>
  <si>
    <t>KX16-MIDOC12_045.jpg:1782-3234</t>
  </si>
  <si>
    <t>KX16-MIDOC12_045.jpg:1847-3045</t>
  </si>
  <si>
    <t>KX16-MIDOC12_045.jpg:1880-2940</t>
  </si>
  <si>
    <t>KX16-MIDOC12_045.jpg:1914-2822</t>
  </si>
  <si>
    <t>Paralepididae</t>
  </si>
  <si>
    <t>Notolepis?</t>
  </si>
  <si>
    <t>KX16-MIDOC12_036.jpg:2296-2203</t>
  </si>
  <si>
    <t>KX16-MIDOC12_036.jpg:2578-2014</t>
  </si>
  <si>
    <t>Notolepis annulata/Arctozenus risso?</t>
  </si>
  <si>
    <t>KX16-MIDOC12_018.jpg:1506-2433</t>
  </si>
  <si>
    <t>KX16-MIDOC12_018.jpg:2115-2769</t>
  </si>
  <si>
    <t>KX16-MIDOC12_018.jpg:1812-2366</t>
  </si>
  <si>
    <t>KX16-MIDOC12_013.jpg:1259-1956</t>
  </si>
  <si>
    <t>KX16-MIDOC12_013.jpg:1715-1019</t>
  </si>
  <si>
    <t>KX16-MIDOC12_013.jpg:2179-1213</t>
  </si>
  <si>
    <t>KX16-MIDOC12_013.jpg:1940-1180</t>
  </si>
  <si>
    <t>KX16-MIDOC12_013.jpg:2425-1146</t>
  </si>
  <si>
    <t>KX16-MIDOC12_013.jpg:2082-1228</t>
  </si>
  <si>
    <t>KX16-MIDOC12_013.jpg:2528-1192</t>
  </si>
  <si>
    <t>KX16-MIDOC12_013.jpg:2590-1121</t>
  </si>
  <si>
    <t>KX16-MIDOC11_041.jpg:1143-2958</t>
  </si>
  <si>
    <t>KX16-MIDOC11_041.jpg:1256-3487</t>
  </si>
  <si>
    <t>Notolepis annulata?</t>
  </si>
  <si>
    <t>KX16-MIDOC11_041.jpg:1011-2652</t>
  </si>
  <si>
    <t>KX16-MIDOC11_041.jpg:0824-0732</t>
  </si>
  <si>
    <t>KX16-MIDOC11_041.jpg:0978-2448</t>
  </si>
  <si>
    <t>KX16-MIDOC11_034.jpg:1272-3561</t>
  </si>
  <si>
    <t>KX16-MIDOC11_030.jpg:1322-2757</t>
  </si>
  <si>
    <t>KX16-MIDOC11_030.jpg:1515-3562</t>
  </si>
  <si>
    <t>KX16-MIDOC11_030.jpg:1204-2614</t>
  </si>
  <si>
    <t>KX16-MIDOC11_030.jpg:1127-2256</t>
  </si>
  <si>
    <t>KX16-MIDOC11_030.jpg:1512-3207</t>
  </si>
  <si>
    <t>KX16-MIDOC11_012.jpg:1357-1836</t>
  </si>
  <si>
    <t>KX_16-MIDOC_10_021.jpg:1965-1210</t>
  </si>
  <si>
    <t>KX_16-MIDOC_10_021.jpg:1759-0759</t>
  </si>
  <si>
    <t>KX_16-MIDOC_10_021.jpg:1653-0895</t>
  </si>
  <si>
    <t>KX_16-MIDOC_10_021.jpg:1785-1060</t>
  </si>
  <si>
    <t>KX_16-MIDOC_10_021.jpg:1733-0582</t>
  </si>
  <si>
    <t>KX16-MIDOC09_042.jpg:1191-0871</t>
  </si>
  <si>
    <t>KX16-MIDOC09_042.jpg:1083-0760</t>
  </si>
  <si>
    <t>KX16-MIDOC09_042.jpg:0987-0987</t>
  </si>
  <si>
    <t>KX16-MIDOC09_042.jpg:2216-0337</t>
  </si>
  <si>
    <t>KX16-MIDOC09_042.jpg:1480-1389</t>
  </si>
  <si>
    <t>KX16-MIDOC09_025.jpg:1293-2745</t>
  </si>
  <si>
    <t>KX16-MIDOC09_025.jpg:1274-2418</t>
  </si>
  <si>
    <t>KX16-MIDOC09_020.jpg:2027-2446</t>
  </si>
  <si>
    <t>KX16-MIDOC09_012.jpg:1586-0421</t>
  </si>
  <si>
    <t>KX16-MIDOC07_052.jpg:0879-3402</t>
  </si>
  <si>
    <t>KX16-MIDOC07_052.jpg:0958-3191</t>
  </si>
  <si>
    <t>KX16-MIDOC07_052.jpg:0946-3648</t>
  </si>
  <si>
    <t>KX16-MIDOC07_020.jpg:1220-2528</t>
  </si>
  <si>
    <t>KX16-MIDOC07_013.jpg:0993-0908</t>
  </si>
  <si>
    <t>KX16-MIDOC06_053.jpg:2104-2165</t>
  </si>
  <si>
    <t>KX16-MIDOC06_053.jpg:1690-2385</t>
  </si>
  <si>
    <t>KX16-MIDOC06_053.jpg:1402-2382</t>
  </si>
  <si>
    <t>KX16-MIDOC06_053.jpg:0977-2301</t>
  </si>
  <si>
    <t>KX16-MIDOC06_053.jpg:0415-2116</t>
  </si>
  <si>
    <t>KX16-MIDOC06_045.jpg:0959-2274</t>
  </si>
  <si>
    <t>KX16-MIDOC06_045.jpg:1057-2114</t>
  </si>
  <si>
    <t>KX16-MIDOC06_045.jpg:1154-1972</t>
  </si>
  <si>
    <t>KX16-MIDOC06_027.jpg:2292-2200</t>
  </si>
  <si>
    <t>KX16-MIDOC06_027.jpg:1960-2356</t>
  </si>
  <si>
    <t>KX16-MIDOC06_027.jpg:1642-2276</t>
  </si>
  <si>
    <t>KX16-MIDOC06_015.jpg:2286-2819</t>
  </si>
  <si>
    <t>KX16-MIDOC06_008.jpg:0756-1258</t>
  </si>
  <si>
    <t>KX16-MIDOC06_008.jpg:1136-1351</t>
  </si>
  <si>
    <t>KX16-MIDOC06_008.jpg:0834-1179</t>
  </si>
  <si>
    <t xml:space="preserve">CHECK! MISTAKE IN DATA ENTRY, HAD SAWTOOTH 2MIDOC07_CE6_09 AS 6.4 KG RATHER THAN SALPS; ASSUMED  0.002; </t>
  </si>
  <si>
    <t>KX16-MIDOC06_008.jpg:1154-1497</t>
  </si>
  <si>
    <t>KX16-MIDOC05_050.jpg:1942-2132</t>
  </si>
  <si>
    <t>Magnisudis prionosa?</t>
  </si>
  <si>
    <t>KX16-MIDOC05_041.jpg:1115-3243</t>
  </si>
  <si>
    <t>KX16-MIDOC05_041.jpg:1191-2898</t>
  </si>
  <si>
    <t>KX16-MIDOC05_041.jpg:1234-3616</t>
  </si>
  <si>
    <t>KX16-MIDOC05_041.jpg:1348-2559</t>
  </si>
  <si>
    <t>KX16-MIDOC05_041.jpg:1277-2316</t>
  </si>
  <si>
    <t>KX16-MIDOC05_038.jpg:1163-2770</t>
  </si>
  <si>
    <t>KX16-MIDOC05_035.jpg:0711-1485</t>
  </si>
  <si>
    <t>KX16-MIDOC05_035.jpg:0602-1226</t>
  </si>
  <si>
    <t>KX16-MIDOC05_013.jpg:1527-2014</t>
  </si>
  <si>
    <t>KX16-MIDOC05_013.jpg:1439-1747</t>
  </si>
  <si>
    <t>KX16-MIDOC05_013.jpg:1537-0833</t>
  </si>
  <si>
    <t>KX16-MIDOC05_013.jpg:1638-1277</t>
  </si>
  <si>
    <t>KX16-MIDOC05_013.jpg:1517-1553</t>
  </si>
  <si>
    <t>KX16-MIDOC04_040.jpg:1726-2371</t>
  </si>
  <si>
    <t>KX16-MIDOC04_040.jpg:1750-3402</t>
  </si>
  <si>
    <t>KX16-MIDOC04_040.jpg:1812-2573</t>
  </si>
  <si>
    <t>KX16-MIDOC04_040.jpg:1920-3042</t>
  </si>
  <si>
    <t>KX16-MIDOC04_040.jpg:1902-3714</t>
  </si>
  <si>
    <t>KX16-MIDOC04_033.jpg:1986-2787</t>
  </si>
  <si>
    <t>KX16-MIDOC04_008.jpg:1702-0674</t>
  </si>
  <si>
    <t>KX16-MIDOC04_008.jpg:1434-0474</t>
  </si>
  <si>
    <t>KX16-MIDOC03_CODEND4_020.jpg:1304-2394</t>
  </si>
  <si>
    <t>KX16-MIDOC03_CODEND4_020.jpg:0274-2054</t>
  </si>
  <si>
    <t>KX16-MIDOC03_CODEND4_020.jpg:0496-2340</t>
  </si>
  <si>
    <t>KX16-MIDOC03_CODEND4_020.jpg:0732-2384</t>
  </si>
  <si>
    <t>KX16-MIDOC03_CODEND4_020.jpg:0854-2408</t>
  </si>
  <si>
    <t>KX16-MIDOC03_CODEND4_020.jpg:1008-2464</t>
  </si>
  <si>
    <t>KX16-MIDOC03_CODEND4_020.jpg:1120-2444</t>
  </si>
  <si>
    <t>KX16-MIDOC03_CODEND4_020.jpg:1226-2382</t>
  </si>
  <si>
    <t>KX16-MIDOC03_CODEND4_014.jpg:2292-1856</t>
  </si>
  <si>
    <t>Paralepididae/Paradiplospinus gracilis</t>
  </si>
  <si>
    <t>KX16-MIDOC03_CODEND4_002.jpg:0959-2862</t>
  </si>
  <si>
    <t>KX16-MIDOC03_CODEND4_002.jpg:0718-2827</t>
  </si>
  <si>
    <t>KX16-MIDOC03_CODEND4_002.jpg:0561-2443</t>
  </si>
  <si>
    <t>KX16-MIDOC03_CODEND2_003.jpg:1206-1276</t>
  </si>
  <si>
    <t>KX_16-MIDOC_17_008.jpg:1380-1669</t>
  </si>
  <si>
    <t>KX_16-MIDOC_17_008.jpg:1564-1642</t>
  </si>
  <si>
    <t>KX_16-MIDOC_17_008.jpg:1681-1762</t>
  </si>
  <si>
    <t>KX_16-MIDOC_17_008.jpg:1810-1666</t>
  </si>
  <si>
    <t>KX_16-MIDOC_17_008.jpg:1922-1705</t>
  </si>
  <si>
    <t>KX_16-MIDOC_17_018.jpg:1675-2073</t>
  </si>
  <si>
    <t>KX_16-MIDOC_17_022.jpg:1779-0675</t>
  </si>
  <si>
    <t>KX_16-MIDOC_17_025.jpg:2053-1761</t>
  </si>
  <si>
    <t>KX_16-MIDOC_17_025.jpg:2051-1559</t>
  </si>
  <si>
    <t>KX_16-MIDOC_17_030.jpg:2461-1980</t>
  </si>
  <si>
    <t>KX_16-MIDOC_17_030.jpg:2198-2801</t>
  </si>
  <si>
    <t>KX_16-MIDOC_17_030.jpg:1813-3222</t>
  </si>
  <si>
    <t>KX_16-MIDOC_17_030.jpg:1948-1023</t>
  </si>
  <si>
    <t>KX_16-MIDOC_17_030.jpg:1556-2255</t>
  </si>
  <si>
    <t>KX_16-MIDOC_17_030.jpg:1815-2409</t>
  </si>
  <si>
    <t>KX_16-MIDOC_18_010.jpg:1258-1652</t>
  </si>
  <si>
    <t>KX_16-MIDOC_18_010.jpg:1027-1164</t>
  </si>
  <si>
    <t>KX_16-MIDOC_18_010.jpg:0870-1148</t>
  </si>
  <si>
    <t>KX_16-MIDOC_18_010.jpg:0753-1412</t>
  </si>
  <si>
    <t>KX_16-MIDOC_18_010.jpg:0582-1274</t>
  </si>
  <si>
    <t>KX_16-MIDOC_18_013.jpg:1675-2396</t>
  </si>
  <si>
    <t>KX_16-MIDOC_18_013.jpg:1457-2127</t>
  </si>
  <si>
    <t>KX_16-MIDOC_18_025.jpg:0491-2344</t>
  </si>
  <si>
    <t>KX_16-MIDOC_18_025.jpg:1944-2750</t>
  </si>
  <si>
    <t>KX_16-MIDOC_18_025.jpg:2164-2388</t>
  </si>
  <si>
    <t>KX_16-MIDOC_18_025.jpg:1811-0778</t>
  </si>
  <si>
    <t>KX_16-MIDOC_18_025.jpg:1996-1002</t>
  </si>
  <si>
    <t>KX16-MIDOC19_010.jpg:1011-2024</t>
  </si>
  <si>
    <t>KX16-MIDOC19_010.jpg:1879-1313</t>
  </si>
  <si>
    <t>KX16-MIDOC19_010.jpg:2201-1917</t>
  </si>
  <si>
    <t>KX16-MIDOC19_020.jpg:1497-2555</t>
  </si>
  <si>
    <t>KX16-MIDOC19_026.jpg:0836-0637</t>
  </si>
  <si>
    <t>KX16-MIDOC19_026.jpg:0996-0543</t>
  </si>
  <si>
    <t>KX16-MIDOC19_030.jpg:0640-1516</t>
  </si>
  <si>
    <t>KX16-MIDOC19_032.jpg:0866-3261</t>
  </si>
  <si>
    <t>KX16-MIDOC19_032.jpg:0790-3442</t>
  </si>
  <si>
    <t>KX16-MIDOC19_032.jpg:0862-3506</t>
  </si>
  <si>
    <t>KX16-MIDOC19_032.jpg:0827-3629</t>
  </si>
  <si>
    <t>KX16-MIDOC20_028.jpg:1742-1647</t>
  </si>
  <si>
    <t>KX16-MIDOC20_028.jpg:1797-1433</t>
  </si>
  <si>
    <t>KX16-MIDOC20_028.jpg:1742-1179</t>
  </si>
  <si>
    <t>KX16-MIDOC20_045.jpg:1216-0625</t>
  </si>
  <si>
    <t>KX16-MIDOC20_045.jpg:0922-1013</t>
  </si>
  <si>
    <t>KX16-MIDOC20_045.jpg:0637-1258</t>
  </si>
  <si>
    <t>KX16-MIDOC20_045.jpg:0757-1405</t>
  </si>
  <si>
    <t>KX16-MIDOC20_056.jpg:2626-2748</t>
  </si>
  <si>
    <t>KX16-MIDOC20_056.jpg:2381-3079</t>
  </si>
  <si>
    <t>KX16-MIDOC20_056.jpg:2617-1474</t>
  </si>
  <si>
    <t>KX16-MIDOC20_056.jpg:2287-3014</t>
  </si>
  <si>
    <t>Head covered by label in photo</t>
  </si>
  <si>
    <t>KX16-MIDOC21_009.jpg:2275-0856</t>
  </si>
  <si>
    <t>KX16-MIDOC21_009.jpg:1048-0874</t>
  </si>
  <si>
    <t>KX16-MIDOC21_009.jpg:1177-0695</t>
  </si>
  <si>
    <t>KX16-MIDOC21_009.jpg:2247-1439</t>
  </si>
  <si>
    <t>KX16-MIDOC21_012.jpg:2440-2495</t>
  </si>
  <si>
    <t>KX16-MIDOC21_009.jpg</t>
  </si>
  <si>
    <t xml:space="preserve">    MIDOC21_3_46</t>
  </si>
  <si>
    <t>KX16-MIDOC21_017.jpg:0819-2760</t>
  </si>
  <si>
    <t>KX16-MIDOC21_017.jpg:0890-2512</t>
  </si>
  <si>
    <t>KX16-MIDOC21_017.jpg:0906-3314</t>
  </si>
  <si>
    <t>KX16-MIDOC21_017.jpg:0915-2975</t>
  </si>
  <si>
    <t>KX16-MIDOC21_017.jpg:0956-2673</t>
  </si>
  <si>
    <t>KX16-MIDOC21_020.jpg:1503-3752</t>
  </si>
  <si>
    <t>KX16-MIDOC22_023.jpg:2140-1130</t>
  </si>
  <si>
    <t>KX16-MIDOC22_023.jpg:2299-1379</t>
  </si>
  <si>
    <t>KX16-MIDOC22_023.jpg:2282-2565</t>
  </si>
  <si>
    <t>KX16-MIDOC22_023.jpg:2511-2779</t>
  </si>
  <si>
    <t>KX16-MIDOC22_023.jpg:2396-3145</t>
  </si>
  <si>
    <t>KX16-MIDOC22_003.jpg:0648-2349</t>
  </si>
  <si>
    <t>KX16-MIDOC22_003.jpg:0736-2437</t>
  </si>
  <si>
    <t>KX16-MIDOC22_003.jpg:0673-2561</t>
  </si>
  <si>
    <t>KX16-MIDOC22_003.jpg:0699-2663</t>
  </si>
  <si>
    <t>larva</t>
  </si>
  <si>
    <t>KX16-MIDOC22_011.jpg:0542-2486</t>
  </si>
  <si>
    <t>KX16-MIDOC22_011.jpg:0542-2264</t>
  </si>
  <si>
    <t>KX16-MIDOC22_011.jpg:0589-2090</t>
  </si>
  <si>
    <t>KX16-MIDOC22_017.jpg:2117-1329</t>
  </si>
  <si>
    <t>KX16-MIDOC22_017.jpg:2218-1472</t>
  </si>
  <si>
    <t>KX16-MIDOC22_017.jpg:2232-1594</t>
  </si>
  <si>
    <t>KX16-MIDOC22_017.jpg:2189-1756</t>
  </si>
  <si>
    <t>KX16-MIDOC23_003.jpg:0916-1453</t>
  </si>
  <si>
    <t>Notolepis/Arctozenus risso?</t>
  </si>
  <si>
    <t>KX16-MIDOC23_004.jpg:1189-3389</t>
  </si>
  <si>
    <t>KX16-MIDOC23_004.jpg:1671-2321</t>
  </si>
  <si>
    <t>KX16-MIDOC23_004.jpg:1884-2373</t>
  </si>
  <si>
    <t>KX16-MIDOC23_011.jpg:0994-1500</t>
  </si>
  <si>
    <t>KX16-MIDOC23_020.jpg:1012-1921</t>
  </si>
  <si>
    <t>KX16-MIDOC23_020.jpg:1008-2098</t>
  </si>
  <si>
    <t>KX16-MIDOC23_020.jpg:0894-2695</t>
  </si>
  <si>
    <t>KX16-MIDOC23_020.jpg:0913-2553</t>
  </si>
  <si>
    <t>KX16-MIDOC23_020.jpg:0907-2407</t>
  </si>
  <si>
    <t>KX16-MIDOC23_029.jpg:2427-2210</t>
  </si>
  <si>
    <t>KX16-MIDOC23_029.jpg:1848-2658</t>
  </si>
  <si>
    <t>KX16-MIDOC23_050.jpg:0678-2477</t>
  </si>
  <si>
    <t>KX16-MIDOC23_050.jpg:1070-2525</t>
  </si>
  <si>
    <t>KX16-MIDOC23_050.jpg:1826-2438</t>
  </si>
  <si>
    <t>KX16-MIDOC23_050.jpg:2183-2312</t>
  </si>
  <si>
    <t>KX16-MIDOC23_050.jpg:2452-2147</t>
  </si>
  <si>
    <t>KX16-MIDOC22_027.jpg:KX16_MIDOC_22_CE1_01</t>
  </si>
  <si>
    <t>Magnisudis prionosa</t>
  </si>
  <si>
    <t>KX16-Midoc 24_012.jpg:1276-2437</t>
  </si>
  <si>
    <t>KX16-Midoc 24_012.jpg:1289-2331</t>
  </si>
  <si>
    <t>KX16-Midoc 24_019.jpg:1628-2339</t>
  </si>
  <si>
    <t>KX16-Midoc 24_034.jpg</t>
  </si>
  <si>
    <t>KX16-Midoc 24_025.jpg:1916-1959</t>
  </si>
  <si>
    <t>KX16-Midoc 24_025.jpg:0850-1867</t>
  </si>
  <si>
    <t>KX16-Midoc 24_025.jpg:1440-2319</t>
  </si>
  <si>
    <t>KX16-Midoc 24_025.jpg:1613-1512</t>
  </si>
  <si>
    <t>KX16-Midoc 24_025.jpg:1280-1490</t>
  </si>
  <si>
    <t>KX16-Midoc 25_006.jpg:0780-2235</t>
  </si>
  <si>
    <t>KX16-Midoc 25_018.jpg:1849-1278</t>
  </si>
  <si>
    <t>KX16-Midoc 25_018.jpg:1704-1130</t>
  </si>
  <si>
    <t>KX16-Midoc 25_018.jpg:1861-0999</t>
  </si>
  <si>
    <t>KX16-Midoc 25_018.jpg:1896-0792</t>
  </si>
  <si>
    <t>KX16-Midoc 25_018.jpg:1652-0674</t>
  </si>
  <si>
    <t>KX16-Midoc 26_002.jpg:0742-1346</t>
  </si>
  <si>
    <t>KX16-Midoc 26_016.jpg:1061-2687</t>
  </si>
  <si>
    <t>KX16-Midoc 26_016.jpg:1009-2833</t>
  </si>
  <si>
    <t>KX16-Midoc 26_016.jpg:1101-2946</t>
  </si>
  <si>
    <t>KX16-Midoc 26_016.jpg:1006-3009</t>
  </si>
  <si>
    <t>KX16-Midoc 26_016.jpg:1061-3123</t>
  </si>
  <si>
    <t>KX16-Midoc 26_016.jpg:1175-3265</t>
  </si>
  <si>
    <t>KX16-Midoc 26_027.jpg:2107-1308</t>
  </si>
  <si>
    <t>KX16-Midoc 26_033.jpg:1850-1569</t>
  </si>
  <si>
    <t>KX16-Midoc 26_036.jpg:2003-1414</t>
  </si>
  <si>
    <t>KX16-Midoc 26_036.jpg:1935-1287</t>
  </si>
  <si>
    <t>KX16-Midoc 26_036.jpg:1911-0978</t>
  </si>
  <si>
    <t>KX16-Midoc 26_036.jpg:1833-0836</t>
  </si>
  <si>
    <t>KX16-Midoc 26_036.jpg:1848-0730</t>
  </si>
  <si>
    <t>incorrectly ID'd as K. anderssoni</t>
  </si>
  <si>
    <t>KX16-MIDOC19_026.jpg:0581-1466</t>
  </si>
  <si>
    <t>KX16-MIDOC19_026.jpg:0574-1270</t>
  </si>
  <si>
    <t>KX16-MIDOC19_026.jpg:0549-1071</t>
  </si>
  <si>
    <t>KX16-MIDOC19_026.jpg:0546-0892</t>
  </si>
  <si>
    <t>melanonus</t>
  </si>
  <si>
    <t>id checked in photo by RT on 21-Feb-17</t>
  </si>
  <si>
    <t>id checked in photo by RT on 21-Feb-17, looks like gymnoscopelus</t>
  </si>
  <si>
    <t>RT checked; these were melanonus</t>
  </si>
  <si>
    <t>checked by RT in photos - bathylagus</t>
  </si>
  <si>
    <t>Cyclothone</t>
  </si>
  <si>
    <t>checked by RT in photos - cyclothone</t>
  </si>
  <si>
    <t>KX16-Midoc 24_012_measured.jpg</t>
  </si>
  <si>
    <t>cyclothone</t>
  </si>
  <si>
    <t>checked by rt in photo 21-2-2017</t>
  </si>
  <si>
    <t>RT checked photos, cyclothone consistently called "little black gymno"</t>
  </si>
  <si>
    <t>no fish with matching ID in photos</t>
  </si>
  <si>
    <t>unidientified/other myctophids</t>
  </si>
  <si>
    <t>checked in photo  by RT- this is a melamphid</t>
  </si>
  <si>
    <t>KX16-MIDOC15_089.jpg:2200-0543</t>
  </si>
  <si>
    <t>KX16-MIDOC15_089.jpg:2216-1028</t>
  </si>
  <si>
    <t>KX16-MIDOC15_089.jpg:2183-1801</t>
  </si>
  <si>
    <t>KX16-MIDOC15_089.jpg:2225-2429</t>
  </si>
  <si>
    <t>KX16-MIDOC15_089.jpg:2194-2686</t>
  </si>
  <si>
    <t>electrona antarctica</t>
  </si>
  <si>
    <t>KX16-MIDOC15_085.jpg:0819-2396</t>
  </si>
  <si>
    <t>KX16-MIDOC15_085.jpg:2135-1204</t>
  </si>
  <si>
    <t>KX16-MIDOC15_085.jpg:1909-1632</t>
  </si>
  <si>
    <t>KX16-MIDOC15_087.jpg:0913-2674</t>
  </si>
  <si>
    <t>KX16-MIDOC15_087.jpg:0914-1897</t>
  </si>
  <si>
    <t>KX16-MIDOC15_083.jpg:2020-2617</t>
  </si>
  <si>
    <t>KX16-MIDOC15_083.jpg:1457-0820</t>
  </si>
  <si>
    <t>KX16-MIDOC15_083.jpg:2244-3675</t>
  </si>
  <si>
    <t>KX16-MIDOC15_079.jpg:1702-2331</t>
  </si>
  <si>
    <t>KX16-MIDOC15_079.jpg:2096-1638</t>
  </si>
  <si>
    <t>gymnoscopelus opisthopterus</t>
  </si>
  <si>
    <t>otoliths removed</t>
  </si>
  <si>
    <t>one otolith removed</t>
  </si>
  <si>
    <t>KX16-MIDOC15_057.jpg:2427-2348</t>
  </si>
  <si>
    <t>KX16-MIDOC16_004.jpg:1047-2118</t>
  </si>
  <si>
    <t>KX16-MIDOC16_004.jpg:1081-1414</t>
  </si>
  <si>
    <t>KX16-MIDOC16_002.jpg:0788-1485</t>
  </si>
  <si>
    <t>KX16-MIDOC16_002.jpg:1793-2810</t>
  </si>
  <si>
    <t>KX16-MIDOC16_002.jpg:2035-1286</t>
  </si>
  <si>
    <t>KX16-MIDOC16_016.jpg:1314-3687</t>
  </si>
  <si>
    <t>KX16-MIDOC16_018.jpg:2050-1896</t>
  </si>
  <si>
    <t>KX16-MIDOC16_018.jpg:2151-0720</t>
  </si>
  <si>
    <t>KX16-MIDOC16_018.jpg:1363-2074</t>
  </si>
  <si>
    <t>KX16-MIDOC16_018.jpg:0620-1926</t>
  </si>
  <si>
    <t>KX16-MIDOC16_018.jpg:0589-1525</t>
  </si>
  <si>
    <t>stomachs dissected</t>
  </si>
  <si>
    <t>stomachs dissected; otoliths removed</t>
  </si>
  <si>
    <t>KX16-MIDOC16_019.jpg:2048-2858</t>
  </si>
  <si>
    <t>KX16-MIDOC16_019.jpg:2046-3042</t>
  </si>
  <si>
    <t xml:space="preserve">stomachs dissected; otoliths removed </t>
  </si>
  <si>
    <t>KX16-MIDOC16_020.jpg:0895-0747</t>
  </si>
  <si>
    <t>gymnoscopelus nicholsi</t>
  </si>
  <si>
    <t>gymnoscopelus braueri</t>
  </si>
  <si>
    <t>KX16-MIDOC16_020.jpg:0983-2400</t>
  </si>
  <si>
    <t>KX16-MIDOC16_020.jpg:1914-3718</t>
  </si>
  <si>
    <t>KX16-MIDOC16_020.jpg:1986-3327</t>
  </si>
  <si>
    <t>KX16-MIDOC16_020.jpg:0906-3390</t>
  </si>
  <si>
    <t xml:space="preserve">Protomyctophum </t>
  </si>
  <si>
    <t>KX16-MIDOC16_026.jpg:0925-1447</t>
  </si>
  <si>
    <t>KX_16-MIDOC_17_004.jpg:1895-2227</t>
  </si>
  <si>
    <t>KX_16-MIDOC_17_005.jpg:2351-1744</t>
  </si>
  <si>
    <t>KX_16-MIDOC_17_004.jpg:1905-0423</t>
  </si>
  <si>
    <t>KX_16-MIDOC_17_005.jpg:1331-2714</t>
  </si>
  <si>
    <t>KX_16-MIDOC_17_005.jpg:2516-0915</t>
  </si>
  <si>
    <t>KX_16-MIDOC_17_008.jpg:2436-1703</t>
  </si>
  <si>
    <t>KX_16-MIDOC_17_008.jpg:2506-1506</t>
  </si>
  <si>
    <t>KX_16-MIDOC_17_008.jpg:2439-1928</t>
  </si>
  <si>
    <t>KX_16-MIDOC_17_008.jpg:2430-2121</t>
  </si>
  <si>
    <t>KX_16-MIDOC_17_008.jpg:2429-2311</t>
  </si>
  <si>
    <t>KX_16-MIDOC_17_008.jpg:1231-3434</t>
  </si>
  <si>
    <t>KX_16-MIDOC_17_008.jpg:1237-3073</t>
  </si>
  <si>
    <t>KX_16-MIDOC_17_008.jpg:1169-2844</t>
  </si>
  <si>
    <t>KX_16-MIDOC_17_008.jpg:1185-2616</t>
  </si>
  <si>
    <t>KX_16-MIDOC_17_008.jpg:1959-0651</t>
  </si>
  <si>
    <t>KX_16-MIDOC_18_006.jpg:0802-1834</t>
  </si>
  <si>
    <t>KX_16-MIDOC_18_006.jpg:0754-0686</t>
  </si>
  <si>
    <t>KX_16-MIDOC_18_006.jpg:0736-0895</t>
  </si>
  <si>
    <t>KX_16-MIDOC_18_006.jpg:0764-1097</t>
  </si>
  <si>
    <t>KX_16-MIDOC_18_006.jpg:0727-2859</t>
  </si>
  <si>
    <t>KX_16-MIDOC_18_006.jpg:1955-1822</t>
  </si>
  <si>
    <t>KX_16-MIDOC_18_006.jpg:1883-2253</t>
  </si>
  <si>
    <t>KX_16-MIDOC_18_006.jpg:1822-1090</t>
  </si>
  <si>
    <t>KX_16-MIDOC_18_006.jpg:1919-3315</t>
  </si>
  <si>
    <t>KX_16-MIDOC_18_006.jpg:1825-3586</t>
  </si>
  <si>
    <t>F</t>
  </si>
  <si>
    <t>M</t>
  </si>
  <si>
    <t>KX_16-MIDOC_18_010.jpg:1709-2102</t>
  </si>
  <si>
    <t>KX_16-MIDOC_18_010.jpg:1506-2219</t>
  </si>
  <si>
    <t>KX_16-MIDOC_18_010.jpg:2145-1454</t>
  </si>
  <si>
    <t>KX_16-MIDOC_18_010.jpg:2088-1634</t>
  </si>
  <si>
    <t>KX_16-MIDOC_18_013.jpg:0959-0987</t>
  </si>
  <si>
    <t>lampanyctus sp</t>
  </si>
  <si>
    <t>KX_16-MIDOC_18_013.jpg:1231-0665</t>
  </si>
  <si>
    <t>KX_16-MIDOC_18_013.jpg:2195-1837</t>
  </si>
  <si>
    <t>KX_16-MIDOC_18_013.jpg:2161-1668</t>
  </si>
  <si>
    <t>KX16-MIDOC20_010.jpg:0842-1461</t>
  </si>
  <si>
    <t>KX16-MIDOC20_010.jpg:0977-2026</t>
  </si>
  <si>
    <t>KX16-MIDOC20_005.jpg:1047-3685</t>
  </si>
  <si>
    <t>KX16-MIDOC20_005.jpg:0953-1503</t>
  </si>
  <si>
    <t>KX16-MIDOC20_008.jpg:1008-1996</t>
  </si>
  <si>
    <t>stomias sp</t>
  </si>
  <si>
    <t>KX16-MIDOC20_026.jpg:0703-2534</t>
  </si>
  <si>
    <t>KX16-MIDOC20_036.jpg:1999-1807</t>
  </si>
  <si>
    <t>KX16-MIDOC20_036.jpg:2045-1467</t>
  </si>
  <si>
    <t>KX16-MIDOC20_036.jpg:2005-1216</t>
  </si>
  <si>
    <t>KX16-MIDOC20_036.jpg:1848-0882</t>
  </si>
  <si>
    <t>KX16-MIDOC20_036.jpg:1706-0635</t>
  </si>
  <si>
    <t>Nansenia antarctica</t>
  </si>
  <si>
    <t>5Feb2016_RTrebilco_042.jpg:0570-3177</t>
  </si>
  <si>
    <t>5Feb2016_RTrebilco_042.jpg:0582-2817</t>
  </si>
  <si>
    <t>5Feb2016_RTrebilco_042.jpg:0521-2376</t>
  </si>
  <si>
    <t>5Feb2016_RTrebilco_042.jpg:0519-2107</t>
  </si>
  <si>
    <t>5Feb2016_RTrebilco_042.jpg:0643-1822</t>
  </si>
  <si>
    <t>KX16-MIDOC22_002.jpg:0931-3623</t>
  </si>
  <si>
    <t>KX16-MIDOC22_002.jpg:1919-1060</t>
  </si>
  <si>
    <t>KX16-MIDOC22_002.jpg:0800-2026</t>
  </si>
  <si>
    <t>KX16-MIDOC22_002.jpg:0735-1407</t>
  </si>
  <si>
    <t>KX16-MIDOC22_002.jpg:1931-1921</t>
  </si>
  <si>
    <t>KX16-MIDOC22_003.jpg:1804-2595</t>
  </si>
  <si>
    <t>KX16-MIDOC22_003.jpg:2041-2828</t>
  </si>
  <si>
    <t>KX16-MIDOC22_003.jpg:2146-3030</t>
  </si>
  <si>
    <t>KX16-MIDOC22_003.jpg:2133-3235</t>
  </si>
  <si>
    <t>KX16-MIDOC23_011.jpg:1562-1099</t>
  </si>
  <si>
    <t>melanonus sp</t>
  </si>
  <si>
    <t>borostomias antarcticus</t>
  </si>
  <si>
    <t>KX16-MIDOC23_018.jpg:2189-2606</t>
  </si>
  <si>
    <t>KX16-MIDOC23_018.jpg:1850-2421</t>
  </si>
  <si>
    <t>KX16-MIDOC23_020.jpg:2275-2137</t>
  </si>
  <si>
    <t>protomyctophum bolini</t>
  </si>
  <si>
    <t>KX16-MIDOC23_024.jpg:2476-1934</t>
  </si>
  <si>
    <t>KX16-MIDOC23_024.jpg:2539-1568</t>
  </si>
  <si>
    <t>KX16-MIDOC23_024.jpg:2453-1171</t>
  </si>
  <si>
    <t>KX16-MIDOC23_024.jpg:2546-1073</t>
  </si>
  <si>
    <t>Melanonus</t>
  </si>
  <si>
    <t>KX16-MIDOC23_020.jpg:1227-3333</t>
  </si>
  <si>
    <t>KX16-MIDOC23_020.jpg:1083-0647</t>
  </si>
  <si>
    <t>Nannobracium achirus</t>
  </si>
  <si>
    <t>KX16-MIDOC23_020.jpg:0983-0939</t>
  </si>
  <si>
    <t>Gymnoscopelus nicholsi</t>
  </si>
  <si>
    <t>KX16-MIDOC23_020.jpg:1086-1264</t>
  </si>
  <si>
    <t>Gymnoscopelus braueri</t>
  </si>
  <si>
    <t>KX16-MIDOC23_020.jpg:1017-1665</t>
  </si>
  <si>
    <t>KX16-MIDOC23_020.jpg:0969-2998</t>
  </si>
  <si>
    <t>gymnoscopelus fraseri</t>
  </si>
  <si>
    <t>KX16-MIDOC23_020.jpg:2026-1221</t>
  </si>
  <si>
    <t>KX16-MIDOC23_020.jpg:2070-0680</t>
  </si>
  <si>
    <t>stomias boa boa</t>
  </si>
  <si>
    <t>KX16-MIDOC23_011.jpg:2159-1800</t>
  </si>
  <si>
    <t>melamphid</t>
  </si>
  <si>
    <t>KX16-MIDOC23_011.jpg:</t>
  </si>
  <si>
    <t>KX16-MIDOC23_011.jpg:2143-0780</t>
  </si>
  <si>
    <t>KX16-MIDOC23_011.jpg:2140-3265</t>
  </si>
  <si>
    <t>KX16-MIDOC23_011.jpg:0739-0829</t>
  </si>
  <si>
    <t>KX16-MIDOC23_011.jpg:0832-1903</t>
  </si>
  <si>
    <t>KX16-MIDOC23_011.jpg:0919-3611</t>
  </si>
  <si>
    <t>KX16-MIDOC23_011.jpg:1382-0813</t>
  </si>
  <si>
    <t>KX16-MIDOC23_011.jpg:1406-0942</t>
  </si>
  <si>
    <t>KX16-MIDOC23_011.jpg:1356-1220</t>
  </si>
  <si>
    <t>KX16-MIDOC23_011.jpg:1364-1387</t>
  </si>
  <si>
    <t>KX16-MIDOC23_011.jpg:1517-2664</t>
  </si>
  <si>
    <t>KX16-MIDOC23_011.jpg:1604-3104</t>
  </si>
  <si>
    <t>KX16-MIDOC23_011.jpg:2198-0994</t>
  </si>
  <si>
    <t>KX16-MIDOC23_011.jpg:2125-1542</t>
  </si>
  <si>
    <t>KX16-MIDOC23_011.jpg:2175-1297</t>
  </si>
  <si>
    <t>KX16-MIDOC23_013.jpg:0906-0546</t>
  </si>
  <si>
    <t>KX16-MIDOC23_013.jpg:0903-2095</t>
  </si>
  <si>
    <t>KX16-MIDOC23_013.jpg:0970-3436</t>
  </si>
  <si>
    <t>KX16-MIDOC23_017.jpg:1030-0731</t>
  </si>
  <si>
    <t>KX16-MIDOC23_017.jpg:1052-1452</t>
  </si>
  <si>
    <t>KX16-MIDOC23_017.jpg:0951-2057</t>
  </si>
  <si>
    <t>KX16-MIDOC23_017.jpg:0963-2510</t>
  </si>
  <si>
    <t>KX16-MIDOC23_017.jpg:0977-2896</t>
  </si>
  <si>
    <t>KX16-MIDOC23_017.jpg:</t>
  </si>
  <si>
    <t>KX16-MIDOC23_017.jpg:1516-2507</t>
  </si>
  <si>
    <t>KX16-MIDOC23_017.jpg:2194-1379</t>
  </si>
  <si>
    <t>KX16-MIDOC23_017.jpg:2255-2360</t>
  </si>
  <si>
    <t>KX16-MIDOC23_017.jpg:2257-3057</t>
  </si>
  <si>
    <t>KX16-MIDOC23_024.jpg:2484-2844</t>
  </si>
  <si>
    <t>KX16-MIDOC23_024.jpg:2450-2662</t>
  </si>
  <si>
    <t>KX16-MIDOC23_024.jpg:2454-2510</t>
  </si>
  <si>
    <t>KX16-MIDOC23_024.jpg:0937-1012</t>
  </si>
  <si>
    <t>KX16-MIDOC23_024.jpg:0988-2684</t>
  </si>
  <si>
    <t>KX16-MIDOC23_024.jpg:1068-3418</t>
  </si>
  <si>
    <t>KX16-MIDOC23_024.jpg:1749-1200</t>
  </si>
  <si>
    <t>KX16-MIDOC23_024.jpg:</t>
  </si>
  <si>
    <t>KX16-MIDOC23_027.jpg:0855-1438</t>
  </si>
  <si>
    <t>KX16-MIDOC23_027.jpg:0860-2320</t>
  </si>
  <si>
    <t>KX16-MIDOC23_027.jpg:0972-3169</t>
  </si>
  <si>
    <t>KX16-MIDOC23_027.jpg:1049-3538</t>
  </si>
  <si>
    <t>KX16-MIDOC23_027.jpg:2073-1116</t>
  </si>
  <si>
    <t>KX16-MIDOC23_027.jpg:2226-2874</t>
  </si>
  <si>
    <t>KX16-MIDOC23_027.jpg:2231-3004</t>
  </si>
  <si>
    <t>KX16-MIDOC23_027.jpg:2191-3171</t>
  </si>
  <si>
    <t>piablis?</t>
  </si>
  <si>
    <t>KX16-MIDOC23_044_measured.jpg:0769-3426</t>
  </si>
  <si>
    <t>KX16-MIDOC23_044_measured.jpg:0748-1960</t>
  </si>
  <si>
    <t>KX16-MIDOC23_028.jpg:1088-2136</t>
  </si>
  <si>
    <t>KX16-MIDOC23_028.jpg:2089-1157</t>
  </si>
  <si>
    <t>KX16-MIDOC23_028.jpg:2110-0713</t>
  </si>
  <si>
    <t>KX16-MIDOC23_028.jpg:0858-1483</t>
  </si>
  <si>
    <t>KX16-MIDOC23_028.jpg:0993-1050</t>
  </si>
  <si>
    <t>KX16-MIDOC23_028.jpg:2091-2598</t>
  </si>
  <si>
    <t>KX16-MIDOC23_028.jpg:2157-2886</t>
  </si>
  <si>
    <t xml:space="preserve">gymnoscopelus </t>
  </si>
  <si>
    <t>KX16-MIDOC23_029.jpg:</t>
  </si>
  <si>
    <t>KX16-MIDOC23_036.jpg:0450-1183</t>
  </si>
  <si>
    <t>KX16-MIDOC23_036.jpg:2040-1061</t>
  </si>
  <si>
    <t>KX16-MIDOC23_036.jpg:1215-2735</t>
  </si>
  <si>
    <t>KX16-MIDOC23_036.jpg:2367-2728</t>
  </si>
  <si>
    <t>KX16-MIDOC23_038.jpg:2037-0607</t>
  </si>
  <si>
    <t>KX16-MIDOC23_046.jpg:0867-3263</t>
  </si>
  <si>
    <t>KX16-MIDOC23_046.jpg:1715-1635</t>
  </si>
  <si>
    <t>KX16-MIDOC23_046.jpg:1772-1445</t>
  </si>
  <si>
    <t>KX16-MIDOC23_046.jpg:1789-1106</t>
  </si>
  <si>
    <t>KX16-MIDOC23_046.jpg:1780-1274</t>
  </si>
  <si>
    <t>KX16-MIDOC23_046.jpg:1763-0872</t>
  </si>
  <si>
    <t>KX16-MIDOC23_046.jpg:1722-0677</t>
  </si>
  <si>
    <t>KX16-MIDOC23_046.jpg:1610-3538</t>
  </si>
  <si>
    <t>KX16-MIDOC23_046.jpg:2054-2917</t>
  </si>
  <si>
    <t>KX16-MIDOC23_046.jpg:2366-1764</t>
  </si>
  <si>
    <t>KX16-MIDOC23_046.jpg:2425-1621</t>
  </si>
  <si>
    <t>KX16-MIDOC23_046.jpg:2396-0976</t>
  </si>
  <si>
    <t>KX16-MIDOC23_046.jpg:2405-0786</t>
  </si>
  <si>
    <t>KX16-MIDOC23_046.jpg:2419-0712</t>
  </si>
  <si>
    <t>KX16-MIDOC23_054.jpg:</t>
  </si>
  <si>
    <t>KX16-MIDOC23_054.jpg:0638-1104</t>
  </si>
  <si>
    <t>KX16-MIDOC23_054.jpg:0623-1323</t>
  </si>
  <si>
    <t>KX16-MIDOC23_054.jpg:0807-2264</t>
  </si>
  <si>
    <t>KX16-MIDOC23_054.jpg:0843-2467</t>
  </si>
  <si>
    <t>KX16-MIDOC23_054.jpg:0813-2861</t>
  </si>
  <si>
    <t>KX16-MIDOC23_054.jpg:0851-3032</t>
  </si>
  <si>
    <t>KX16-MIDOC23_054.jpg:0930-3209</t>
  </si>
  <si>
    <t>KX16-MIDOC23_054.jpg:1102-3562</t>
  </si>
  <si>
    <t>KX16-MIDOC23_054.jpg:1604-1318</t>
  </si>
  <si>
    <t>KX16-MIDOC23_054.jpg:1626-1172</t>
  </si>
  <si>
    <t>KX16-MIDOC23_054.jpg:1638-1724</t>
  </si>
  <si>
    <t>KX16-MIDOC23_054.jpg:1657-2024</t>
  </si>
  <si>
    <t>KX16-MIDOC23_054.jpg:1606-2295</t>
  </si>
  <si>
    <t>KX16-MIDOC23_054.jpg:1688-2547</t>
  </si>
  <si>
    <t>KX16-MIDOC23_054.jpg:1680-2673</t>
  </si>
  <si>
    <t>KX16-MIDOC23_054.jpg:1635-2788</t>
  </si>
  <si>
    <t>KX16-Midoc 24_002.jpg:0783-1072</t>
  </si>
  <si>
    <t>KX16-Midoc 24_002.jpg:0973-1767</t>
  </si>
  <si>
    <t>KX16-Midoc 24_002.jpg:0943-2647</t>
  </si>
  <si>
    <t>KX16-Midoc 24_002.jpg:0994-3634</t>
  </si>
  <si>
    <t>KX16-Midoc 24_002.jpg:2021-0852</t>
  </si>
  <si>
    <t>KX16-Midoc 24_002.jpg:2021-1351</t>
  </si>
  <si>
    <t>KX16-Midoc 24_002.jpg:2049-1648</t>
  </si>
  <si>
    <t>KX16-Midoc 24_002.jpg:2125-1870</t>
  </si>
  <si>
    <t>KX16-Midoc 24_002.jpg:1985-2327</t>
  </si>
  <si>
    <t>KX16-Midoc 24_002.jpg:2098-2840</t>
  </si>
  <si>
    <t>KX16-Midoc 24_002.jpg:2083-3313</t>
  </si>
  <si>
    <t>KX16-Midoc 24_003.jpg:1362-0676</t>
  </si>
  <si>
    <t>KX16-Midoc 24_003.jpg:0405-0937</t>
  </si>
  <si>
    <t>KX16-Midoc 24_003.jpg:0351-1363</t>
  </si>
  <si>
    <t>KX16-Midoc 24_003.jpg:0468-1893</t>
  </si>
  <si>
    <t>KX16-Midoc 24_003.jpg:0447-2366</t>
  </si>
  <si>
    <t>KX16-Midoc 24_003.jpg:0521-2722</t>
  </si>
  <si>
    <t>KX16-Midoc 24_003.jpg:1887-1031</t>
  </si>
  <si>
    <t>KX16-Midoc 24_003.jpg:1897-1227</t>
  </si>
  <si>
    <t>KX16-Midoc 24_003.jpg:1966-1494</t>
  </si>
  <si>
    <t>KX16-Midoc 24_003.jpg:1964-1974</t>
  </si>
  <si>
    <t>KX16-Midoc 24_003.jpg:1977-2389</t>
  </si>
  <si>
    <t>KX16-Midoc 24_003.jpg:2025-2692</t>
  </si>
  <si>
    <t>KX16-Midoc 24_003.jpg:1865-3416</t>
  </si>
  <si>
    <t>KX16-Midoc 24_004.jpg:</t>
  </si>
  <si>
    <t>KX16-Midoc 24_008.jpg:0704-0981</t>
  </si>
  <si>
    <t>KX16-Midoc 24_008.jpg:0705-1367</t>
  </si>
  <si>
    <t>KX16-Midoc 24_008.jpg:0579-2907</t>
  </si>
  <si>
    <t>KX16-Midoc 24_008.jpg:1131-2233</t>
  </si>
  <si>
    <t>KX16-Midoc 24_008.jpg:1216-3084</t>
  </si>
  <si>
    <t>lampanyctus/nannobrachium?</t>
  </si>
  <si>
    <t>KX16-Midoc 24_009.jpg:1062-0864</t>
  </si>
  <si>
    <t>KX16-Midoc 24_009.jpg:1069-1584</t>
  </si>
  <si>
    <t>KX16-Midoc 24_009.jpg:1081-2052</t>
  </si>
  <si>
    <t>KX16-Midoc 24_009.jpg:0896-3577</t>
  </si>
  <si>
    <t>KX16-Midoc 24_009.jpg:2214-0963</t>
  </si>
  <si>
    <t>KX16-Midoc 24_009.jpg:2112-2146</t>
  </si>
  <si>
    <t>KX16-Midoc 24_011.jpg:0654-1183</t>
  </si>
  <si>
    <t>KX16-Midoc 24_011.jpg:1223-1110</t>
  </si>
  <si>
    <t>KX16-Midoc 24_011.jpg:1382-1107</t>
  </si>
  <si>
    <t>KX16-Midoc 24_011.jpg:1560-1083</t>
  </si>
  <si>
    <t>KX16-Midoc 24_011.jpg:1698-1079</t>
  </si>
  <si>
    <t>KX16-Midoc 24_011.jpg:1063-2661</t>
  </si>
  <si>
    <t>KX16-Midoc 24_011.jpg:1681-2542</t>
  </si>
  <si>
    <t>KX16-Midoc 24_012.jpg:0562-1048</t>
  </si>
  <si>
    <t>KX16-Midoc 24_012.jpg:0617-1265</t>
  </si>
  <si>
    <t>KX16-Midoc 24_012.jpg:0503-1680</t>
  </si>
  <si>
    <t>KX16-Midoc 24_012.jpg:0505-2027</t>
  </si>
  <si>
    <t>KX16-Midoc 24_012.jpg:0679-2590</t>
  </si>
  <si>
    <t>KX16-Midoc 24_012.jpg:0855-3026</t>
  </si>
  <si>
    <t>KX16-Midoc 24_012.jpg:0900-3343</t>
  </si>
  <si>
    <t>KX16-Midoc 24_012.jpg:1018-3767</t>
  </si>
  <si>
    <t>KX16-Midoc 24_014.jpg:KX16-Midoc 24_014</t>
  </si>
  <si>
    <t>centrolophus</t>
  </si>
  <si>
    <t>KX16-Midoc 24_018.jpg:0889-1891</t>
  </si>
  <si>
    <t>KX16-Midoc 24_018.jpg:1906-2091</t>
  </si>
  <si>
    <t>KX16-Midoc 24_019.jpg:0325-0647</t>
  </si>
  <si>
    <t>KX16-Midoc 24_019.jpg:0369-1028</t>
  </si>
  <si>
    <t>KX16-Midoc 24_019.jpg:0483-1848</t>
  </si>
  <si>
    <t>KX16-Midoc 24_019.jpg:0410-2070</t>
  </si>
  <si>
    <t>KX16-Midoc 24_019.jpg:0576-2570</t>
  </si>
  <si>
    <t>KX16-Midoc 24_019.jpg:1609-3054</t>
  </si>
  <si>
    <t>KX16-Midoc 24_019.jpg:1599-3334</t>
  </si>
  <si>
    <t>KX16-Midoc 24_019.jpg:2122-1004</t>
  </si>
  <si>
    <t>KX16-Midoc 24_019.jpg:2095-1159</t>
  </si>
  <si>
    <t>KX16-Midoc 24_019.jpg:2133-1332</t>
  </si>
  <si>
    <t>KX16-Midoc 24_019.jpg:2082-1553</t>
  </si>
  <si>
    <t>KX16-Midoc 24_019.jpg:2045-1761</t>
  </si>
  <si>
    <t>KX16-Midoc 24_019.jpg:2029-1987</t>
  </si>
  <si>
    <t>KX16-Midoc 24_021.jpg:</t>
  </si>
  <si>
    <t>KX16-Midoc 24_021.jpg:1358-1034</t>
  </si>
  <si>
    <t>KX16-Midoc 24_021.jpg:1387-1212</t>
  </si>
  <si>
    <t>KX16-Midoc 24_021.jpg:1448-1426</t>
  </si>
  <si>
    <t>KX16-Midoc 24_021.jpg:1447-1560</t>
  </si>
  <si>
    <t>KX16-Midoc 24_021.jpg:1444-1759</t>
  </si>
  <si>
    <t>KX16-Midoc 24_021.jpg:1458-1948</t>
  </si>
  <si>
    <t>KX16-Midoc 24_021.jpg:1416-2084</t>
  </si>
  <si>
    <t>KX16-Midoc 24_021.jpg:1466-2183</t>
  </si>
  <si>
    <t>KX16-Midoc 24_021.jpg:1532-2479</t>
  </si>
  <si>
    <t>KX16-Midoc 24_021.jpg:1620-2920</t>
  </si>
  <si>
    <t>KX16-Midoc 24_021.jpg:1592-3180</t>
  </si>
  <si>
    <t>KX16-Midoc 24_024.jpg:KX16-Midoc 24_024</t>
  </si>
  <si>
    <t>KX16-Midoc 24_025.jpg:0481-2167</t>
  </si>
  <si>
    <t>KX16-Midoc 24_025.jpg:</t>
  </si>
  <si>
    <t>KX16-Midoc 24_026.jpg:0688-2197</t>
  </si>
  <si>
    <t>KX16-Midoc 24_026.jpg:0661-1921</t>
  </si>
  <si>
    <t>KX16-Midoc 24_026.jpg:0668-1701</t>
  </si>
  <si>
    <t>KX16-Midoc 24_026.jpg:0648-1506</t>
  </si>
  <si>
    <t>KX16-Midoc 24_026.jpg:0476-2437</t>
  </si>
  <si>
    <t>KX16-Midoc 24_026.jpg:0448-2628</t>
  </si>
  <si>
    <t>KX16-Midoc 24_026.jpg:0978-2654</t>
  </si>
  <si>
    <t>KX16-Midoc 24_026.jpg:0996-3087</t>
  </si>
  <si>
    <t>KX16-Midoc 24_026.jpg:0989-3199</t>
  </si>
  <si>
    <t>KX16-Midoc 24_026.jpg:0991-3483</t>
  </si>
  <si>
    <t>KX16-Midoc 24_026.jpg:0546-3624</t>
  </si>
  <si>
    <t>KX16-Midoc 24_026.jpg:0612-3815</t>
  </si>
  <si>
    <t>KX16-Midoc 24_026.jpg:1019-2899</t>
  </si>
  <si>
    <t>KX16-Midoc 24_026.jpg:1928-0840</t>
  </si>
  <si>
    <t>KX16-Midoc 24_026.jpg:1826-1523</t>
  </si>
  <si>
    <t>KX16-Midoc 24_026.jpg:1675-1371</t>
  </si>
  <si>
    <t>KX16-Midoc 24_026.jpg:1973-2853</t>
  </si>
  <si>
    <t>KX16-Midoc 24_026.jpg:1950-2961</t>
  </si>
  <si>
    <t>KX16-Midoc 24_026.jpg:1594-3311</t>
  </si>
  <si>
    <t>KX16-Midoc 24_026.jpg:2107-3373</t>
  </si>
  <si>
    <t>KX16-Midoc 24_026.jpg:1884-3520</t>
  </si>
  <si>
    <t>KX16-Midoc 24_026.jpg:2087-3696</t>
  </si>
  <si>
    <t>KX16-Midoc 24_026.jpg:1863-3889</t>
  </si>
  <si>
    <t>bathyteuthis abyssicola</t>
  </si>
  <si>
    <t>KX16-Midoc 24_027.jpg:2137-3738</t>
  </si>
  <si>
    <t>KX16-Midoc 25_002.jpg:0832-2009</t>
  </si>
  <si>
    <t>KX16-Midoc 25_002.jpg:1171-2481</t>
  </si>
  <si>
    <t>KX16-Midoc 25_002.jpg:1248-2936</t>
  </si>
  <si>
    <t>KX16-Midoc 25_003.jpg:KX16-Midoc 25_003</t>
  </si>
  <si>
    <t>KX16-Midoc 25_005.jpg:1139-1661</t>
  </si>
  <si>
    <t>KX16-Midoc 25_005.jpg:1014-2536</t>
  </si>
  <si>
    <t>KX16-Midoc 25_005.jpg:1042-3465</t>
  </si>
  <si>
    <t>KX16-Midoc 25_005.jpg:1858-1928</t>
  </si>
  <si>
    <t>KX16-Midoc 25_005.jpg:1928-2767</t>
  </si>
  <si>
    <t>KX16-Midoc 25_006.jpg:0824-0970</t>
  </si>
  <si>
    <t>KX16-Midoc 25_006.jpg:0797-1113</t>
  </si>
  <si>
    <t>KX16-Midoc 25_006.jpg:0836-1261</t>
  </si>
  <si>
    <t>KX16-Midoc 25_006.jpg:0805-1378</t>
  </si>
  <si>
    <t>KX16-Midoc 25_006.jpg:0744-1493</t>
  </si>
  <si>
    <t>KX16-Midoc 25_006.jpg:0846-2038</t>
  </si>
  <si>
    <t>KX16-Midoc 25_006.jpg:0668-2426</t>
  </si>
  <si>
    <t>KX16-Midoc 25_006.jpg:0722-2625</t>
  </si>
  <si>
    <t>KX16-Midoc 25_006.jpg:0699-2923</t>
  </si>
  <si>
    <t>KX16-Midoc 25_006.jpg:0729-3107</t>
  </si>
  <si>
    <t>KX16-Midoc 25_006.jpg:1804-0955</t>
  </si>
  <si>
    <t>KX16-Midoc 25_006.jpg:1827-1328</t>
  </si>
  <si>
    <t>KX16-Midoc 25_006.jpg:1919-1895</t>
  </si>
  <si>
    <t>KX16-Midoc 25_006.jpg:1846-2655</t>
  </si>
  <si>
    <t>KX16-Midoc 25_006.jpg:1890-3085</t>
  </si>
  <si>
    <t>KX16-Midoc 25_006.jpg:1848-3488</t>
  </si>
  <si>
    <t>KX16-Midoc 25_008.jpg:</t>
  </si>
  <si>
    <t>KX16-Midoc 25_011.jpg:0913-3445</t>
  </si>
  <si>
    <t>KX16-Midoc 25_011.jpg:2074-0701</t>
  </si>
  <si>
    <t>KX16-Midoc 25_011.jpg:2114-3308</t>
  </si>
  <si>
    <t>KX16-Midoc 25_013.jpg:1302-1760</t>
  </si>
  <si>
    <t>KX16-Midoc 25_013.jpg:1232-2845</t>
  </si>
  <si>
    <t>KX16-Midoc 25_015.jpg:1002-0969</t>
  </si>
  <si>
    <t>KX16-Midoc 25_018.jpg:0828-3064</t>
  </si>
  <si>
    <t>KX16-Midoc 25_018.jpg:2000-2374</t>
  </si>
  <si>
    <t>KX16-Midoc 25_018.jpg:1909-2193</t>
  </si>
  <si>
    <t>KX16-Midoc 25_018.jpg:0740-1255</t>
  </si>
  <si>
    <t>KX16-Midoc 25_018.jpg:0821-1703</t>
  </si>
  <si>
    <t>KX16-Midoc 25_018.jpg:2188-1767</t>
  </si>
  <si>
    <t>KX16-Midoc 25_018.jpg:2183-1512</t>
  </si>
  <si>
    <t>KX16-Midoc 25_020.jpg:1019-1249</t>
  </si>
  <si>
    <t>KX16-Midoc 25_020.jpg:1002-0950</t>
  </si>
  <si>
    <t>KX16-Midoc 25_020.jpg:1064-0708</t>
  </si>
  <si>
    <t>KX16-Midoc 25_020.jpg:0977-1627</t>
  </si>
  <si>
    <t>KX16-Midoc 25_020.jpg:1468-1871</t>
  </si>
  <si>
    <t>KX16-Midoc 25_020.jpg:0793-2119</t>
  </si>
  <si>
    <t>KX16-Midoc 25_020.jpg:0875-2496</t>
  </si>
  <si>
    <t>KX16-Midoc 25_020.jpg:0909-3084</t>
  </si>
  <si>
    <t>KX16-Midoc 25_020.jpg:0918-3423</t>
  </si>
  <si>
    <t>KX16-Midoc 25_020.jpg:2193-3029</t>
  </si>
  <si>
    <t>KX16-Midoc 25_020.jpg:1986-0906</t>
  </si>
  <si>
    <t>KX16-Midoc 25_020.jpg:2001-1166</t>
  </si>
  <si>
    <t>KX16-Midoc 25_020.jpg:1963-1352</t>
  </si>
  <si>
    <t>KX16-Midoc 26_002.jpg:0421-1644</t>
  </si>
  <si>
    <t>KX16-Midoc 26_002.jpg:0438-2036</t>
  </si>
  <si>
    <t>KX16-Midoc 26_002.jpg:0592-2945</t>
  </si>
  <si>
    <t>KX16-Midoc 26_002.jpg:0557-3173</t>
  </si>
  <si>
    <t>KX16-Midoc 26_002.jpg:0663-3821</t>
  </si>
  <si>
    <t>KX16-Midoc 26_002.jpg:1666-0784</t>
  </si>
  <si>
    <t>KX16-Midoc 26_002.jpg:1787-1074</t>
  </si>
  <si>
    <t>KX16-Midoc 26_002.jpg:1712-1446</t>
  </si>
  <si>
    <t>KX16-Midoc 26_002.jpg:1729-1618</t>
  </si>
  <si>
    <t>KX16-Midoc 26_002.jpg:1847-1936</t>
  </si>
  <si>
    <t>KX16-Midoc 26_002.jpg:1981-2723</t>
  </si>
  <si>
    <t>KX16-Midoc 26_002.jpg:1999-2930</t>
  </si>
  <si>
    <t>KX16-Midoc 26_002.jpg:2061-3117</t>
  </si>
  <si>
    <t>KX16-Midoc 26_002.jpg:2018-3403</t>
  </si>
  <si>
    <t>KX16-Midoc 26_002.jpg:2049-3780</t>
  </si>
  <si>
    <t>KX16-Midoc 26_005.jpg:2046-2487</t>
  </si>
  <si>
    <t>KX16-Midoc 26_005.jpg:2063-2338</t>
  </si>
  <si>
    <t>KX16-Midoc 26_005.jpg:2092-2180</t>
  </si>
  <si>
    <t>KX16-Midoc 26_005.jpg:1088-2127</t>
  </si>
  <si>
    <t>KX16-Midoc 26_004_measured.jpg:0484-2230</t>
  </si>
  <si>
    <t>KX16-Midoc 26_004_measured.jpg:0836-1481</t>
  </si>
  <si>
    <t>Cyanomacrurus</t>
  </si>
  <si>
    <t>KX16-Midoc 26_004_measured.jpg:1679-0718</t>
  </si>
  <si>
    <t>KX16-Midoc 26_004_measured.jpg:1768-0916</t>
  </si>
  <si>
    <t>KX16-Midoc 26_004_measured.jpg:1746-1067</t>
  </si>
  <si>
    <t>KX16-Midoc 26_004_measured.jpg:1744-1241</t>
  </si>
  <si>
    <t>KX16-Midoc 26_004_measured.jpg:1804-1428</t>
  </si>
  <si>
    <t>KX16-Midoc 26_004_measured.jpg:1772-1694</t>
  </si>
  <si>
    <t>KX16-Midoc 26_004_measured.jpg:1539-2431</t>
  </si>
  <si>
    <t>KX16-Midoc 26_004_measured.jpg:1796-2675</t>
  </si>
  <si>
    <t>KX16-Midoc 26_004_measured.jpg:1745-2963</t>
  </si>
  <si>
    <t>KX16-Midoc 26_004_measured.jpg:1697-3242</t>
  </si>
  <si>
    <t>KX16-Midoc 26_004_measured.jpg:1664-3503</t>
  </si>
  <si>
    <t>KX16-Midoc 26_004_measured.jpg:1736-2125</t>
  </si>
  <si>
    <t>KX16-Midoc 26_008.jpg:1326-0603</t>
  </si>
  <si>
    <t>KX16-Midoc 26_008.jpg:1208-1118</t>
  </si>
  <si>
    <t>KX16-Midoc 26_008.jpg:0922-1459</t>
  </si>
  <si>
    <t>Nannobrachium</t>
  </si>
  <si>
    <t>KX16-Midoc 26_008.jpg:1211-2192</t>
  </si>
  <si>
    <t>KX16-Midoc 26_008.jpg:1169-1834</t>
  </si>
  <si>
    <t>KX16-Midoc 26_008.jpg:1320-2552</t>
  </si>
  <si>
    <t>stomias</t>
  </si>
  <si>
    <t>KX16-Midoc 26_008.jpg:0653-2710</t>
  </si>
  <si>
    <t>KX16-Midoc 26_008.jpg:0738-2789</t>
  </si>
  <si>
    <t>KX16-Midoc 26_008.jpg:1235-3518</t>
  </si>
  <si>
    <t>KX16-Midoc 26_008.jpg:0903-3177</t>
  </si>
  <si>
    <t>KX16-Midoc 26_008.jpg:0890-2960</t>
  </si>
  <si>
    <t>KX16-Midoc 26_010.jpg:0662-2211</t>
  </si>
  <si>
    <t>KX16-Midoc 26_010.jpg:0573-2464</t>
  </si>
  <si>
    <t>KX16-Midoc 26_012.jpg:0750-1267</t>
  </si>
  <si>
    <t>KX16-Midoc 26_012.jpg:0674-1513</t>
  </si>
  <si>
    <t>KX16-Midoc 26_012.jpg:1917-1883</t>
  </si>
  <si>
    <t>KX16-Midoc 26_012.jpg:1896-1989</t>
  </si>
  <si>
    <t>KX16-Midoc 26_012.jpg:1819-2428</t>
  </si>
  <si>
    <t>KX16-Midoc 26_012.jpg:1853-2639</t>
  </si>
  <si>
    <t>KX16-Midoc 26_012.jpg:1913-2855</t>
  </si>
  <si>
    <t>KX16-Midoc 26_012.jpg:2426-2548</t>
  </si>
  <si>
    <t>KX16-Midoc 26_014.jpg:1418-2611</t>
  </si>
  <si>
    <t>KX16-Midoc 26_014.jpg:1867-1871</t>
  </si>
  <si>
    <t>KX16-Midoc 26_014.jpg:1386-3327</t>
  </si>
  <si>
    <t>KX16-Midoc 26_016.jpg:</t>
  </si>
  <si>
    <t>KX16-Midoc 26_016.jpg:2121-0519</t>
  </si>
  <si>
    <t>KX16-Midoc 26_016.jpg:2215-1305</t>
  </si>
  <si>
    <t>KX16-Midoc 26_016.jpg:2218-2128</t>
  </si>
  <si>
    <t>KX16-Midoc 26_016.jpg:0826-0473</t>
  </si>
  <si>
    <t>KX16-Midoc 26_016.jpg:0841-0665</t>
  </si>
  <si>
    <t>KX16-Midoc 26_017.jpg:</t>
  </si>
  <si>
    <t>KX16-Midoc 26_018.jpg:KX16-Midoc 26_018</t>
  </si>
  <si>
    <t>KX16-Midoc 26_027.jpg:0889-2649</t>
  </si>
  <si>
    <t>KX16-Midoc 26_027.jpg:2090-0595</t>
  </si>
  <si>
    <t>KX16-Midoc 26_027.jpg:2077-0767</t>
  </si>
  <si>
    <t>KX16-Midoc 26_027.jpg:2085-1050</t>
  </si>
  <si>
    <t>KX16-Midoc 26_027.jpg:2189-2364</t>
  </si>
  <si>
    <t>KX16-Midoc 26_027.jpg:2168-2246</t>
  </si>
  <si>
    <t>KX16-Midoc 26_027.jpg:2148-1935</t>
  </si>
  <si>
    <t>KX16-Midoc 26_027.jpg:2139-2116</t>
  </si>
  <si>
    <t>KX16-Midoc 26_027.jpg:2221-2783</t>
  </si>
  <si>
    <t>KX16-Midoc 26_027.jpg:2239-2969</t>
  </si>
  <si>
    <t>KX16-Midoc 26_027.jpg:2242-3183</t>
  </si>
  <si>
    <t>KX16-Midoc 26_027.jpg:2216-3396</t>
  </si>
  <si>
    <t>KX16-Midoc 26_027.jpg:2210-3748</t>
  </si>
  <si>
    <t>KX16-Midoc 26_027.jpg:2183-2539</t>
  </si>
  <si>
    <t>KX16-Midoc 26_028.jpg:KX16-Midoc 26_028</t>
  </si>
  <si>
    <t>Astronesthes</t>
  </si>
  <si>
    <t>KX16-Midoc 26_032.jpg:0539-1361</t>
  </si>
  <si>
    <t>KX16-Midoc 26_032.jpg:0473-1723</t>
  </si>
  <si>
    <t>KX16-Midoc 26_032.jpg:0436-1891</t>
  </si>
  <si>
    <t>KX16-Midoc 26_032.jpg:0453-2289</t>
  </si>
  <si>
    <t>KX16-Midoc 26_032.jpg:0484-3690</t>
  </si>
  <si>
    <t>KX16-Midoc 26_032.jpg:1998-1683</t>
  </si>
  <si>
    <t>KX16-Midoc 26_033.jpg:0483-0996</t>
  </si>
  <si>
    <t>KX16-Midoc 26_033.jpg:0676-1127</t>
  </si>
  <si>
    <t>KX16-Midoc 26_033.jpg:0508-1866</t>
  </si>
  <si>
    <t>KX16-Midoc 26_033.jpg:0606-2533</t>
  </si>
  <si>
    <t>KX16-Midoc 26_033.jpg:0735-3172</t>
  </si>
  <si>
    <t>KX16-Midoc 26_033.jpg:1795-2695</t>
  </si>
  <si>
    <t>KX16-Midoc 26_033.jpg:1658-1896</t>
  </si>
  <si>
    <t>KX16-Midoc 26_034.jpg:</t>
  </si>
  <si>
    <t>KX16-Midoc 26_036.jpg:0835-0973</t>
  </si>
  <si>
    <t>KX16-Midoc 26_036.jpg:0870-0706</t>
  </si>
  <si>
    <t>KX16-Midoc 26_036.jpg:0499-1847</t>
  </si>
  <si>
    <t>KX16-Midoc 26_036.jpg:0608-2464</t>
  </si>
  <si>
    <t>KX16-Midoc 26_036.jpg:0944-2696</t>
  </si>
  <si>
    <t>KX16-Midoc 26_036.jpg:0686-3461</t>
  </si>
  <si>
    <t>KX16-Midoc 32_014.jpg:1523-1557</t>
  </si>
  <si>
    <t>KX16-Midoc 26_021.jpg:0856-0463</t>
  </si>
  <si>
    <t>KX16-Midoc 26_021.jpg:1043-0737</t>
  </si>
  <si>
    <t>KX16-Midoc 26_021.jpg:1072-1081</t>
  </si>
  <si>
    <t>KX16-Midoc 26_021.jpg:2166-0463</t>
  </si>
  <si>
    <t>KX16-Midoc 26_021.jpg:2174-0981</t>
  </si>
  <si>
    <t>KX16-Midoc 26_021.jpg:2105-1438</t>
  </si>
  <si>
    <t>KX16-Midoc 26_021.jpg:2087-2827</t>
  </si>
  <si>
    <t>KX16-Midoc 26_021.jpg:2037-2609</t>
  </si>
  <si>
    <t>KX16-Midoc 26_021.jpg:2010-2088</t>
  </si>
  <si>
    <t>KX16-Midoc 26_021.jpg:1966-1706</t>
  </si>
  <si>
    <t>KX16-Midoc 26_021.jpg:1624-1013</t>
  </si>
  <si>
    <t>KX16-Midoc 26_021.jpg:1621-0819</t>
  </si>
  <si>
    <t>KX16-Midoc 26_021.jpg:1563-0607</t>
  </si>
  <si>
    <t>KX16-Midoc 26_021.jpg:0918-3449</t>
  </si>
  <si>
    <t>KX16-Midoc 26_021.jpg:0931-3142</t>
  </si>
  <si>
    <t>KX16-Midoc 26_021.jpg:0670-2783</t>
  </si>
  <si>
    <t>KX16-Midoc 26_021.jpg:0681-2378</t>
  </si>
  <si>
    <t>KX16-Midoc 26_021.jpg:0714-1534</t>
  </si>
  <si>
    <t>T. gaudichaudii</t>
  </si>
  <si>
    <t>KX16-Midoc 26_034.jpg</t>
  </si>
  <si>
    <t>KX16-Midoc 26_036.jpg:1833-3456</t>
  </si>
  <si>
    <t>KX16-Midoc 26_036.jpg:1711-2997</t>
  </si>
  <si>
    <t>unknown myctophid</t>
  </si>
  <si>
    <t>duplicate id</t>
  </si>
  <si>
    <t>KX16-Midoc 27_001.jpg:2118-2237</t>
  </si>
  <si>
    <t>calycopsis, euphausiids, salps, scales, T. gaudichaudii and mush</t>
  </si>
  <si>
    <t>KX16-Midoc 27_001.jpg:0768-0839</t>
  </si>
  <si>
    <t>KX16-Midoc 27_001.jpg:0742-3295</t>
  </si>
  <si>
    <t>KX16-Midoc 27_001.jpg:0754-3504</t>
  </si>
  <si>
    <t>KX16-Midoc 27_003.jpg:0575-2708</t>
  </si>
  <si>
    <t>KX16-Midoc 27_003.jpg:1686-2943</t>
  </si>
  <si>
    <t>KX16-Midoc 27_003.jpg:1804-2592</t>
  </si>
  <si>
    <t>KX16-Midoc 27_003.jpg:1789-2146</t>
  </si>
  <si>
    <t>KX16-Midoc 27_003.jpg:1734-1192</t>
  </si>
  <si>
    <t>KX16-Midoc 27_003.jpg:1565-0537</t>
  </si>
  <si>
    <t>KX16-Midoc 27_004.jpg:0698-1243</t>
  </si>
  <si>
    <t>KX16-Midoc 27_004.jpg:1393-1597</t>
  </si>
  <si>
    <t>KX16-Midoc 27_004.jpg:1369-1698</t>
  </si>
  <si>
    <t>KX16-Midoc 27_004.jpg:1427-1893</t>
  </si>
  <si>
    <t>KX16-Midoc 27_004.jpg:2116-2468</t>
  </si>
  <si>
    <t>KX16-Midoc 27_005.jpg:0850-1330</t>
  </si>
  <si>
    <t>unknown melamphid</t>
  </si>
  <si>
    <t>KX16-Midoc 27_005.jpg:0806-1612</t>
  </si>
  <si>
    <t>KX16-Midoc 27_005.jpg:0714-1890</t>
  </si>
  <si>
    <t>KX16-Midoc 27_005.jpg:1977-1639</t>
  </si>
  <si>
    <t>KX16-Midoc 27_005.jpg:1955-1951</t>
  </si>
  <si>
    <t>KX16-Midoc 27_005.jpg:1997-1485</t>
  </si>
  <si>
    <t>KX16-Midoc 27_005.jpg:1991-1262</t>
  </si>
  <si>
    <t>KX16-Midoc 27_005.jpg:1834-2212</t>
  </si>
  <si>
    <t>KX16-Midoc 27_005.jpg:0629-2153</t>
  </si>
  <si>
    <t>KX16-Midoc 27_005.jpg:1971-2483</t>
  </si>
  <si>
    <t>KX16-Midoc 27_005.jpg:1010-2532</t>
  </si>
  <si>
    <t>KX16-Midoc 27_005.jpg:1844-2729</t>
  </si>
  <si>
    <t>KX16-Midoc 27_005.jpg:1887-2880</t>
  </si>
  <si>
    <t>KX16-Midoc 27_005.jpg:1936-3156</t>
  </si>
  <si>
    <t>KX16-Midoc 27_005.jpg:1902-3424</t>
  </si>
  <si>
    <t>KX16-Midoc 27_005.jpg:1710-1023</t>
  </si>
  <si>
    <t>KX16-Midoc 27_005.jpg:1530-0740</t>
  </si>
  <si>
    <t>KX16-Midoc 27_005.jpg:0503-2775</t>
  </si>
  <si>
    <t>KX16-Midoc 27_005.jpg:0904-3128</t>
  </si>
  <si>
    <t>KX16-Midoc 27_005.jpg:0901-3797</t>
  </si>
  <si>
    <t>KX16-Midoc 27_007.jpg:0700-2726</t>
  </si>
  <si>
    <t>KX16-Midoc 27_007.jpg:1568-3225</t>
  </si>
  <si>
    <t>KX16-Midoc 27_007.jpg:0571-1668</t>
  </si>
  <si>
    <t>KX16-Midoc 27_007.jpg:0692-3178</t>
  </si>
  <si>
    <t>KX16-Midoc 27_007.jpg:0545-1073</t>
  </si>
  <si>
    <t>notolepis coatsi</t>
  </si>
  <si>
    <t>KX16-Midoc 27_008.jpg:0720-1560</t>
  </si>
  <si>
    <t>KX16-Midoc 27_008.jpg:1002-1766</t>
  </si>
  <si>
    <t>KX16-Midoc 27_008.jpg:1328-2201</t>
  </si>
  <si>
    <t>KX16-Midoc 27_008.jpg:1507-2204</t>
  </si>
  <si>
    <t>KX16-Midoc 27_008.jpg:2265-1665</t>
  </si>
  <si>
    <t>KX16-Midoc 27_008.jpg:2289-1964</t>
  </si>
  <si>
    <t>KX16-Midoc 27_008.jpg:2353-2390</t>
  </si>
  <si>
    <t>KX16-Midoc 27_008.jpg:2192-3597</t>
  </si>
  <si>
    <t>KX16-Midoc 27_008.jpg:2234-3781</t>
  </si>
  <si>
    <t>KX16-Midoc 27_008.jpg:1465-3322</t>
  </si>
  <si>
    <t xml:space="preserve">notolepis </t>
  </si>
  <si>
    <t>KX16-Midoc 27_008.jpg:1318-3318</t>
  </si>
  <si>
    <t>KX16-Midoc 27_008.jpg:0970-3347</t>
  </si>
  <si>
    <t>KX16-Midoc 27_008.jpg:0859-3455</t>
  </si>
  <si>
    <t>KX16-Midoc 27_005.jpg:2021-3628</t>
  </si>
  <si>
    <t>KX16-Midoc 27_011.jpg:0756-1084</t>
  </si>
  <si>
    <t>KX16-Midoc 27_011.jpg:0445-3170</t>
  </si>
  <si>
    <t>KX16-Midoc 27_011.jpg:0781-3185</t>
  </si>
  <si>
    <t>KX16-Midoc 27_011.jpg:1821-2299</t>
  </si>
  <si>
    <t>KX16-Midoc 27_011.jpg:0998-2127</t>
  </si>
  <si>
    <t>KX16-Midoc 27_011.jpg:1733-0705</t>
  </si>
  <si>
    <t>Galiteuthis glacialis</t>
  </si>
  <si>
    <t>KX16-Midoc 27_012.jpg:0367-1370</t>
  </si>
  <si>
    <t>KX16-Midoc 27_012.jpg:2020-2531</t>
  </si>
  <si>
    <t>KX16-Midoc 27_012.jpg:1990-2698</t>
  </si>
  <si>
    <t>KX16-Midoc 27_012.jpg:2000-2890</t>
  </si>
  <si>
    <t>KX16-Midoc 27_012.jpg:1807-3112</t>
  </si>
  <si>
    <t>KX16-Midoc 27_012.jpg:1790-3323</t>
  </si>
  <si>
    <t>KX16-Midoc 27_012.jpg:1676-3586</t>
  </si>
  <si>
    <t>KX16-Midoc 27_018.jpg:0985-1240</t>
  </si>
  <si>
    <t>KX16-Midoc 27_018.jpg:1064-2016</t>
  </si>
  <si>
    <t>KX16-Midoc 27_018.jpg:1733-0558</t>
  </si>
  <si>
    <t>KX16-Midoc 27_018.jpg:1663-1612</t>
  </si>
  <si>
    <t>KX16-Midoc 27_018.jpg:2225-0913</t>
  </si>
  <si>
    <t>KX16-Midoc 27_023.jpg:0758-0864</t>
  </si>
  <si>
    <t>KX16-Midoc 27_023.jpg:0711-1110</t>
  </si>
  <si>
    <t>KX16-Midoc 27_023.jpg:0614-1327</t>
  </si>
  <si>
    <t>KX16-Midoc 27_023.jpg:0749-2176</t>
  </si>
  <si>
    <t>KX16-Midoc 27_023.jpg:2078-3411</t>
  </si>
  <si>
    <t>most likely G. braueri</t>
  </si>
  <si>
    <t>KX16-Midoc 27_032.jpg:1542-0769</t>
  </si>
  <si>
    <t>KX16-Midoc 27_032.jpg:0801-1765</t>
  </si>
  <si>
    <t>KX16-Midoc 27_032.jpg:0682-2074</t>
  </si>
  <si>
    <t>KX16-Midoc 27_032.jpg:0698-2753</t>
  </si>
  <si>
    <t>KX16-Midoc 27_032.jpg:0458-3538</t>
  </si>
  <si>
    <t>KX16-Midoc 27_032.jpg:2112-1371</t>
  </si>
  <si>
    <t>KX16-Midoc 27_032.jpg:1931-1977</t>
  </si>
  <si>
    <t>KX16-Midoc 27_032.jpg:1963-2231</t>
  </si>
  <si>
    <t>KX16-Midoc 27_032.jpg:2026-2407</t>
  </si>
  <si>
    <t>KX16-Midoc 27_032.jpg:2037-2534</t>
  </si>
  <si>
    <t>KX16-Midoc 27_032.jpg:2034-2674</t>
  </si>
  <si>
    <t>KX16-Midoc 27_032.jpg:2060-2790</t>
  </si>
  <si>
    <t>KX16-Midoc 27_032.jpg:2038-2929</t>
  </si>
  <si>
    <t>KX16-Midoc 27_032.jpg:2007-3061</t>
  </si>
  <si>
    <t>KX16-Midoc 27_032.jpg:1986-3140</t>
  </si>
  <si>
    <t>KX16-Midoc 27_032.jpg:1973-3242</t>
  </si>
  <si>
    <t>KX16-Midoc 27_032.jpg:1880-3338</t>
  </si>
  <si>
    <t>notolepis</t>
  </si>
  <si>
    <t>KX16-Midoc 27_032.jpg:1907-3612</t>
  </si>
  <si>
    <t>KX16-Midoc 27_032.jpg:1366-2578</t>
  </si>
  <si>
    <t>KX16-Midoc 27_032.jpg:1310-2733</t>
  </si>
  <si>
    <t>KX16-Midoc 27_032.jpg:1293-2843</t>
  </si>
  <si>
    <t>KX16-Midoc 27_032.jpg:1281-2990</t>
  </si>
  <si>
    <t>KX16-Midoc 27_032.jpg:1284-3147</t>
  </si>
  <si>
    <t>Galiteuthis glacialis, Slosarczykovia circumantarctica</t>
  </si>
  <si>
    <t xml:space="preserve">n=1 Slosarczykovia circumantarctica </t>
  </si>
  <si>
    <t>KX16-Midoc 27_040.jpg:0778-0799</t>
  </si>
  <si>
    <t>KX16-Midoc 27_040.jpg:0852-1534</t>
  </si>
  <si>
    <t>KX16-Midoc 27_040.jpg:0846-1961</t>
  </si>
  <si>
    <t>KX16-Midoc 27_040.jpg:1310-3407</t>
  </si>
  <si>
    <t>KX16-Midoc 27_040.jpg:1863-1610</t>
  </si>
  <si>
    <t>KX16-Midoc 27_042.jpg:0796-0777</t>
  </si>
  <si>
    <t>KX16-Midoc 27_042.jpg:1970-0739</t>
  </si>
  <si>
    <t>KX16-Midoc 27_042.jpg:2114-1579</t>
  </si>
  <si>
    <t>KX16-Midoc 27_042.jpg:2125-2475</t>
  </si>
  <si>
    <t>KX16-Midoc 27_042.jpg:2215-3523</t>
  </si>
  <si>
    <t>KX16-Midoc 27_052.jpg:0929-2703</t>
  </si>
  <si>
    <t>Stomias</t>
  </si>
  <si>
    <t>KX16-Midoc 27_052.jpg:2057-2162</t>
  </si>
  <si>
    <t>KX16-Midoc 27_052.jpg:1050-3187</t>
  </si>
  <si>
    <t>KX16-Midoc 27_052.jpg:0640-3501</t>
  </si>
  <si>
    <t>KX16-Midoc 27_055.jpg:0724-0804</t>
  </si>
  <si>
    <t>KX16-Midoc 27_055.jpg:0780-3615</t>
  </si>
  <si>
    <t>KX16-Midoc 27_055.jpg:1393-1251</t>
  </si>
  <si>
    <t>KX16-Midoc 27_055.jpg:1366-1806</t>
  </si>
  <si>
    <t>KX16-Midoc 27_055.jpg:1458-2581</t>
  </si>
  <si>
    <t>KX16-Midoc 27_055.jpg:1902-0570</t>
  </si>
  <si>
    <t>KX16-Midoc 27_055.jpg:1893-1344</t>
  </si>
  <si>
    <t>KX16-Midoc 27_055.jpg:2385-0852</t>
  </si>
  <si>
    <t>KX16-Midoc 27_055.jpg:2307-2592</t>
  </si>
  <si>
    <t>KX16-Midoc 27_055.jpg:2214-3487</t>
  </si>
  <si>
    <t>KX16-Midoc 27_059.jpg:1934-1152</t>
  </si>
  <si>
    <t>KX16-Midoc 27_059.jpg:1645-3447</t>
  </si>
  <si>
    <t>KX16-Midoc 27_059.jpg:1962-1818</t>
  </si>
  <si>
    <t>KX16-Midoc 27_059.jpg:1979-2447</t>
  </si>
  <si>
    <t>KX16-Midoc 27_062.jpg:0784-3202</t>
  </si>
  <si>
    <t>KX16-Midoc 27_062.jpg:1182-1667</t>
  </si>
  <si>
    <t>KX16-Midoc 27_062.jpg:2384-0870</t>
  </si>
  <si>
    <t>KX16-Midoc 27_062.jpg:1831-3478</t>
  </si>
  <si>
    <t>KX16-Midoc 27_062.jpg:0995-0566</t>
  </si>
  <si>
    <t>KX16-Midoc 27_064.jpg:1112-0680</t>
  </si>
  <si>
    <t>most likely G. nicholsi</t>
  </si>
  <si>
    <t>KX16-Midoc 27_064.jpg:0700-1639</t>
  </si>
  <si>
    <t>KX16-Midoc 27_064.jpg:0858-1799</t>
  </si>
  <si>
    <t>KX16-Midoc 27_064.jpg:0813-3438</t>
  </si>
  <si>
    <t>KX16-Midoc 27_064.jpg:2160-1252</t>
  </si>
  <si>
    <t>KX16-Midoc 27_068.jpg:0648-0786</t>
  </si>
  <si>
    <t>KX16-Midoc 27_068.jpg:0674-0900</t>
  </si>
  <si>
    <t>KX16-Midoc 27_068.jpg:2305-2110</t>
  </si>
  <si>
    <t>KX16-Midoc 27_068.jpg:2225-2216</t>
  </si>
  <si>
    <t>KX16-Midoc 27_068.jpg:2116-2260</t>
  </si>
  <si>
    <t>KX16-Midoc 27_074.jpg:0738-3629</t>
  </si>
  <si>
    <t>KX16-Midoc 27_074.jpg:0376-3485</t>
  </si>
  <si>
    <t>KX16-Midoc 27_074.jpg:0454-3184</t>
  </si>
  <si>
    <t>KX16-Midoc 27_074.jpg:0804-2749</t>
  </si>
  <si>
    <t>KX16-Midoc 27_074.jpg:0678-2422</t>
  </si>
  <si>
    <t>KX16-Midoc 27_076.jpg:0530-0464</t>
  </si>
  <si>
    <t>KX16-Midoc 27_076.jpg:0580-0555</t>
  </si>
  <si>
    <t>KX16-Midoc 27_076.jpg:0559-0659</t>
  </si>
  <si>
    <t>KX16-Midoc 27_076.jpg:0561-0761</t>
  </si>
  <si>
    <t>KX16-Midoc 27_076.jpg:0572-0882</t>
  </si>
  <si>
    <t>KX16-Midoc 27_076.jpg:0570-1009</t>
  </si>
  <si>
    <t>KX16-Midoc 27_076.jpg:2163-2835</t>
  </si>
  <si>
    <t>KX16-Midoc 27_076.jpg:2194-0658</t>
  </si>
  <si>
    <t>KX16-Midoc 27_076.jpg:2237-1428</t>
  </si>
  <si>
    <t>KX16-Midoc 27_076.jpg:2115-1103</t>
  </si>
  <si>
    <t>KX16-Midoc 27_076.jpg:1631-1642</t>
  </si>
  <si>
    <t>KX16-Midoc 27_077.jpg:1817-1296</t>
  </si>
  <si>
    <t>Mastigoteuthis psychrophila</t>
  </si>
  <si>
    <t>KX16-Midoc 27_077.jpg:1381-2072; KX16-Midoc 27_077.jpg:0835-2867</t>
  </si>
  <si>
    <t>KX16-Midoc 27_077.jpg:0562-3218</t>
  </si>
  <si>
    <t>Bathyteuthis abyssicola</t>
  </si>
  <si>
    <t>KX16-Midoc 27_081.jpg:1179-2362</t>
  </si>
  <si>
    <t>KX16-Midoc 27_081.jpg:1594-2268</t>
  </si>
  <si>
    <t>KX16-Midoc 27_081.jpg:1812-2401</t>
  </si>
  <si>
    <t>KX16-Midoc 27_081.jpg:2017-3078</t>
  </si>
  <si>
    <t>KX16-Midoc 27_081.jpg:2137-1628</t>
  </si>
  <si>
    <t>KX16-Midoc 27_081.jpg:2019-2373</t>
  </si>
  <si>
    <t>KX16-Midoc 27_081.jpg:2135-2364</t>
  </si>
  <si>
    <t>KX16-Midoc 27_081.jpg:2415-1069</t>
  </si>
  <si>
    <t>KX16-Midoc 27_081.jpg:2341-2823</t>
  </si>
  <si>
    <t>KX16-Midoc 28_004.jpg:0923-0758</t>
  </si>
  <si>
    <t>KX16-Midoc 28_004.jpg:0940-0619</t>
  </si>
  <si>
    <t>KX16-Midoc 28_004.jpg:0894-0944</t>
  </si>
  <si>
    <t>KX16-Midoc 28_004.jpg:0892-1098</t>
  </si>
  <si>
    <t>KX16-Midoc 28_004.jpg:0958-1291</t>
  </si>
  <si>
    <t>KX16-Midoc 28_004.jpg:0978-1504</t>
  </si>
  <si>
    <t>KX16-Midoc 28_004.jpg:0961-1686</t>
  </si>
  <si>
    <t>KX16-Midoc 28_004.jpg:0967-1919</t>
  </si>
  <si>
    <t>KX16-Midoc 28_004.jpg:0999-2204</t>
  </si>
  <si>
    <t>KX16-Midoc 28_004.jpg:1040-2580</t>
  </si>
  <si>
    <t>KX16-Midoc 28_004.jpg:0933-2808</t>
  </si>
  <si>
    <t>KX16-Midoc 28_004.jpg:0907-2912</t>
  </si>
  <si>
    <t>KX16-Midoc 28_004.jpg:1035-3097</t>
  </si>
  <si>
    <t>KX16-Midoc 28_004.jpg:1075-3477</t>
  </si>
  <si>
    <t>KX16-Midoc 28_004.jpg:2062-1219</t>
  </si>
  <si>
    <t>KX16-Midoc 28_004.jpg:1984-1383</t>
  </si>
  <si>
    <t>KX16-Midoc 28_004.jpg:2153-1579</t>
  </si>
  <si>
    <t>KX16-Midoc 28_004.jpg:2136-1828</t>
  </si>
  <si>
    <t>KX16-Midoc 28_004.jpg:2120-2038</t>
  </si>
  <si>
    <t>KX16-Midoc 28_004.jpg:2136-2465</t>
  </si>
  <si>
    <t>KX16-Midoc 28_004.jpg:2135-2689</t>
  </si>
  <si>
    <t>KX16-Midoc 28_004.jpg:2146-2963</t>
  </si>
  <si>
    <t>KX16-Midoc 28_004.jpg:2161-3502</t>
  </si>
  <si>
    <t xml:space="preserve">Slosarczykovia circumantarctica </t>
  </si>
  <si>
    <t xml:space="preserve">KX16-Midoc 28_006.jpg:1648-2124; KX16-Midoc 28_006.jpg:1187-1953 </t>
  </si>
  <si>
    <t>KX16-Midoc 28_006.jpg:1261-2812</t>
  </si>
  <si>
    <t>KX16-Midoc 28_009.jpg:0898-0499</t>
  </si>
  <si>
    <t>KX16-Midoc 28_010.jpg:0564-0654</t>
  </si>
  <si>
    <t>KX16-Midoc 28_010.jpg:1274-1526</t>
  </si>
  <si>
    <t>KX16-Midoc 28_010.jpg:0557-3790</t>
  </si>
  <si>
    <t>KX16-Midoc 28_011.jpg:1352-1212</t>
  </si>
  <si>
    <t>KX16-Midoc 28_011.jpg:1086-1221</t>
  </si>
  <si>
    <t>notolepis larvae</t>
  </si>
  <si>
    <t>KX16-Midoc 28_011_measured.jpg:1213-1233</t>
  </si>
  <si>
    <t>KX16-Midoc 28_011.jpg:0853-1294</t>
  </si>
  <si>
    <t>KX16-Midoc 28_011.jpg:0411-2838</t>
  </si>
  <si>
    <t>KX16-Midoc 28_011.jpg:0890-2977</t>
  </si>
  <si>
    <t>KX16-Midoc 28_014.jpg:0859-0438</t>
  </si>
  <si>
    <t>KX16-Midoc 28_014.jpg:0625-0644</t>
  </si>
  <si>
    <t>KX16-Midoc 28_014.jpg:0752-0833</t>
  </si>
  <si>
    <t>KX16-Midoc 28_014.jpg:0822-1047</t>
  </si>
  <si>
    <t>KX16-Midoc 28_014.jpg:0906-1293</t>
  </si>
  <si>
    <t>KX16-Midoc 28_014.jpg:0809-1557</t>
  </si>
  <si>
    <t>KX16-Midoc 28_014.jpg:0749-1822</t>
  </si>
  <si>
    <t>KX16-Midoc 28_014.jpg:0794-2125</t>
  </si>
  <si>
    <t>KX16-Midoc 28_014.jpg:0746-2370</t>
  </si>
  <si>
    <t>KX16-Midoc 28_014.jpg:0460-2841</t>
  </si>
  <si>
    <t>KX16-Midoc 28_014.jpg:1137-2968</t>
  </si>
  <si>
    <t>KX16-Midoc 28_014.jpg:1477-2574</t>
  </si>
  <si>
    <t>KX16-Midoc 28_014.jpg:2101-2461</t>
  </si>
  <si>
    <t>KX16-Midoc 28_014.jpg:2154-2292</t>
  </si>
  <si>
    <t>KX16-Midoc 28_014.jpg:1832-0658</t>
  </si>
  <si>
    <t>KX16-Midoc 28_015.jpg:1913-3617</t>
  </si>
  <si>
    <t>KX16-Midoc 28_018.jpg:1451-0716</t>
  </si>
  <si>
    <t>electrona carlsbergi</t>
  </si>
  <si>
    <t>KX16-Midoc 28_018.jpg:1635-1056</t>
  </si>
  <si>
    <t>KX16-Midoc 28_018.jpg:1734-1611</t>
  </si>
  <si>
    <t>KX16-Midoc 28_018.jpg:1776-1794</t>
  </si>
  <si>
    <t>KX16-Midoc 28_018.jpg:1860-1990</t>
  </si>
  <si>
    <t>KX16-Midoc 28_018.jpg:1778-2143</t>
  </si>
  <si>
    <t>KX16-Midoc 28_018.jpg:1830-2296</t>
  </si>
  <si>
    <t>KX16-Midoc 28_018.jpg:1810-2519</t>
  </si>
  <si>
    <t>KX16-Midoc 28_018.jpg:1734-2839</t>
  </si>
  <si>
    <t xml:space="preserve">KX16-Midoc 28_018.jpg:0575-1206; KX16-Midoc 28_018.jpg:0525-1305 </t>
  </si>
  <si>
    <t>KX16-Midoc 28_023.jpg:1535-2480</t>
  </si>
  <si>
    <t>KX16-Midoc 28_023.jpg:1845-2116</t>
  </si>
  <si>
    <t>KX16-Midoc 28_023.jpg:2031-2697</t>
  </si>
  <si>
    <t>KX16-Midoc 28_023.jpg:2538-2500</t>
  </si>
  <si>
    <t>KX16-Midoc 28_023.jpg:2337-0569</t>
  </si>
  <si>
    <t>KX16-Midoc 28_023.jpg:2389-0793</t>
  </si>
  <si>
    <t>KX16-Midoc 28_023.jpg:2363-0941</t>
  </si>
  <si>
    <t>KX16-Midoc 28_023.jpg:2380-1080</t>
  </si>
  <si>
    <t>KX16-Midoc 28_023.jpg:2351-1234</t>
  </si>
  <si>
    <t xml:space="preserve">KX16-Midoc 28_023.jpg:1700-0575; KX16-Midoc 28_023.jpg:1722-0743; KX16-Midoc 28_023.jpg:1744-0879 </t>
  </si>
  <si>
    <t>KX16-Midoc 28_024.jpg:0859-0715</t>
  </si>
  <si>
    <t>Alluroteuthis antarcticus</t>
  </si>
  <si>
    <t>KX16-Midoc 28_024.jpg:1462-0670</t>
  </si>
  <si>
    <t>KX16-Midoc 28_024.jpg</t>
  </si>
  <si>
    <t>galiteuthis glacialis; psychroteuthis glacialis</t>
  </si>
  <si>
    <t>KX16-Midoc 28_028.jpg:0750-0580</t>
  </si>
  <si>
    <t>KX16-Midoc 28_028.jpg:0735-0992</t>
  </si>
  <si>
    <t>KX16-Midoc 28_028.jpg:0675-1780</t>
  </si>
  <si>
    <t>KX16-Midoc 28_028.jpg:0652-3431</t>
  </si>
  <si>
    <t>KX16-Midoc 28_028.jpg:0627-3533</t>
  </si>
  <si>
    <t>KX16-Midoc 28_028.jpg:1376-2666</t>
  </si>
  <si>
    <t>KX16-Midoc 28_028.jpg:1417-2263</t>
  </si>
  <si>
    <t>KX16-Midoc 28_028.jpg:2132-0493</t>
  </si>
  <si>
    <t>KX16-Midoc 28_028.jpg:2095-0834</t>
  </si>
  <si>
    <t>KX16-Midoc 28_028.jpg:2132-1213</t>
  </si>
  <si>
    <t>KX16-Midoc 28_028.jpg:2126-1416</t>
  </si>
  <si>
    <t>KX16-Midoc 28_028.jpg:2106-1600</t>
  </si>
  <si>
    <t>KX16-Midoc 28_025.jpg:0799-0829</t>
  </si>
  <si>
    <t>KX16-Midoc 28_025.jpg:0729-0967</t>
  </si>
  <si>
    <t>KX16-Midoc 28_025.jpg:0784-1163</t>
  </si>
  <si>
    <t>KX16-Midoc 28_025.jpg:0862-1403</t>
  </si>
  <si>
    <t>KX16-Midoc 28_025.jpg:1126-1690</t>
  </si>
  <si>
    <t>KX16-Midoc 28_025.jpg:1055-2039</t>
  </si>
  <si>
    <t>KX16-Midoc 28_025.jpg:0666-2487</t>
  </si>
  <si>
    <t>KX16-Midoc 28_025.jpg:0686-3093</t>
  </si>
  <si>
    <t>KX16-Midoc 28_025.jpg:1292-2906</t>
  </si>
  <si>
    <t>KX16-Midoc 28_025.jpg:1438-2242</t>
  </si>
  <si>
    <t>KX16-Midoc 28_025.jpg:2022-3542</t>
  </si>
  <si>
    <t>KX16-Midoc 28_025.jpg:2256-3112</t>
  </si>
  <si>
    <t>KX16-Midoc 28_025.jpg:2279-2912</t>
  </si>
  <si>
    <t>KX16-Midoc 28_025.jpg:2269-2671</t>
  </si>
  <si>
    <t>KX16-Midoc 28_025.jpg:2306-2517</t>
  </si>
  <si>
    <t>KX16-Midoc 28_025.jpg:2304-2363</t>
  </si>
  <si>
    <t>KX16-Midoc 28_025.jpg:2322-2185</t>
  </si>
  <si>
    <t>KX16-Midoc 28_025.jpg:2099-2000; KX16-Midoc 28_025.jpg:2112-1835</t>
  </si>
  <si>
    <t>KX16-Midoc 28_025.jpg:2163-1341</t>
  </si>
  <si>
    <t>KX16-Midoc 28_026.jpg:1116-1757</t>
  </si>
  <si>
    <t>paralepidae larvae</t>
  </si>
  <si>
    <t>KX16-Midoc 28_026.jpg:1404-3449</t>
  </si>
  <si>
    <t>KX16-Midoc 28_026.jpg:1775-3035</t>
  </si>
  <si>
    <t>KX16-Midoc 28_026.jpg:2004-2781</t>
  </si>
  <si>
    <t>KX16-Midoc 28_026.jpg:1978-2074</t>
  </si>
  <si>
    <t>KX16-Midoc 28_026.jpg:1940-1725</t>
  </si>
  <si>
    <t>KX16-Midoc 28_026.jpg:1962-0995</t>
  </si>
  <si>
    <t>KX16-Midoc 28_026.jpg:1929-0780</t>
  </si>
  <si>
    <t>KX16-Midoc 28_026.jpg:1965-0616</t>
  </si>
  <si>
    <t>KX16-Midoc 29_006.jpg:1908-0625</t>
  </si>
  <si>
    <t>KX16-Midoc 29_006.jpg:2012-1577</t>
  </si>
  <si>
    <t>KX16-Midoc 29_006.jpg:1993-2485</t>
  </si>
  <si>
    <t>KX16-Midoc 29_006.jpg:2096-2739</t>
  </si>
  <si>
    <t>KX16-Midoc 29_006.jpg:0739-2789</t>
  </si>
  <si>
    <t>KX16-Midoc 29_006.jpg:0759-2992</t>
  </si>
  <si>
    <t>KX16-Midoc 29_006.jpg:0743-3179</t>
  </si>
  <si>
    <t>KX16-Midoc 29_006.jpg:0748-3340</t>
  </si>
  <si>
    <t>KX16-Midoc 29_006.jpg:0711-3593</t>
  </si>
  <si>
    <t>KX16-Midoc 29_001.jpg:0685-1931</t>
  </si>
  <si>
    <t>KX16-Midoc 29_001.jpg:1113-2009</t>
  </si>
  <si>
    <t>KX16-Midoc 29_001.jpg:1427-1761</t>
  </si>
  <si>
    <t>KX16-Midoc 29_001.jpg:1711-2414</t>
  </si>
  <si>
    <t>KX16-Midoc 29_001.jpg:1983-2549</t>
  </si>
  <si>
    <t>KX16-Midoc 29_001.jpg:2522-2577</t>
  </si>
  <si>
    <t>KX16-Midoc 29_001.jpg:2432-0961</t>
  </si>
  <si>
    <t>KX16-Midoc 29_003.jpg:1880-2497</t>
  </si>
  <si>
    <t>KX16-Midoc 29_004.jpg:0863-0420</t>
  </si>
  <si>
    <t>KX16-Midoc 29_004.jpg:1086-1406</t>
  </si>
  <si>
    <t>KX16-Midoc 29_004.jpg:1232-2966</t>
  </si>
  <si>
    <t>KX16-Midoc 29_004.jpg:2102-3155</t>
  </si>
  <si>
    <t>KX16-Midoc 29_005.jpg:0880-0597</t>
  </si>
  <si>
    <t>KX16-Midoc 29_005.jpg:0845-0811</t>
  </si>
  <si>
    <t>KX16-Midoc 29_005.jpg:0907-1016</t>
  </si>
  <si>
    <t>KX16-Midoc 29_005.jpg:0731-1226</t>
  </si>
  <si>
    <t>KX16-Midoc 29_005.jpg:0755-1318</t>
  </si>
  <si>
    <t>KX16-Midoc 29_005.jpg:0703-1492</t>
  </si>
  <si>
    <t>KX16-Midoc 29_005.jpg:0787-1677</t>
  </si>
  <si>
    <t>KX16-Midoc 29_005.jpg:0789-2102</t>
  </si>
  <si>
    <t>KX16-Midoc 29_005.jpg:0752-2822</t>
  </si>
  <si>
    <t>KX16-Midoc 29_005.jpg:0817-3443</t>
  </si>
  <si>
    <t>KX16-Midoc 29_005.jpg:1809-3532</t>
  </si>
  <si>
    <t>KX16-Midoc 29_005.jpg:1823-2972</t>
  </si>
  <si>
    <t>KX16-Midoc 29_005.jpg:2027-0753</t>
  </si>
  <si>
    <t>KX16-Midoc 29_005.jpg:2012-1037</t>
  </si>
  <si>
    <t>KX16-Midoc 29_005.jpg:1996-1822</t>
  </si>
  <si>
    <t>KX16-Midoc 29_005.jpg:2125-1957</t>
  </si>
  <si>
    <t>KX16-Midoc 29_005.jpg:1887-2384</t>
  </si>
  <si>
    <t>KX16-Midoc 29_005.jpg:1975-2645</t>
  </si>
  <si>
    <t>KX16-Midoc 29_009.jpg</t>
  </si>
  <si>
    <t>alluroteuthis antarcticus; galiteuthis glacialis</t>
  </si>
  <si>
    <t>n=5 G. glacialis</t>
  </si>
  <si>
    <t>KX16-Midoc 29_012.jpg:0865-0471</t>
  </si>
  <si>
    <t>KX16-Midoc 29_012.jpg:0875-1353</t>
  </si>
  <si>
    <t>KX16-Midoc 29_012.jpg:1952-0388</t>
  </si>
  <si>
    <t>KX16-Midoc 29_012.jpg:1891-1126</t>
  </si>
  <si>
    <t>KX16-Midoc 29_012.jpg:2062-1349</t>
  </si>
  <si>
    <t>KX16-Midoc 29_012.jpg:0577-1667</t>
  </si>
  <si>
    <t>KX16-Midoc 29_012.jpg:0701-2315</t>
  </si>
  <si>
    <t>KX16-Midoc 29_012.jpg:1929-1642</t>
  </si>
  <si>
    <t>KX16-Midoc 29_012.jpg:1955-3546</t>
  </si>
  <si>
    <t>KX16-Midoc 29_012.jpg:0706-2892</t>
  </si>
  <si>
    <t>KX16-Midoc 29_013.jpg:0812-0749</t>
  </si>
  <si>
    <t>KX16-Midoc 29_013.jpg:0893-1296</t>
  </si>
  <si>
    <t>KX16-Midoc 29_013.jpg:2004-1273</t>
  </si>
  <si>
    <t>KX16-Midoc 29_013.jpg:0923-2732</t>
  </si>
  <si>
    <t>KX16-Midoc 29_013.jpg:1819-3610</t>
  </si>
  <si>
    <t>KX16-Midoc 29_013.jpg:0585-3456</t>
  </si>
  <si>
    <t>KX16-Midoc 29_013.jpg:2092-3374</t>
  </si>
  <si>
    <t>KX16-Midoc 29_013.jpg:2096-0871</t>
  </si>
  <si>
    <t>KX16-Midoc 29_015.jpg:0592-1000</t>
  </si>
  <si>
    <t>KX16-Midoc 29_015.jpg:0650-1693</t>
  </si>
  <si>
    <t>KX16-Midoc 29_015.jpg:0662-2448</t>
  </si>
  <si>
    <t>KX16-Midoc 29_015.jpg:0760-2915</t>
  </si>
  <si>
    <t>KX16-Midoc 29_015.jpg:2072-1886</t>
  </si>
  <si>
    <t>KX16-Midoc 29_015.jpg:2167-3831</t>
  </si>
  <si>
    <t>KX16-Midoc 29_015.jpg:0829-3442</t>
  </si>
  <si>
    <t>KX16-Midoc 29_015.jpg:0859-3633</t>
  </si>
  <si>
    <t>KX16-Midoc 29_015.jpg:2218-1479</t>
  </si>
  <si>
    <t>KX16-Midoc 29_015.jpg:2113-0929</t>
  </si>
  <si>
    <t>KX16-Midoc 29_015.jpg:2144-0743</t>
  </si>
  <si>
    <t>KX16-Midoc 29_016.jpg:0524-1623</t>
  </si>
  <si>
    <t>galiteuthis glacialis</t>
  </si>
  <si>
    <t>KX16-Midoc 29_016.jpg:2027-1474; KX16-Midoc 29_016.jpg:2435-1677</t>
  </si>
  <si>
    <t>Mesonychoteuthis hamiltoni; Galiteuthis glacialis</t>
  </si>
  <si>
    <t>KX16-Midoc 29_021.jpg:2085-1170; KX16-Midoc 29_021.jpg:2508-1150</t>
  </si>
  <si>
    <t>KX16-Midoc 29_022.jpg:0627-2377</t>
  </si>
  <si>
    <t>KX16-Midoc 29_022.jpg:0727-2915</t>
  </si>
  <si>
    <t>KX16-Midoc 29_022.jpg:0843-3274</t>
  </si>
  <si>
    <t>KX16-Midoc 29_022.jpg:0968-3490</t>
  </si>
  <si>
    <t>KX16-Midoc 29_022.jpg:1493-1465</t>
  </si>
  <si>
    <t>KX16-Midoc 29_022.jpg:1805-1823</t>
  </si>
  <si>
    <t>gymnoscopelus bolini</t>
  </si>
  <si>
    <t>Trigonolampa</t>
  </si>
  <si>
    <t>KX16-Midoc 29_022.jpg:2276-2108</t>
  </si>
  <si>
    <t>KX16-Midoc 29_023.jpg:0648-3187</t>
  </si>
  <si>
    <t>electrona paucirastra</t>
  </si>
  <si>
    <t>KX16-Midoc 29_023.jpg:0559-2012</t>
  </si>
  <si>
    <t>KX16-Midoc 29_023.jpg:1168-0775</t>
  </si>
  <si>
    <t>KX16-Midoc 29_023.jpg:1801-0988</t>
  </si>
  <si>
    <t>KX16-Midoc 29_023.jpg:1808-2036</t>
  </si>
  <si>
    <t>KX16-Midoc 29_023.jpg:1276-2566</t>
  </si>
  <si>
    <t>KX16-Midoc 29_026_measured.jpg:0724-1103</t>
  </si>
  <si>
    <t>KX16-Midoc 29_026_measured.jpg:0679-1801</t>
  </si>
  <si>
    <t>KX16-Midoc 29_026_measured.jpg:0644-2007</t>
  </si>
  <si>
    <t>KX16-Midoc 29_026_measured.jpg:0646-2187</t>
  </si>
  <si>
    <t>KX16-Midoc 29_026_measured.jpg:0591-2406</t>
  </si>
  <si>
    <t>KX16-Midoc 29_026_measured.jpg:0626-2639</t>
  </si>
  <si>
    <t>KX16-Midoc 29_026_measured.jpg:0727-3114</t>
  </si>
  <si>
    <t>KX16-Midoc 29_026_measured.jpg:0981-3432</t>
  </si>
  <si>
    <t>KX16-Midoc 29_026_measured.jpg:1388-2314</t>
  </si>
  <si>
    <t>KX16-Midoc 29_026_measured.jpg:1445-2664</t>
  </si>
  <si>
    <t>KX16-Midoc 29_027.jpg</t>
  </si>
  <si>
    <t>KX16-Midoc 29_029.jpg:1718-1124</t>
  </si>
  <si>
    <t>KX16-Midoc 29_029.jpg:1624-1306</t>
  </si>
  <si>
    <t>KX16-Midoc 29_029.jpg:1685-1842</t>
  </si>
  <si>
    <t>KX16-Midoc 29_029.jpg:1606-2040</t>
  </si>
  <si>
    <t>KX16-Midoc 29_029.jpg:1764-2358</t>
  </si>
  <si>
    <t>KX16-Midoc 29_029.jpg:1560-2545</t>
  </si>
  <si>
    <t>KX16-Midoc 29_029.jpg:1659-2657</t>
  </si>
  <si>
    <t>KX16-Midoc 29_029.jpg:1569-2709</t>
  </si>
  <si>
    <t>KX16-Midoc 29_029.jpg:1569-2777</t>
  </si>
  <si>
    <t>KX16-Midoc 29_029.jpg:0800-1801</t>
  </si>
  <si>
    <t>KX16-Midoc 29_029.jpg:0709-2155</t>
  </si>
  <si>
    <t>KX16-Midoc 29_029.jpg:0674-2436</t>
  </si>
  <si>
    <t>KX16-Midoc 29_029.jpg:0702-2785</t>
  </si>
  <si>
    <t>KX16-Midoc 29_029.jpg:0729-2922</t>
  </si>
  <si>
    <t>KX16-Midoc 29_029.jpg:0677-2690</t>
  </si>
  <si>
    <t>KX16-Midoc 29_029.jpg:0569-3281</t>
  </si>
  <si>
    <t>KX16-Midoc 29_029.jpg:0543-3439</t>
  </si>
  <si>
    <t>KX16-Midoc 29_029.jpg:1474-3513</t>
  </si>
  <si>
    <t>KX16-Midoc 29_029.jpg:1470-3299</t>
  </si>
  <si>
    <t>KX16-Midoc 29_029.jpg:1539-3177</t>
  </si>
  <si>
    <t>KX16-Midoc 29_029.jpg:1535-3097</t>
  </si>
  <si>
    <t>KX16-Midoc 29_029.jpg:1517-3026</t>
  </si>
  <si>
    <t>KX16-Midoc 29_029.jpg:1502-2916</t>
  </si>
  <si>
    <t xml:space="preserve">Icichtys australis </t>
  </si>
  <si>
    <t>Drift fish</t>
  </si>
  <si>
    <t>KX16-Midoc 30_002.jpg:1933-1980</t>
  </si>
  <si>
    <t>KX16-Midoc 30_002.jpg:0412-1180</t>
  </si>
  <si>
    <t>KX16-Midoc 30_002.jpg:0823-0966</t>
  </si>
  <si>
    <t>KX16-Midoc 30_002.jpg:0871-2058</t>
  </si>
  <si>
    <t>KX16-Midoc 30_002.jpg:0463-2612</t>
  </si>
  <si>
    <t>KX16-Midoc 30_002.jpg:0867-3175</t>
  </si>
  <si>
    <t>KX16-Midoc 30_002.jpg:1256-1814</t>
  </si>
  <si>
    <t>KX16-Midoc 30_007.jpg:1299-3177</t>
  </si>
  <si>
    <t>KX16-Midoc 30_007.jpg:1591-3203</t>
  </si>
  <si>
    <t>KX16-Midoc 30_007.jpg:1889-3119</t>
  </si>
  <si>
    <t>KX16-Midoc 30_007.jpg:2182-3085</t>
  </si>
  <si>
    <t>KX16-Midoc 30_007.jpg:2085-1576</t>
  </si>
  <si>
    <t>KX16-Midoc 30_007.jpg:1809-1306</t>
  </si>
  <si>
    <t>KX16-Midoc 30_007.jpg:1536-1303</t>
  </si>
  <si>
    <t>KX16-Midoc 30_007.jpg:1262-1319</t>
  </si>
  <si>
    <t>KX16-Midoc 30_007.jpg:0984-1248</t>
  </si>
  <si>
    <t>KX16-Midoc 30_010.jpg:0908-0684</t>
  </si>
  <si>
    <t>KX16-Midoc 30_010.jpg:0771-0902</t>
  </si>
  <si>
    <t>KX16-Midoc 30_010.jpg:0789-2526</t>
  </si>
  <si>
    <t>KX16-Midoc 30_010.jpg:0718-3665</t>
  </si>
  <si>
    <t>KX16-Midoc 30_011.jpg:2093-1712</t>
  </si>
  <si>
    <t>KX16-Midoc 30_014.jpg:0729-0440</t>
  </si>
  <si>
    <t>KX16-Midoc 30_014.jpg:0575-1267</t>
  </si>
  <si>
    <t>KX16-Midoc 30_014.jpg:0625-1791</t>
  </si>
  <si>
    <t>KX16-Midoc 30_014.jpg:0759-3664</t>
  </si>
  <si>
    <t>KX16-Midoc 30_014.jpg:1450-3245</t>
  </si>
  <si>
    <t>KX16-Midoc 30_014.jpg:1463-1692</t>
  </si>
  <si>
    <t>KX16-Midoc 30_014.jpg:2200-3602</t>
  </si>
  <si>
    <t>KX16-Midoc 30_014.jpg:2214-1094</t>
  </si>
  <si>
    <t>KX16-Midoc 30_014.jpg:1546-1194</t>
  </si>
  <si>
    <t>KX16-Midoc 30_014.jpg:1495-1346</t>
  </si>
  <si>
    <t>KX16-Midoc 30_027.jpg:0960-0612</t>
  </si>
  <si>
    <t>KX16-Midoc 30_027.jpg:0840-1716</t>
  </si>
  <si>
    <t>KX16-Midoc 30_027.jpg:0748-2406</t>
  </si>
  <si>
    <t>KX16-Midoc 30_027.jpg:0666-2561</t>
  </si>
  <si>
    <t>KX16-Midoc 30_027.jpg:0680-3687</t>
  </si>
  <si>
    <t>KX16-Midoc 30_027.jpg:1792-1942</t>
  </si>
  <si>
    <t>KX16-Midoc 30_027.jpg:1740-2111</t>
  </si>
  <si>
    <t>KX16-Midoc 30_027.jpg:1712-2272</t>
  </si>
  <si>
    <t>KX16-Midoc 30_027.jpg:1671-2526</t>
  </si>
  <si>
    <t>KX16-Midoc 30_027.jpg:1663-3156</t>
  </si>
  <si>
    <t>KX16-Midoc 30_027.jpg:1897-3347</t>
  </si>
  <si>
    <t>KX16-Midoc 30_027.jpg:1874-3637</t>
  </si>
  <si>
    <t>KX16-Midoc 30_027.jpg:1882-0934</t>
  </si>
  <si>
    <t>KX16-Midoc 30_027.jpg:1928-0757</t>
  </si>
  <si>
    <t>KX16-Midoc 30_019.jpg:KX16-Midoc 30_019</t>
  </si>
  <si>
    <t>KX16-Midoc 30_023_measured.jpg:KX16-Midoc 30_023</t>
  </si>
  <si>
    <t>KX16-Midoc 30_027.jpg:0768-2106</t>
  </si>
  <si>
    <t>KX16-Midoc 30_027.jpg:0794-3093</t>
  </si>
  <si>
    <t>KX16-Midoc 30_027.jpg:0818-3633</t>
  </si>
  <si>
    <t>KX16-Midoc 30_027.jpg:1749-1415</t>
  </si>
  <si>
    <t>KX16-Midoc 30_027.jpg:2175-2687</t>
  </si>
  <si>
    <t>KX16-Midoc 30_029.jpg:0696-0718</t>
  </si>
  <si>
    <t>KX16-Midoc 30_029.jpg:0698-1155</t>
  </si>
  <si>
    <t>KX16-Midoc 30_029.jpg:0797-1997</t>
  </si>
  <si>
    <t>KX16-Midoc 30_029.jpg:0785-2681</t>
  </si>
  <si>
    <t>KX16-Midoc 30_029.jpg:0885-3104</t>
  </si>
  <si>
    <t>KX16-Midoc 30_029.jpg:1474-0380</t>
  </si>
  <si>
    <t>KX16-Midoc 30_029.jpg:1579-0544</t>
  </si>
  <si>
    <t>KX16-Midoc 30_029.jpg:1569-0688</t>
  </si>
  <si>
    <t>KX16-Midoc 30_029.jpg:1632-0881</t>
  </si>
  <si>
    <t>KX16-Midoc 30_029.jpg:1657-1850</t>
  </si>
  <si>
    <t>KX16-Midoc 30_029.jpg:1808-2926</t>
  </si>
  <si>
    <t>KX16-Midoc 30_029.jpg:2377-3443</t>
  </si>
  <si>
    <t>KX16-Midoc 30_029.jpg:2511-1944</t>
  </si>
  <si>
    <t>KX16-Midoc 30_029.jpg:2532-0638</t>
  </si>
  <si>
    <t>KX16-Midoc 30_030.jpg:1835-0834</t>
  </si>
  <si>
    <t>KX16-Midoc 30_030.jpg:1860-1153</t>
  </si>
  <si>
    <t>KX16-Midoc 30_030.jpg:1913-1462</t>
  </si>
  <si>
    <t>KX16-Midoc 30_030.jpg:2018-1809</t>
  </si>
  <si>
    <t>KX16-Midoc 30_030.jpg:2146-2128</t>
  </si>
  <si>
    <t>KX16-Midoc 30_030.jpg:1996-2568</t>
  </si>
  <si>
    <t>KX16-Midoc 30_030.jpg:1951-2720</t>
  </si>
  <si>
    <t>KX16-Midoc 30_030.jpg:1936-2904</t>
  </si>
  <si>
    <t>KX16-Midoc 30_030.jpg:1910-3076</t>
  </si>
  <si>
    <t>KX16-Midoc 30_031.jpg</t>
  </si>
  <si>
    <t>KX16-Midoc 30_032.jpg:0720-1975</t>
  </si>
  <si>
    <t>KX16-Midoc 30_032.jpg:1113-1772</t>
  </si>
  <si>
    <t>KX16-Midoc 30_032.jpg</t>
  </si>
  <si>
    <t>KX16-Midoc 30_032.jpg:2167-3693</t>
  </si>
  <si>
    <t>KX16-Midoc 30_032.jpg:2187-3386</t>
  </si>
  <si>
    <t>KX16-Midoc 30_032.jpg:2263-2893</t>
  </si>
  <si>
    <t>KX16-Midoc 30_032.jpg:2381-2728</t>
  </si>
  <si>
    <t>KX16-Midoc 30_032.jpg:2366-2577</t>
  </si>
  <si>
    <t>KX16-Midoc 30_032.jpg:2386-2402</t>
  </si>
  <si>
    <t>KX16-Midoc 30_032.jpg:2406-2229</t>
  </si>
  <si>
    <t>KX16-Midoc 30_032.jpg:2314-2056</t>
  </si>
  <si>
    <t>KX16-Midoc 30_032.jpg:2365-1847</t>
  </si>
  <si>
    <t>KX16-Midoc 30_032.jpg:2374-1672</t>
  </si>
  <si>
    <t>KX16-Midoc 30_032.jpg:2383-1465</t>
  </si>
  <si>
    <t>KX16-Midoc 30_032.jpg:2407-1277</t>
  </si>
  <si>
    <t>KX16-Midoc 30_032.jpg:2457-1046</t>
  </si>
  <si>
    <t>KX16-Midoc 30_035.jpg:0792-0667</t>
  </si>
  <si>
    <t>KX16-Midoc 30_035.jpg:0710-1106</t>
  </si>
  <si>
    <t>KX16-Midoc 30_035.jpg:0626-1664</t>
  </si>
  <si>
    <t>KX16-Midoc 30_035.jpg:0789-2211</t>
  </si>
  <si>
    <t>KX16-Midoc 30_035.jpg:0774-2476</t>
  </si>
  <si>
    <t>KX16-Midoc 30_035.jpg:0894-3114</t>
  </si>
  <si>
    <t>KX16-Midoc 30_043.jpg:0552-1739</t>
  </si>
  <si>
    <t>KX16-Midoc 30_043.jpg:0545-2071</t>
  </si>
  <si>
    <t>KX16-Midoc 30_043.jpg:0577-3244</t>
  </si>
  <si>
    <t>KX16-Midoc 30_043.jpg:0607-3465</t>
  </si>
  <si>
    <t>KX16-Midoc 30_043.jpg:0540-3646</t>
  </si>
  <si>
    <t>KX16-Midoc 30_043.jpg:2136-0593</t>
  </si>
  <si>
    <t>KX16-Midoc 30_043.jpg:2113-0733</t>
  </si>
  <si>
    <t>KX16-Midoc 30_043.jpg:2152-0907</t>
  </si>
  <si>
    <t>KX16-Midoc 30_043.jpg:2113-1051</t>
  </si>
  <si>
    <t>KX16-Midoc 30_043.jpg:2118-1190</t>
  </si>
  <si>
    <t>KX16-Midoc 30_043.jpg:1909-3144</t>
  </si>
  <si>
    <t>KX16-Midoc 30_043.jpg:1897-3275</t>
  </si>
  <si>
    <t>KX16-Midoc 30_043.jpg:1892-3372</t>
  </si>
  <si>
    <t>KX16-Midoc 30_043.jpg:1894-3467</t>
  </si>
  <si>
    <t>KX16-Midoc 30_043.jpg:1891-3592</t>
  </si>
  <si>
    <t>Argyropelecus</t>
  </si>
  <si>
    <t>KX16-Midoc 30_044.jpg:0390-1019</t>
  </si>
  <si>
    <t>KX16-Midoc 30_044.jpg:0835-1038</t>
  </si>
  <si>
    <t>KX16-Midoc 30_044.jpg:1121-1031</t>
  </si>
  <si>
    <t>KX16-Midoc 30_044.jpg:1424-1204</t>
  </si>
  <si>
    <t>KX16-Midoc 30_044.jpg:0400-3148</t>
  </si>
  <si>
    <t>KX16-Midoc 30_044.jpg:0647-2958</t>
  </si>
  <si>
    <t>KX16-Midoc 30_044.jpg:1077-3010</t>
  </si>
  <si>
    <t>KX16-Midoc 30_044.jpg:1306-3054</t>
  </si>
  <si>
    <t>KX16-Midoc 30_044.jpg:0949-2041</t>
  </si>
  <si>
    <t>KX16-Midoc 30_044.jpg:0719-1080</t>
  </si>
  <si>
    <t>KX16-Midoc 30_045.jpg:0554-0869</t>
  </si>
  <si>
    <t>KX16-Midoc 30_045.jpg:0708-2269</t>
  </si>
  <si>
    <t>KX16-Midoc 30_045.jpg:0683-2712</t>
  </si>
  <si>
    <t>KX16-Midoc 30_045.jpg:0935-3244</t>
  </si>
  <si>
    <t>KX16-Midoc 30_045.jpg:0963-3714</t>
  </si>
  <si>
    <t>KX16-Midoc 30_045.jpg:1957-0908</t>
  </si>
  <si>
    <t>KX16-Midoc 30_045.jpg:1921-1128</t>
  </si>
  <si>
    <t>KX16-Midoc 30_045.jpg:2003-1386</t>
  </si>
  <si>
    <t>KX16-Midoc 30_045.jpg:1946-1570</t>
  </si>
  <si>
    <t>KX16-Midoc 30_045.jpg:2099-1781</t>
  </si>
  <si>
    <t>KX16-Midoc 30_045.jpg:2031-2954</t>
  </si>
  <si>
    <t>KX16-Midoc 30_045.jpg:2104-3626</t>
  </si>
  <si>
    <t>KX16-Midoc 30_045.jpg:2134-3784</t>
  </si>
  <si>
    <t>KX16-Midoc 30_045.jpg:2100-3450; KX16-Midoc 30_045.jpg:2099-3405</t>
  </si>
  <si>
    <t>KX16-Midoc 30_045.jpg:2586-2766</t>
  </si>
  <si>
    <t>KX16-Midoc 30_047.jpg:0754-1463; KX16-Midoc 30_047.jpg:0715-1901</t>
  </si>
  <si>
    <t>galiteuthis glacialis larvae; psychroteuthis glacialis larvae</t>
  </si>
  <si>
    <t>n=1 psychroteuthis glacialis larvae</t>
  </si>
  <si>
    <t>KX16-Midoc 30_047.jpg</t>
  </si>
  <si>
    <t>cyanomacrurus</t>
  </si>
  <si>
    <t>KX16-Midoc 31_003.jpg:1421-0841</t>
  </si>
  <si>
    <t>KX16-Midoc 31_003.jpg:1004-1737</t>
  </si>
  <si>
    <t>KX16-Midoc 31_003.jpg:1058-2157</t>
  </si>
  <si>
    <t>KX16-Midoc 31_003.jpg:1767-2532</t>
  </si>
  <si>
    <t>KX16-Midoc 31_003.jpg:1263-2922</t>
  </si>
  <si>
    <t>KX16-Midoc 31_003.jpg:1436-3355</t>
  </si>
  <si>
    <t>KX16-Midoc 31_005.jpg:0895-0709</t>
  </si>
  <si>
    <t>KX16-Midoc 31_005.jpg:0965-2799</t>
  </si>
  <si>
    <t>KX16-Midoc 31_005.jpg:1152-3520</t>
  </si>
  <si>
    <t>KX16-Midoc 31_005.jpg:2392-3148</t>
  </si>
  <si>
    <t>photo blurred and tag illegible</t>
  </si>
  <si>
    <t>KX16-Midoc 31_007.jpg:0732-3360</t>
  </si>
  <si>
    <t>KX16-Midoc 31_007.jpg:0756-3529</t>
  </si>
  <si>
    <t xml:space="preserve">KX16-Midoc 31_008.jpg:2247-1258; KX16-Midoc 31_008.jpg:2431-1337 </t>
  </si>
  <si>
    <t>KX16-Midoc 31_008.jpg:2510-3695</t>
  </si>
  <si>
    <t>KX16-Midoc 31_014.jpg:1232-3620</t>
  </si>
  <si>
    <t>KX16-Midoc 31_014.jpg:2483-1500</t>
  </si>
  <si>
    <t>KX16-Midoc 31_014.jpg:2464-3055</t>
  </si>
  <si>
    <t>KX16-Midoc 31_015.jpg:0624-1506</t>
  </si>
  <si>
    <t>KX16-Midoc 31_015.jpg:0539-1967</t>
  </si>
  <si>
    <t>KX16-Midoc 31_015.jpg:0604-2263</t>
  </si>
  <si>
    <t>KX16-Midoc 31_015.jpg:0783-3135</t>
  </si>
  <si>
    <t>KX16-Midoc 31_018.jpg</t>
  </si>
  <si>
    <t>galiteuthis glacialis; bathyteuthis abyssicola</t>
  </si>
  <si>
    <t>n=2 B. abyssicola</t>
  </si>
  <si>
    <t>E. tricantha</t>
  </si>
  <si>
    <t>KX16-Midoc 31_027.jpg:1047-1441</t>
  </si>
  <si>
    <t>KX16-Midoc 31_027.jpg:1087-2478</t>
  </si>
  <si>
    <t>KX16-Midoc 31_027.jpg:1129-3522</t>
  </si>
  <si>
    <t>KX16-Midoc 31_027.jpg:2412-1359</t>
  </si>
  <si>
    <t>KX16-Midoc 31_027.jpg:1990-1287</t>
  </si>
  <si>
    <t>KX16-Midoc 31_029.jpg:1373-3651</t>
  </si>
  <si>
    <t>KX16-Midoc 31_029.jpg:1340-3321</t>
  </si>
  <si>
    <t>KX16-Midoc 31_029.jpg:1468-2955</t>
  </si>
  <si>
    <t>KX16-Midoc 31_029.jpg:1316-2622</t>
  </si>
  <si>
    <t>KX16-Midoc 31_029.jpg:1314-2371</t>
  </si>
  <si>
    <t>KX16-Midoc 31_029.jpg:1320-2084</t>
  </si>
  <si>
    <t>KX16-Midoc 31_029.jpg:1207-1766</t>
  </si>
  <si>
    <t>KX16-Midoc 31_029.jpg:1153-1500</t>
  </si>
  <si>
    <t>KX16-Midoc 31_029.jpg:1109-1189</t>
  </si>
  <si>
    <t>KX16-Midoc 31_032.jpg:0779-3356</t>
  </si>
  <si>
    <t>KX16-Midoc 31_032.jpg:0742-3152</t>
  </si>
  <si>
    <t>KX16-Midoc 31_032.jpg:0708-2939</t>
  </si>
  <si>
    <t>KX16-Midoc 31_032.jpg:0838-2125</t>
  </si>
  <si>
    <t>KX16-Midoc 31_032.jpg:0691-1319</t>
  </si>
  <si>
    <t>KX16-Midoc 31_032.jpg:0769-1176</t>
  </si>
  <si>
    <t>KX16-Midoc 31_032.jpg:0740-1036</t>
  </si>
  <si>
    <t>KX16-Midoc 31_032.jpg:0647-0944</t>
  </si>
  <si>
    <t>KX16-Midoc 31_032.jpg:0646-0771</t>
  </si>
  <si>
    <t>KX16-Midoc 31_032.jpg:0635-0592</t>
  </si>
  <si>
    <t>KX16-Midoc 31_032.jpg:1897-3077</t>
  </si>
  <si>
    <t>KX16-Midoc 31_032.jpg:1858-2283</t>
  </si>
  <si>
    <t>KX16-Midoc 31_032.jpg:2010-1874</t>
  </si>
  <si>
    <t>KX16-Midoc 31_032.jpg:1953-1259</t>
  </si>
  <si>
    <t>KX16-Midoc 31_032.jpg:1914-0854</t>
  </si>
  <si>
    <t>KX16-Midoc 31_028.jpg:1915-0772</t>
  </si>
  <si>
    <t>KX16-Midoc 31_028.jpg:1920-0890</t>
  </si>
  <si>
    <t>KX16-Midoc 31_028.jpg:1961-1029</t>
  </si>
  <si>
    <t>KX16-Midoc 31_028.jpg:2092-1341</t>
  </si>
  <si>
    <t>KX16-Midoc 31_028.jpg:2100-1521</t>
  </si>
  <si>
    <t xml:space="preserve">slosarczykovia circumantarctica; galiteuthis glacialis </t>
  </si>
  <si>
    <t>only 2 individuals measured</t>
  </si>
  <si>
    <t>KX16-Midoc 31_030.jpg:1792-3491; KX16-Midoc 31_030.jpg:1694-3009</t>
  </si>
  <si>
    <t>T. gaudicaudi</t>
  </si>
  <si>
    <t>KX16-Midoc 31_035.jpg</t>
  </si>
  <si>
    <t>label not visible in photo</t>
  </si>
  <si>
    <t>KX16-Midoc 31_037.jpg:0823-0688</t>
  </si>
  <si>
    <t>KX16-Midoc 31_037.jpg:0818-2343</t>
  </si>
  <si>
    <t>KX16-Midoc 31_037.jpg:0966-3484</t>
  </si>
  <si>
    <t>KX16-Midoc 31_037.jpg:1878-1970</t>
  </si>
  <si>
    <t>KX16-Midoc 31_037.jpg:1970-3100</t>
  </si>
  <si>
    <t>KX16-Midoc 31_016.jpg:1683-1341</t>
  </si>
  <si>
    <t>KX16-Midoc 31_016.jpg:1118-3668</t>
  </si>
  <si>
    <t>KX16-Midoc 31_016.jpg:1012-3362</t>
  </si>
  <si>
    <t>KX16-Midoc 31_016.jpg:0698-2991</t>
  </si>
  <si>
    <t>KX16-Midoc 31_016.jpg:0598-2439</t>
  </si>
  <si>
    <t>KX16-Midoc 31_016.jpg:1533-1637</t>
  </si>
  <si>
    <t>KX16-Midoc 31_016.jpg:1547-1961</t>
  </si>
  <si>
    <t>KX16-Midoc 31_016.jpg:1527-2220</t>
  </si>
  <si>
    <t>KX16-Midoc 31_016.jpg:0408-0833</t>
  </si>
  <si>
    <t>KX16-Midoc 31_016.jpg:0303-1013</t>
  </si>
  <si>
    <t>KX16-Midoc 31_016.jpg:0311-1175</t>
  </si>
  <si>
    <t>KX16-Midoc 31_016.jpg:0301-1359</t>
  </si>
  <si>
    <t>KX16-Midoc 31_016.jpg:0286-1506</t>
  </si>
  <si>
    <t>KX16-Midoc 31_016.jpg:0383-1720</t>
  </si>
  <si>
    <t>KX16-Midoc 31_016.jpg:0413-1879</t>
  </si>
  <si>
    <t>KX16-Midoc 31_016.jpg:0468-2138</t>
  </si>
  <si>
    <t>KX16-Midoc 31_016.jpg:0915-2700</t>
  </si>
  <si>
    <t>KX16-Midoc 31_016.jpg:2210-1598</t>
  </si>
  <si>
    <t>KX16-Midoc 31_016.jpg:2072-2627</t>
  </si>
  <si>
    <t>KX16-Midoc 31_039.jpg:2151-3300</t>
  </si>
  <si>
    <t>KX16-Midoc 31_039.jpg:2014-2924</t>
  </si>
  <si>
    <t>KX16-Midoc 31_039.jpg:2057-1163</t>
  </si>
  <si>
    <t>KX16-Midoc 31_039.jpg:1837-0670</t>
  </si>
  <si>
    <t>KX16-Midoc 31_039.jpg:0863-0570</t>
  </si>
  <si>
    <t>KX16-Midoc 31_039.jpg:0891-0920</t>
  </si>
  <si>
    <t>KX16-Midoc 31_039.jpg:0844-1131</t>
  </si>
  <si>
    <t>KX16-Midoc 31_039.jpg:0909-1392</t>
  </si>
  <si>
    <t>KX16-Midoc 31_039.jpg:0877-1682</t>
  </si>
  <si>
    <t>KX16-Midoc 31_039.jpg:0859-1953</t>
  </si>
  <si>
    <t>KX16-Midoc 31_039.jpg:0874-2163</t>
  </si>
  <si>
    <t>KX16-Midoc 31_039.jpg:0934-3003</t>
  </si>
  <si>
    <t>KX16-Midoc 31_039.jpg:0916-3258</t>
  </si>
  <si>
    <t>KX16-Midoc 31_039.jpg:0996-3462</t>
  </si>
  <si>
    <t>KX16-Midoc 31_041_measured.jpg:0754-0713</t>
  </si>
  <si>
    <t>KX16-Midoc 31_041_measured.jpg:0729-1199</t>
  </si>
  <si>
    <t>KX16-Midoc 31_041_measured.jpg:0830-1408</t>
  </si>
  <si>
    <t>KX16-Midoc 31_041_measured.jpg:0897-2505</t>
  </si>
  <si>
    <t>KX16-Midoc 31_041_measured.jpg:0817-2688</t>
  </si>
  <si>
    <t>KX16-Midoc 31_041_measured.jpg:0864-2852</t>
  </si>
  <si>
    <t>KX16-Midoc 31_041_measured.jpg:0989-3532</t>
  </si>
  <si>
    <t>KX16-Midoc 31_041_measured.jpg:1364-2027</t>
  </si>
  <si>
    <t>KX16-Midoc 31_041_measured.jpg:2212-2716</t>
  </si>
  <si>
    <t>KX16-Midoc 31_041_measured.jpg:2139-1595</t>
  </si>
  <si>
    <t>KX16-Midoc 31_041_measured.jpg:2130-0684</t>
  </si>
  <si>
    <t>KX16-Midoc 31_041_measured.jpg:1382-0725</t>
  </si>
  <si>
    <t>KX16-Midoc 31_041_measured.jpg:1395-1538</t>
  </si>
  <si>
    <t>KX16-Midoc 31_043.jpg:0708-0797</t>
  </si>
  <si>
    <t>KX16-Midoc 31_043.jpg:1050-2625</t>
  </si>
  <si>
    <t>KX16-Midoc 31_043.jpg:2085-2880</t>
  </si>
  <si>
    <t>KX16-Midoc 31_043.jpg:2173-1877</t>
  </si>
  <si>
    <t>KX16-Midoc 31_043.jpg:2033-0540</t>
  </si>
  <si>
    <t>KX16-Midoc 31_054.jpg:0796-3162</t>
  </si>
  <si>
    <t>KX16-Midoc 31_054.jpg:1559-2379</t>
  </si>
  <si>
    <t>KX16-Midoc 31_054.jpg:2068-0773</t>
  </si>
  <si>
    <t>KX16-Midoc 31_054.jpg:2412-0642</t>
  </si>
  <si>
    <t>KX16-Midoc 31_054.jpg:2219-0930</t>
  </si>
  <si>
    <t>KX16-Midoc 31_064.jpg:0670-1548</t>
  </si>
  <si>
    <t>KX16-Midoc 31_064.jpg:0934-1967</t>
  </si>
  <si>
    <t>KX16-Midoc 31_064.jpg:1188-1772</t>
  </si>
  <si>
    <t>KX16-Midoc 31_064.jpg:2256-2386</t>
  </si>
  <si>
    <t>KX16-Midoc 31_064.jpg:2071-2935</t>
  </si>
  <si>
    <t>KX16-Midoc 31_064.jpg:1965-3058</t>
  </si>
  <si>
    <t>KX16-Midoc 31_064.jpg:1222-3306</t>
  </si>
  <si>
    <t>KX16-Midoc 31_064.jpg:1869-3555</t>
  </si>
  <si>
    <t>KX16-Midoc 31_064.jpg:2388-1815</t>
  </si>
  <si>
    <t>KX16-Midoc 31_064.jpg:2232-1093</t>
  </si>
  <si>
    <t>KX16-Midoc 31_064.jpg:2290-1371</t>
  </si>
  <si>
    <t>KX16-Midoc 31_064.jpg:2081-0859</t>
  </si>
  <si>
    <t>KX16-Midoc 31_064.jpg:2005-0480</t>
  </si>
  <si>
    <t>KX16-Midoc 31_066.jpg:1371-0897</t>
  </si>
  <si>
    <t>KX16-Midoc 31_066.jpg:1051-1426</t>
  </si>
  <si>
    <t>KX16-Midoc 31_066.jpg:2204-0728</t>
  </si>
  <si>
    <t>KX16-Midoc 31_066.jpg:2159-0968</t>
  </si>
  <si>
    <t>KX16-Midoc 31_066.jpg:2196-1157</t>
  </si>
  <si>
    <t>KX16-Midoc 31_066.jpg:2363-1432</t>
  </si>
  <si>
    <t>KX16-Midoc 31_066.jpg:2212-1816</t>
  </si>
  <si>
    <t>KX16-Midoc 31_066.jpg:0928-2078</t>
  </si>
  <si>
    <t>KX16-Midoc 31_066.jpg:0964-2270</t>
  </si>
  <si>
    <t>KX16-Midoc 31_066.jpg:0992-2419</t>
  </si>
  <si>
    <t>KX16-Midoc 31_066.jpg:0849-3046</t>
  </si>
  <si>
    <t>KX16-Midoc 31_066.jpg:0873-2604</t>
  </si>
  <si>
    <t>KX16-Midoc 31_068.jpg</t>
  </si>
  <si>
    <t>8 complete, 3 mantles; 4 different species</t>
  </si>
  <si>
    <t>KX16-Midoc 32_002.jpg:1764-0925</t>
  </si>
  <si>
    <t>KX16-Midoc 32_002.jpg:1651-1335</t>
  </si>
  <si>
    <t>KX16-Midoc 32_002.jpg:1770-2459</t>
  </si>
  <si>
    <t>KX16-Midoc 32_002.jpg:1673-2752</t>
  </si>
  <si>
    <t>KX16-Midoc 32_002.jpg:1794-3177</t>
  </si>
  <si>
    <t>KX16-Midoc 32_003.jpg:0569-2699</t>
  </si>
  <si>
    <t>KX16-Midoc 32_003.jpg:0485-3458</t>
  </si>
  <si>
    <t>KX16-Midoc 32_003.jpg:1297-3400</t>
  </si>
  <si>
    <t>KX16-Midoc 32_003.jpg:2169-2636</t>
  </si>
  <si>
    <t>KX16-Midoc 32_003.jpg:2107-2890</t>
  </si>
  <si>
    <t>KX16-Midoc 32_004.jpg:0663-0388</t>
  </si>
  <si>
    <t>KX16-Midoc 32_004.jpg:0914-2080</t>
  </si>
  <si>
    <t>KX16-Midoc 32_004.jpg:1730-2378</t>
  </si>
  <si>
    <t>KX16-Midoc 32_004.jpg:1907-2876</t>
  </si>
  <si>
    <t>KX16-Midoc 32_004.jpg:0987-3496</t>
  </si>
  <si>
    <t>KX16-Midoc 32_009.jpg:1906-0742</t>
  </si>
  <si>
    <t>KX16-Midoc 32_009.jpg:0874-0790</t>
  </si>
  <si>
    <t>KX16-Midoc 32_009.jpg:1126-1197</t>
  </si>
  <si>
    <t>KX16-Midoc 32_009.jpg:1077-1501</t>
  </si>
  <si>
    <t>KX16-Midoc 32_009.jpg:1074-1818</t>
  </si>
  <si>
    <t>KX16-Midoc 32_009.jpg:1015-2093</t>
  </si>
  <si>
    <t>KX16-Midoc 32_009.jpg:1447-2574</t>
  </si>
  <si>
    <t>KX16-Midoc 32_009.jpg:1312-2935</t>
  </si>
  <si>
    <t>KX16-Midoc 32_009.jpg:1384-3306</t>
  </si>
  <si>
    <t>KX16-Midoc 32_009.jpg:1264-3552</t>
  </si>
  <si>
    <t>KX16-Midoc 32_011.jpg:0838-1783</t>
  </si>
  <si>
    <t>KX16-Midoc 32_011.jpg</t>
  </si>
  <si>
    <t>KX16-Midoc 32_012.jpg:0581-1355</t>
  </si>
  <si>
    <t>KX16-Midoc 32_012.jpg:0615-2226</t>
  </si>
  <si>
    <t>KX16-Midoc 32_012.jpg:0581-3117</t>
  </si>
  <si>
    <t>KX16-Midoc 32_012.jpg:0685-3971</t>
  </si>
  <si>
    <t>KX16-Midoc 32_012.jpg:1296-3247</t>
  </si>
  <si>
    <t>KX16-Midoc 32_012.jpg:1335-2432</t>
  </si>
  <si>
    <t>KX16-Midoc 32_014.jpg:0498-1895</t>
  </si>
  <si>
    <t>bentabella elongata</t>
  </si>
  <si>
    <t>KX16-Midoc 32_014.jpg:0570-1846</t>
  </si>
  <si>
    <t>KX16-Midoc 32_014.jpg:0694-1860</t>
  </si>
  <si>
    <t>KX16-Midoc 32_014.jpg:1119-1856</t>
  </si>
  <si>
    <t>KX16-Midoc 32_014.jpg:2279-1770</t>
  </si>
  <si>
    <t>KX16-Midoc 32_015.jpg:0552-1265</t>
  </si>
  <si>
    <t>KX16-Midoc 32_015.jpg:0590-1156</t>
  </si>
  <si>
    <t>KX16-Midoc 32_015.jpg:0624-1025</t>
  </si>
  <si>
    <t>KX16-Midoc 32_015.jpg:0615-0919</t>
  </si>
  <si>
    <t>KX16-Midoc 32_015.jpg:0624-0808</t>
  </si>
  <si>
    <t>KX16-Midoc 32_015.jpg:0643-0657</t>
  </si>
  <si>
    <t>KX16-Midoc 32_015.jpg:1520-3505</t>
  </si>
  <si>
    <t>KX16-Midoc 32_015.jpg:1805-2977</t>
  </si>
  <si>
    <t>KX16-Midoc 32_015.jpg:1925-2603</t>
  </si>
  <si>
    <t>KX16-Midoc 32_015.jpg:1765-2140</t>
  </si>
  <si>
    <t>KX16-Midoc 32_015.jpg:1896-1732</t>
  </si>
  <si>
    <t>KX16-Midoc 32_015.jpg:1977-1223</t>
  </si>
  <si>
    <t>KX16-Midoc 32_015.jpg:2114-1004</t>
  </si>
  <si>
    <t>KX16-Midoc 32_015.jpg:2160-0790</t>
  </si>
  <si>
    <t>KX16-Midoc 32_015.jpg:1880-0538</t>
  </si>
  <si>
    <t>KX16-Midoc 32_017.jpg:0786-0851</t>
  </si>
  <si>
    <t>KX16-Midoc 32_017.jpg:0899-2647</t>
  </si>
  <si>
    <t>KX16-Midoc 32_017.jpg:1813-2504</t>
  </si>
  <si>
    <t>KX16-Midoc 32_017.jpg:2301-0699</t>
  </si>
  <si>
    <t>KX16-Midoc 32_017.jpg:2393-2116</t>
  </si>
  <si>
    <t>KX16-Midoc 32_018.jpg:0605-2976</t>
  </si>
  <si>
    <t>KX16-Midoc 32_018.jpg:0694-3208</t>
  </si>
  <si>
    <t>KX16-Midoc 32_018.jpg:0606-3377</t>
  </si>
  <si>
    <t>KX16-Midoc 32_018.jpg:0656-3616</t>
  </si>
  <si>
    <t>KX16-Midoc 32_019.jpg:0733-0832</t>
  </si>
  <si>
    <t>KX16-Midoc 32_019.jpg:0624-1216</t>
  </si>
  <si>
    <t>KX16-Midoc 32_019.jpg:0741-1389</t>
  </si>
  <si>
    <t>KX16-Midoc 32_019.jpg:0720-1758</t>
  </si>
  <si>
    <t>KX16-Midoc 32_019.jpg:1939-1500</t>
  </si>
  <si>
    <t>KX16-Midoc 32_019.jpg:1973-2065</t>
  </si>
  <si>
    <t>KX16-Midoc 32_019.jpg:0683-2147</t>
  </si>
  <si>
    <t>KX16-Midoc 32_019.jpg:1709-2346</t>
  </si>
  <si>
    <t>KX16-Midoc 32_019.jpg:2075-3301</t>
  </si>
  <si>
    <t>KX16-Midoc 32_019.jpg:2171-3746</t>
  </si>
  <si>
    <t>KX16-Midoc 32_021.jpg:1821-1674</t>
  </si>
  <si>
    <t>KX16-Midoc 32_021.jpg:1832-2360</t>
  </si>
  <si>
    <t>KX16-Midoc 32_021.jpg:1904-2682</t>
  </si>
  <si>
    <t>KX16-Midoc 32_021.jpg:1858-3420</t>
  </si>
  <si>
    <t>KX16-Midoc 32_021.jpg:1522-3867</t>
  </si>
  <si>
    <t>KX16-Midoc 32_021.jpg:0949-3551</t>
  </si>
  <si>
    <t>KX16-Midoc 32_021.jpg:0910-3388</t>
  </si>
  <si>
    <t>KX16-Midoc 32_021.jpg:0823-3315</t>
  </si>
  <si>
    <t>KX16-Midoc 32_021.jpg:0806-3195</t>
  </si>
  <si>
    <t>KX16-Midoc 32_021.jpg:0745-2775</t>
  </si>
  <si>
    <t>KX16-Midoc 32_021.jpg:0779-2606</t>
  </si>
  <si>
    <t>KX16-Midoc 32_021.jpg:0590-2192</t>
  </si>
  <si>
    <t>KX16-Midoc 32_021.jpg:0596-2008</t>
  </si>
  <si>
    <t>KX16-Midoc 32_020.jpg</t>
  </si>
  <si>
    <t>KX16-Midoc 32_022.jpg</t>
  </si>
  <si>
    <t>KX16-Midoc 32_026.jpg:1558-2353</t>
  </si>
  <si>
    <t>KX16-Midoc 32_026.jpg:0723-2185</t>
  </si>
  <si>
    <t>KX16-Midoc 32_025.jpg:2025-3512</t>
  </si>
  <si>
    <t>KX16-Midoc 32_025.jpg:2065-3289</t>
  </si>
  <si>
    <t>KX16-Midoc 32_025.jpg:0906-1254</t>
  </si>
  <si>
    <t>KX16-Midoc 32_025.jpg:0676-1782</t>
  </si>
  <si>
    <t>KX16-Midoc 32_025.jpg:0581-1930</t>
  </si>
  <si>
    <t>KX16-Midoc 32_025.jpg:0610-2159</t>
  </si>
  <si>
    <t>KX16-Midoc 32_025.jpg:0698-2745</t>
  </si>
  <si>
    <t>KX16-Midoc 32_025.jpg:0586-2903</t>
  </si>
  <si>
    <t>KX16-Midoc 32_025.jpg:0785-3192</t>
  </si>
  <si>
    <t>KX16-Midoc 32_025.jpg:0672-3437</t>
  </si>
  <si>
    <t>KX16-Midoc 32_025.jpg:0687-3579</t>
  </si>
  <si>
    <t>KX16-Midoc 32_025.jpg:2027-3085</t>
  </si>
  <si>
    <t>KX16-Midoc 32_025.jpg:2059-2858</t>
  </si>
  <si>
    <t>KX16-Midoc 32_025.jpg:2070-2598</t>
  </si>
  <si>
    <t>KX16-Midoc 32_027.jpg:1156-3559</t>
  </si>
  <si>
    <t>KX16-Midoc 32_027.jpg:1133-3249</t>
  </si>
  <si>
    <t>KX16-Midoc 32_027.jpg:1032-2850</t>
  </si>
  <si>
    <t>KX16-Midoc 32_027.jpg:0984-2488</t>
  </si>
  <si>
    <t>KX16-Midoc 32_027.jpg:0901-1704</t>
  </si>
  <si>
    <t>KX16-Midoc 32_027.jpg:0723-1287</t>
  </si>
  <si>
    <t>KX16-Midoc 32_027.jpg:0667-0875</t>
  </si>
  <si>
    <t>KX16-Midoc 32_027.jpg:0746-0512</t>
  </si>
  <si>
    <t>KX16-Midoc 32_027.jpg:1395-0611</t>
  </si>
  <si>
    <t>KX16-Midoc 32_027.jpg:1452-1216</t>
  </si>
  <si>
    <t>KX16-Midoc 32_027.jpg:2253-0737</t>
  </si>
  <si>
    <t>KX16-Midoc 32_027.jpg:2327-0840</t>
  </si>
  <si>
    <t>KX16-Midoc 32_027.jpg:2040-1572</t>
  </si>
  <si>
    <t>KX16-Midoc 32_027.jpg:2019-1831</t>
  </si>
  <si>
    <t>KX16-Midoc 32_027.jpg:2358-1998</t>
  </si>
  <si>
    <t>KX16-Midoc 32_027.jpg:2304-2460</t>
  </si>
  <si>
    <t>KX16-Midoc 32_027.jpg:2234-2673</t>
  </si>
  <si>
    <t>KX16-Midoc 32_030.jpg</t>
  </si>
  <si>
    <t>KX16-Midoc 32_030.jpg:2300-0727</t>
  </si>
  <si>
    <t>KX16-Midoc 32_030.jpg:2147-0995</t>
  </si>
  <si>
    <t>KX16-Midoc 32_030.jpg:2096-1175</t>
  </si>
  <si>
    <t>amphipods and junk</t>
  </si>
  <si>
    <t>KX16-Midoc 34_040.jpg:0853-3121</t>
  </si>
  <si>
    <t>KX16-Midoc 34_040.jpg:1034-3099</t>
  </si>
  <si>
    <t>KX16-Midoc 34_040.jpg:1175-3158</t>
  </si>
  <si>
    <t>KX16-Midoc 34_040.jpg:1483-1628; KX16-Midoc 34_040.jpg:1326-1624</t>
  </si>
  <si>
    <t xml:space="preserve">galiteuthis glacialis; Mesonychoteuthis hamiltoni </t>
  </si>
  <si>
    <t>KX16-Midoc 34_041.jpg:0415-2153</t>
  </si>
  <si>
    <t>KX16-Midoc 34_041.jpg:1461-0829</t>
  </si>
  <si>
    <t>KX16-Midoc 34_041.jpg:1478-0997</t>
  </si>
  <si>
    <t>KX16-Midoc 34_041.jpg</t>
  </si>
  <si>
    <t>T. macrura and mush</t>
  </si>
  <si>
    <t>KX16-Midoc 34_042.jpg</t>
  </si>
  <si>
    <t>KX16-Midoc 34_003.jpg:0925-1158</t>
  </si>
  <si>
    <t>KX16-Midoc 34_003.jpg:1125-3112</t>
  </si>
  <si>
    <t>KX16-Midoc 34_003.jpg:1908-2254</t>
  </si>
  <si>
    <t>KX16-Midoc 34_004.jpg:0997-2678</t>
  </si>
  <si>
    <t>KX16-Midoc 34_004.jpg:0933-3397</t>
  </si>
  <si>
    <t>KX16-Midoc 34_005_measured.jpg:0334-2941</t>
  </si>
  <si>
    <t>KX16-Midoc 34_005_measured.jpg:0686-2910</t>
  </si>
  <si>
    <t>KX16-Midoc 34_005_measured.jpg:0984-2600</t>
  </si>
  <si>
    <t>KX16-Midoc 34_005_measured.jpg:1732-1753</t>
  </si>
  <si>
    <t>KX16-Midoc 34_005_measured.jpg:2167-2027</t>
  </si>
  <si>
    <t>KX16-Midoc 34_005_measured.jpg:1942-3009</t>
  </si>
  <si>
    <t>KX16-Midoc 34_005_measured.jpg:1686-3353</t>
  </si>
  <si>
    <t>KX16-Midoc 34_007.jpg:1109-1087</t>
  </si>
  <si>
    <t>KX16-Midoc 34_007.jpg:1140-2036</t>
  </si>
  <si>
    <t>KX16-Midoc 34_007.jpg:2021-1205</t>
  </si>
  <si>
    <t>KX16-Midoc 34_007.jpg:1055-3438</t>
  </si>
  <si>
    <t>KX16-Midoc 34_007.jpg:1973-2666</t>
  </si>
  <si>
    <t>KX16-Midoc 34_011.jpg:0705-2103</t>
  </si>
  <si>
    <t>KX16-Midoc 34_011.jpg:1850-1157</t>
  </si>
  <si>
    <t>KX16-Midoc 34_011.jpg:1807-1812</t>
  </si>
  <si>
    <t>KX16-Midoc 34_011.jpg:0791-3207</t>
  </si>
  <si>
    <t>KX16-Midoc 34_011.jpg:0763-3483</t>
  </si>
  <si>
    <t>KX16-Midoc 34_013.jpg:0922-0913</t>
  </si>
  <si>
    <t>KX16-Midoc 34_013.jpg:0905-1105</t>
  </si>
  <si>
    <t>KX16-Midoc 34_013.jpg:1916-1118</t>
  </si>
  <si>
    <t>KX16-Midoc 34_013.jpg:2005-2002</t>
  </si>
  <si>
    <t>KX16-Midoc 34_013.jpg:0963-3546</t>
  </si>
  <si>
    <t>KX16-Midoc 34_013.jpg:2095-3388</t>
  </si>
  <si>
    <t>KX16-Midoc 34_013.jpg:2075-3508</t>
  </si>
  <si>
    <t>KX16-Midoc 34_014.jpg:1846-1759</t>
  </si>
  <si>
    <t>KX16-Midoc 34_014.jpg:2008-1795</t>
  </si>
  <si>
    <t>KX16-Midoc 34_014.jpg:2232-1819</t>
  </si>
  <si>
    <t>KX16-Midoc 34_014.jpg</t>
  </si>
  <si>
    <t>n=2 G. glacialis</t>
  </si>
  <si>
    <t>KX16-Midoc 34_015.jpg:1885-1069</t>
  </si>
  <si>
    <t>KX16-Midoc 34_015.jpg:0831-2652</t>
  </si>
  <si>
    <t>KX16-Midoc 34_015.jpg:1958-3287</t>
  </si>
  <si>
    <t>KX16-Midoc 34_015.jpg:1527-3245</t>
  </si>
  <si>
    <t>KX16-Midoc 34_015.jpg:1742-3828</t>
  </si>
  <si>
    <t>KX16-Midoc 34_016.jpg:1679-1613</t>
  </si>
  <si>
    <t>KX16-Midoc 34_016.jpg:1643-1973</t>
  </si>
  <si>
    <t>KX16-Midoc 34_016.jpg:0620-3486</t>
  </si>
  <si>
    <t>KX16-Midoc 34_016.jpg:1566-2538</t>
  </si>
  <si>
    <t>KX16-Midoc 34_016.jpg:1563-3139</t>
  </si>
  <si>
    <t>KX16-Midoc 34_017.jpg</t>
  </si>
  <si>
    <t>mastigoteuthis psychrophila</t>
  </si>
  <si>
    <t>KX16-Midoc 34_017.jpg:0844-2969</t>
  </si>
  <si>
    <t>KX16-Midoc 34_018.jpg:1337-1064</t>
  </si>
  <si>
    <t>KX16-Midoc 34_018.jpg:1410-1706</t>
  </si>
  <si>
    <t>KX16-Midoc 34_018.jpg:0751-2644</t>
  </si>
  <si>
    <t>KX16-Midoc 34_018.jpg:1496-2841</t>
  </si>
  <si>
    <t>KX16-Midoc 34_018.jpg:0649-3602</t>
  </si>
  <si>
    <t>KX16-Midoc 34_018_measured.jpg:1963-0793</t>
  </si>
  <si>
    <t>KX16-Midoc 34_020.jpg:1049-0601</t>
  </si>
  <si>
    <t>KX16-Midoc 34_021.jpg:0571-3420</t>
  </si>
  <si>
    <t>KX16-Midoc 34_020.jpg:0764-1488</t>
  </si>
  <si>
    <t>KX16-Midoc 34_020.jpg:0763-1685</t>
  </si>
  <si>
    <t>KX16-Midoc 34_020.jpg:0674-2169</t>
  </si>
  <si>
    <t>KX16-Midoc 34_020.jpg:0704-2413</t>
  </si>
  <si>
    <t>KX16-Midoc 34_020.jpg:0938-3078</t>
  </si>
  <si>
    <t>KX16-Midoc 34_020.jpg:0446-2646</t>
  </si>
  <si>
    <t>KX16-Midoc 34_020.jpg:0902-2695</t>
  </si>
  <si>
    <t>KX16-Midoc 34_020.jpg:1539-2366</t>
  </si>
  <si>
    <t>mesonychoteuthis hamiltoni</t>
  </si>
  <si>
    <t>unidentified crustacean</t>
  </si>
  <si>
    <t>KX16-Midoc 34_022.jpg:0947-0942</t>
  </si>
  <si>
    <t>KX16-Midoc 34_022.jpg:0927-1149</t>
  </si>
  <si>
    <t>KX16-Midoc 34_022.jpg:1021-1409</t>
  </si>
  <si>
    <t>KX16-Midoc 34_022.jpg:1031-1603</t>
  </si>
  <si>
    <t>KX16-Midoc 34_022.jpg:0978-1825</t>
  </si>
  <si>
    <t>KX16-Midoc 34_022.jpg:0968-2051</t>
  </si>
  <si>
    <t>KX16-Midoc 34_022.jpg:0984-2322</t>
  </si>
  <si>
    <t>KX16-Midoc 34_022.jpg:1027-2900</t>
  </si>
  <si>
    <t>KX16-Midoc 34_022.jpg:1080-3179</t>
  </si>
  <si>
    <t>KX16-Midoc 34_022.jpg:1089-3436</t>
  </si>
  <si>
    <t>KX16-Midoc 34_022.jpg:1669-0823</t>
  </si>
  <si>
    <t>KX16-Midoc 34_022.jpg:1610-0977</t>
  </si>
  <si>
    <t>KX16-Midoc 34_022.jpg:1605-1165</t>
  </si>
  <si>
    <t>KX16-Midoc 34_022.jpg:1530-1763</t>
  </si>
  <si>
    <t>KX16-Midoc 34_022.jpg:1677-1746</t>
  </si>
  <si>
    <t>KX16-Midoc 34_022.jpg:2206-3167</t>
  </si>
  <si>
    <t>KX16-Midoc 34_022.jpg:2146-2907</t>
  </si>
  <si>
    <t>KX16-Midoc 34_022.jpg:2189-2611</t>
  </si>
  <si>
    <t>KX16-Midoc 34_022.jpg:2049-1332</t>
  </si>
  <si>
    <t>not measured</t>
  </si>
  <si>
    <t>KX16-Midoc 34_026.jpg</t>
  </si>
  <si>
    <t>KX16-Midoc 34_026.jpg:1054-2441</t>
  </si>
  <si>
    <t>KX16-Midoc 34_026.jpg:0978-2749</t>
  </si>
  <si>
    <t>KX16-Midoc 34_026.jpg:0879-2953</t>
  </si>
  <si>
    <t>KX16-Midoc 34_026.jpg:0900-3452</t>
  </si>
  <si>
    <t>KX16-Midoc 34_029.jpg:1233-0977</t>
  </si>
  <si>
    <t>KX16-Midoc 34_029.jpg:1286-1460</t>
  </si>
  <si>
    <t>KX16-Midoc 34_029.jpg:1178-1611</t>
  </si>
  <si>
    <t>KX16-Midoc 34_029.jpg:1994-1325</t>
  </si>
  <si>
    <t>KX16-Midoc 34_029.jpg:1944-3592</t>
  </si>
  <si>
    <t>KX16-Midoc 34_029.jpg:1229-3622</t>
  </si>
  <si>
    <t>KX16-Midoc 34_029.jpg:0652-2846</t>
  </si>
  <si>
    <t>KX16-Midoc 34_029.jpg:0349-2314</t>
  </si>
  <si>
    <t>KX16-Midoc 34_029.jpg:0382-2238</t>
  </si>
  <si>
    <t>KX16-Midoc 34_029.jpg:0352-2136</t>
  </si>
  <si>
    <t>KX16-Midoc 34_031.jpg:0813-3508</t>
  </si>
  <si>
    <t>KX16-Midoc 34_031.jpg:0807-3266</t>
  </si>
  <si>
    <t>KX16-Midoc 34_031.jpg:0799-3050</t>
  </si>
  <si>
    <t>KX16-Midoc 34_031.jpg:0607-2888</t>
  </si>
  <si>
    <t>KX16-Midoc 34_031.jpg:0519-2740</t>
  </si>
  <si>
    <t>KX16-Midoc 34_031.jpg:0780-2530</t>
  </si>
  <si>
    <t>KX16-Midoc 34_031.jpg:1812-3701</t>
  </si>
  <si>
    <t>KX16-Midoc 34_031.jpg:1921-3398</t>
  </si>
  <si>
    <t>KX16-Midoc 34_031.jpg:1899-3238</t>
  </si>
  <si>
    <t>KX16-Midoc 34_031.jpg:1861-2883</t>
  </si>
  <si>
    <t>KX16-Midoc 34_031.jpg:1938-2657</t>
  </si>
  <si>
    <t>KX16-Midoc 34_031.jpg:1864-2455</t>
  </si>
  <si>
    <t>KX16-Midoc 34_031.jpg:1794-2347</t>
  </si>
  <si>
    <t>KX16-Midoc 34_031.jpg:1647-1895</t>
  </si>
  <si>
    <t>KX16-Midoc 34_031.jpg:1735-1679</t>
  </si>
  <si>
    <t>KX16-Midoc 34_031.jpg:1857-1450</t>
  </si>
  <si>
    <t>KX16-Midoc 34_031.jpg:1605-1202</t>
  </si>
  <si>
    <t>KX16-Midoc 34_031.jpg:1598-0917</t>
  </si>
  <si>
    <t>KX16-Midoc 34_031.jpg:0560-1792</t>
  </si>
  <si>
    <t>KX16-Midoc 34_031.jpg:0607-1615</t>
  </si>
  <si>
    <t>KX16-Midoc 34_031.jpg:0574-1484</t>
  </si>
  <si>
    <t>KX16-Midoc 34_031.jpg:0603-1362</t>
  </si>
  <si>
    <t>KX16-Midoc 34_031.jpg:0604-0859</t>
  </si>
  <si>
    <t>KX16-Midoc 34_031.jpg:0654-0679</t>
  </si>
  <si>
    <t>KX16-Midoc 34_032.jpg</t>
  </si>
  <si>
    <t>KX16-Midoc 34_032.jpg:1808-1636</t>
  </si>
  <si>
    <t>KX16-Midoc 35_005.jpg:0720-2489</t>
  </si>
  <si>
    <t>KX16-Midoc 35_005.jpg:1291-2539</t>
  </si>
  <si>
    <t>KX16-Midoc 35_005.jpg:1756-2426</t>
  </si>
  <si>
    <t>KX16-Midoc 35_005.jpg:2341-2777</t>
  </si>
  <si>
    <t>KX16-Midoc 35_007.jpg:1047-0695</t>
  </si>
  <si>
    <t>KX16-Midoc 35_007.jpg:1981-0691</t>
  </si>
  <si>
    <t>KX16-Midoc 35_007.jpg:2045-0930</t>
  </si>
  <si>
    <t>KX16-Midoc 35_007.jpg:1972-1239</t>
  </si>
  <si>
    <t>KX16-Midoc 35_007.jpg:1851-1645</t>
  </si>
  <si>
    <t>KX16-Midoc 35_007.jpg:1817-2041</t>
  </si>
  <si>
    <t>KX16-Midoc 35_007.jpg:1814-2521</t>
  </si>
  <si>
    <t>KX16-Midoc 35_007.jpg:1789-2989</t>
  </si>
  <si>
    <t>KX16-Midoc 35_007.jpg:1545-3510</t>
  </si>
  <si>
    <t>KX16-Midoc 35_007.jpg:0528-1941</t>
  </si>
  <si>
    <t>KX16-Midoc 35_008.jpg:1650-0823</t>
  </si>
  <si>
    <t>KX16-Midoc 35_008.jpg:1620-1369</t>
  </si>
  <si>
    <t>KX16-Midoc 35_008.jpg:1643-1898</t>
  </si>
  <si>
    <t>KX16-Midoc 35_008.jpg:1608-2115</t>
  </si>
  <si>
    <t>KX16-Midoc 35_008.jpg:1462-2835</t>
  </si>
  <si>
    <t>KX16-Midoc 35_008.jpg:1435-3030</t>
  </si>
  <si>
    <t>KX16-Midoc 35_008.jpg:1501-3212</t>
  </si>
  <si>
    <t>KX16-Midoc 35_008.jpg:1435-3487</t>
  </si>
  <si>
    <t>KX16-Midoc 35_010.jpg:1106-0648</t>
  </si>
  <si>
    <t>KX16-Midoc 35_010.jpg:1017-1444</t>
  </si>
  <si>
    <t>KX16-Midoc 35_010.jpg:0933-2373</t>
  </si>
  <si>
    <t>KX16-Midoc 35_010.jpg:0914-3159</t>
  </si>
  <si>
    <t>KX16-Midoc 35_010.jpg:0937-3577</t>
  </si>
  <si>
    <t>KX16-Midoc 35_010.jpg:2022-3501</t>
  </si>
  <si>
    <t>KX16-Midoc 35_010.jpg:1984-3100</t>
  </si>
  <si>
    <t>KX16-Midoc 35_010.jpg:2027-2939</t>
  </si>
  <si>
    <t>KX16-Midoc 35_010.jpg:2075-2584</t>
  </si>
  <si>
    <t>KX16-Midoc 35_010.jpg:2079-2384</t>
  </si>
  <si>
    <t>KX16-Midoc 35_010.jpg:2313-1092</t>
  </si>
  <si>
    <t>KX16-Midoc 35_010.jpg:2200-1560</t>
  </si>
  <si>
    <t>KX16-Midoc 35_014.jpg:0986-1581</t>
  </si>
  <si>
    <t>KX16-Midoc 35_014.jpg:0945-2639</t>
  </si>
  <si>
    <t>KX16-Midoc 35_014.jpg:0999-3026</t>
  </si>
  <si>
    <t>KX16-Midoc 35_014.jpg:2231-3362</t>
  </si>
  <si>
    <t>KX16-Midoc 35_014.jpg:2085-1064</t>
  </si>
  <si>
    <t>KX16-Midoc 35_014.jpg:1326-3650</t>
  </si>
  <si>
    <t>G. bolini?</t>
  </si>
  <si>
    <t>KX16-Midoc 35_014.jpg:0982-3286</t>
  </si>
  <si>
    <t>KX16-Midoc 35_016.jpg:1018-1534</t>
  </si>
  <si>
    <t>KX16-Midoc 35_016.jpg:1012-1896</t>
  </si>
  <si>
    <t>KX16-Midoc 35_016.jpg:1136-3386</t>
  </si>
  <si>
    <t>KX16-Midoc 35_017.jpg:0726-1724</t>
  </si>
  <si>
    <t>KX16-Midoc 35_017.jpg:0760-2600</t>
  </si>
  <si>
    <t>KX16-Midoc 35_017.jpg:1913-2456</t>
  </si>
  <si>
    <t>KX16-Midoc 35_017.jpg:1904-2662</t>
  </si>
  <si>
    <t>KX16-Midoc 35_017.jpg:2012-3006</t>
  </si>
  <si>
    <t>KX16-Midoc 35_017.jpg:2010-3168</t>
  </si>
  <si>
    <t>KX16-Midoc 35_017.jpg:1980-3656</t>
  </si>
  <si>
    <t>KX16-Midoc 35_019.jpg:0621-1165</t>
  </si>
  <si>
    <t>KX16-Midoc 35_019.jpg:0512-2876</t>
  </si>
  <si>
    <t>KX16-Midoc 35_019.jpg:1563-0530</t>
  </si>
  <si>
    <t>KX16-Midoc 35_019.jpg:1518-1191</t>
  </si>
  <si>
    <t>KX16-Midoc 35_019.jpg:1540-1759</t>
  </si>
  <si>
    <t>KX16-Midoc 35_019.jpg:1632-3321</t>
  </si>
  <si>
    <t>KX16-Midoc 35_021.jpg:0799-0740</t>
  </si>
  <si>
    <t>KX16-Midoc 35_021.jpg:0856-2157</t>
  </si>
  <si>
    <t>KX16-Midoc 35_021.jpg:0848-2607</t>
  </si>
  <si>
    <t>KX16-Midoc 35_021.jpg:1799-3549</t>
  </si>
  <si>
    <t>KX16-Midoc 35_021.jpg:2451-2750</t>
  </si>
  <si>
    <t>KX16-Midoc 35_021.jpg:2324-2525</t>
  </si>
  <si>
    <t>KX16-Midoc 35_021.jpg:2103-2426</t>
  </si>
  <si>
    <t>KX16-Midoc 35_021.jpg:1554-1301</t>
  </si>
  <si>
    <t>KX16-Midoc 35_021.jpg:1804-1112</t>
  </si>
  <si>
    <t>KX16-Midoc 35_021.jpg:2158-1294</t>
  </si>
  <si>
    <t>KX16-Midoc 35_021.jpg:2494-1246</t>
  </si>
  <si>
    <t>KX16-Midoc 35_021_measured.jpg:0956-3448</t>
  </si>
  <si>
    <t>KX16-Midoc 35_035.jpg:KX16-Midoc 35_035</t>
  </si>
  <si>
    <t>KX16-Midoc 35_029.jpg:1798-2669</t>
  </si>
  <si>
    <t>KX16-Midoc 35_024.jpg:0482-1352; KX16-Midoc 35_024.jpg:0470-1984</t>
  </si>
  <si>
    <t>KX16-Midoc 35_027.jpg:0571-1059</t>
  </si>
  <si>
    <t>KX16-Midoc 35_027.jpg:0603-1481</t>
  </si>
  <si>
    <t>KX16-Midoc 35_027.jpg:0619-2215</t>
  </si>
  <si>
    <t>KX16-Midoc 35_027.jpg:0656-3395</t>
  </si>
  <si>
    <t>KX16-Midoc 35_027.jpg:0606-3607</t>
  </si>
  <si>
    <t>KX16-Midoc 35_027.jpg:1648-1224</t>
  </si>
  <si>
    <t>KX16-Midoc 35_027.jpg:1832-1981</t>
  </si>
  <si>
    <t>KX16-Midoc 35_027.jpg:1650-2659</t>
  </si>
  <si>
    <t>KX16-Midoc 35_027.jpg:1932-2839</t>
  </si>
  <si>
    <t>KX16-Midoc 35_027.jpg:2023-3103</t>
  </si>
  <si>
    <t>KX16-Midoc 35_027.jpg:1975-3375</t>
  </si>
  <si>
    <t>KX16-Midoc 35_027.jpg:1917-2237</t>
  </si>
  <si>
    <t>KX16-Midoc 35_041.jpg:0906-3185</t>
  </si>
  <si>
    <t>KX16-Midoc 35_041.jpg:0889-3444</t>
  </si>
  <si>
    <t>KX16-Midoc 35_041.jpg:1583-3037</t>
  </si>
  <si>
    <t>KX16-Midoc 35_041.jpg:2139-1630</t>
  </si>
  <si>
    <t>KX16-Midoc 35_041.jpg:2238-3308</t>
  </si>
  <si>
    <t>electrona sp larvae</t>
  </si>
  <si>
    <t>KX16-Midoc 35_042.jpg:1808-1061</t>
  </si>
  <si>
    <t>KX16-Midoc 35_042.jpg:1787-1998</t>
  </si>
  <si>
    <t>KX16-Midoc 35_042.jpg:1856-1838</t>
  </si>
  <si>
    <t>KX16-Midoc 35_047.jpg:1152-3336</t>
  </si>
  <si>
    <t>KX16-Midoc 35_047.jpg:1064-2989</t>
  </si>
  <si>
    <t>KX16-Midoc 35_047.jpg:1006-2615</t>
  </si>
  <si>
    <t>KX16-Midoc 35_047.jpg:0895-2343</t>
  </si>
  <si>
    <t>KX16-Midoc 35_047.jpg:0902-1968</t>
  </si>
  <si>
    <t>KX16-Midoc 35_047.jpg:1057-1640</t>
  </si>
  <si>
    <t>KX16-Midoc 35_047.jpg:0928-1360</t>
  </si>
  <si>
    <t>KX16-Midoc 35_047.jpg:0914-1209</t>
  </si>
  <si>
    <t>KX16-Midoc 35_047.jpg:0907-1086</t>
  </si>
  <si>
    <t>KX16-Midoc 35_047.jpg:0875-0933</t>
  </si>
  <si>
    <t>KX16-Midoc 35_047.jpg:2022-0704</t>
  </si>
  <si>
    <t>KX16-Midoc 35_047.jpg:2069-1139</t>
  </si>
  <si>
    <t>KX16-Midoc 35_047.jpg:2046-1414</t>
  </si>
  <si>
    <t>KX16-Midoc 35_047.jpg:2021-1733</t>
  </si>
  <si>
    <t>KX16-Midoc 35_047.jpg:2082-1888</t>
  </si>
  <si>
    <t>KX16-Midoc 35_047.jpg:1986-2115</t>
  </si>
  <si>
    <t>KX16-Midoc 35_047.jpg:2112-2329</t>
  </si>
  <si>
    <t>KX16-Midoc 35_048.jpg:KX16-Midoc 35_048</t>
  </si>
  <si>
    <t>KX16-Midoc 35_056.jpg:0660-2961</t>
  </si>
  <si>
    <t>KX16-Midoc 35_056.jpg:1333-1929</t>
  </si>
  <si>
    <t>KX16-Midoc 35_056.jpg:1353-2355</t>
  </si>
  <si>
    <t>KX16-Midoc 35_056.jpg:2237-3023</t>
  </si>
  <si>
    <t>KX16-Midoc 35_056.jpg:2227-1539</t>
  </si>
  <si>
    <t>KX16-Midoc 35_058_measured.jpg:1744-2839</t>
  </si>
  <si>
    <t>KX16-Midoc 35_058_measured.jpg:1862-2997</t>
  </si>
  <si>
    <t>KX16-Midoc 35_058_measured.jpg:1844-3181</t>
  </si>
  <si>
    <t>KX16-Midoc 35_058_measured.jpg:1860-3304</t>
  </si>
  <si>
    <t>KX16-Midoc 35_058_measured.jpg:1828-3423</t>
  </si>
  <si>
    <t>KX16-Midoc 35_058_measured.jpg:1826-3538</t>
  </si>
  <si>
    <t>KX16-Midoc 35_058_measured.jpg:1076-1969</t>
  </si>
  <si>
    <t>KX16-Midoc 35_058_measured.jpg:1027-1495</t>
  </si>
  <si>
    <t>KX16-Midoc 35_058_measured.jpg:0921-1139</t>
  </si>
  <si>
    <t>KX16-Midoc 35_058_measured.jpg:0984-0796</t>
  </si>
  <si>
    <t>KX16-Midoc 35_058_measured.jpg:0806-3396</t>
  </si>
  <si>
    <t>KX16-Midoc 35_058_measured.jpg:0769-3287</t>
  </si>
  <si>
    <t>KX16-Midoc 35_058_measured.jpg:0781-3222</t>
  </si>
  <si>
    <t>KX16-Midoc 35_058_measured.jpg:0696-3120</t>
  </si>
  <si>
    <t>KX16-Midoc 35_058_measured.jpg:0680-3033</t>
  </si>
  <si>
    <t>KX16-Midoc 35_058_measured.jpg:1182-2449</t>
  </si>
  <si>
    <t>KX16-Midoc 35_058_measured.jpg:2345-2633</t>
  </si>
  <si>
    <t>KX16-Midoc 35_058_measured.jpg:1826-1276</t>
  </si>
  <si>
    <t>KX16-Midoc 35_058_measured.jpg:1997-0838</t>
  </si>
  <si>
    <t>KX16-Midoc 35_059.jpg:2014-1526</t>
  </si>
  <si>
    <t>KX16-Midoc 35_059.jpg:2008-1374</t>
  </si>
  <si>
    <t>KX16-Midoc 35_059.jpg:1987-1262</t>
  </si>
  <si>
    <t>KX16-Midoc 35_059.jpg:2014-1137</t>
  </si>
  <si>
    <t>KX16-Midoc 35_059.jpg:2014-1002</t>
  </si>
  <si>
    <t>KX16-Midoc 35_060.jpg:0368-0558</t>
  </si>
  <si>
    <t>KX16-Midoc 35_060.jpg:0381-0729</t>
  </si>
  <si>
    <t>KX16-Midoc 35_060.jpg:0474-1190</t>
  </si>
  <si>
    <t>KX16-Midoc 35_060.jpg:1109-0677</t>
  </si>
  <si>
    <t>KX16-Midoc 35_060.jpg:1075-1055</t>
  </si>
  <si>
    <t>KX16-Midoc 35_060.jpg:1869-0881</t>
  </si>
  <si>
    <t>KX16-Midoc 35_060.jpg:0507-1741</t>
  </si>
  <si>
    <t>KX16-Midoc 35_060.jpg:0519-1963</t>
  </si>
  <si>
    <t>KX16-Midoc 35_060.jpg:0601-2270</t>
  </si>
  <si>
    <t>KX16-Midoc 35_060.jpg:0758-2766</t>
  </si>
  <si>
    <t>KX16-Midoc 35_060.jpg:0741-2978</t>
  </si>
  <si>
    <t>KX16-Midoc 35_060.jpg:0928-3270</t>
  </si>
  <si>
    <t>KX16-Midoc 35_060.jpg:0952-3462</t>
  </si>
  <si>
    <t>KX16-Midoc 35_060.jpg:1335-3632</t>
  </si>
  <si>
    <t>KX16-Midoc 35_060.jpg:1806-1341</t>
  </si>
  <si>
    <t>KX16-Midoc 35_060.jpg:1816-1412</t>
  </si>
  <si>
    <t>KX16-Midoc 35_060.jpg:1782-1724</t>
  </si>
  <si>
    <t>KX16-Midoc 35_060.jpg:1822-1854</t>
  </si>
  <si>
    <t>KX16-Midoc 35_060.jpg:1903-2067</t>
  </si>
  <si>
    <t>KX16-Midoc 35_060.jpg:1872-2320</t>
  </si>
  <si>
    <t>KX16-Midoc 35_060.jpg:1886-2593</t>
  </si>
  <si>
    <t>KX16-Midoc 35_060.jpg:1975-2726</t>
  </si>
  <si>
    <t>KX16-Midoc 35_060.jpg:1893-2860</t>
  </si>
  <si>
    <t>KX16-Midoc 35_060.jpg:1925-2982</t>
  </si>
  <si>
    <t>KX16-Midoc 35_060.jpg:1117-1528</t>
  </si>
  <si>
    <t>KX16-Midoc 36_001.jpg:1509-2251</t>
  </si>
  <si>
    <t>KX16-Midoc 36_001.jpg:2369-2584</t>
  </si>
  <si>
    <t>KX16-Midoc 36_001.jpg:2376-1310</t>
  </si>
  <si>
    <t>KX16-Midoc 36_001.jpg:1533-1549</t>
  </si>
  <si>
    <t>KX16-Midoc 36_001.jpg:2406-0637</t>
  </si>
  <si>
    <t>KX16-Midoc 36_004.jpg:0761-1306</t>
  </si>
  <si>
    <t>KX16-Midoc 36_004.jpg:1907-3069</t>
  </si>
  <si>
    <t>not measured in photo</t>
  </si>
  <si>
    <t>KX16-Midoc 36_006.jpg:2145-3456</t>
  </si>
  <si>
    <t>KX16-Midoc 36_006.jpg:2159-3240</t>
  </si>
  <si>
    <t>KX16-Midoc 36_006.jpg:2082-2792</t>
  </si>
  <si>
    <t>KX16-Midoc 36_006.jpg:2091-1732</t>
  </si>
  <si>
    <t>KX16-Midoc 36_006.jpg:0790-2096</t>
  </si>
  <si>
    <t>KX16-Midoc 36_006.jpg:1322-1320</t>
  </si>
  <si>
    <t>KX16-Midoc 36_006.jpg:2186-0492</t>
  </si>
  <si>
    <t>KX16-Midoc 36_007.jpg:2474-1656</t>
  </si>
  <si>
    <t>KX16-Midoc 36_007.jpg:1716-2524</t>
  </si>
  <si>
    <t>KX16-Midoc 36_007.jpg:2094-2171</t>
  </si>
  <si>
    <t>KX16-Midoc 36_007.jpg:1261-2013</t>
  </si>
  <si>
    <t>KX16-Midoc 36_007.jpg:1420-1213</t>
  </si>
  <si>
    <t>galiteuthis glacialis; Alluroteuthis antarcticus; Slosarczykovia circumantarctica</t>
  </si>
  <si>
    <t>n=11 G. glacialis</t>
  </si>
  <si>
    <t>KX16-Midoc 36_010.jpg</t>
  </si>
  <si>
    <t>KX16-Midoc 36_012.jpg:1342-3064</t>
  </si>
  <si>
    <t>KX16-Midoc 36_012.jpg:0637-1051</t>
  </si>
  <si>
    <t>KX16-Midoc 36_012.jpg:0631-0853</t>
  </si>
  <si>
    <t>KX16-Midoc 36_012.jpg:2205-1398</t>
  </si>
  <si>
    <t>KX16-Midoc 36_013.jpg:1253-1033</t>
  </si>
  <si>
    <t>KX16-Midoc 36_013.jpg:1083-0891</t>
  </si>
  <si>
    <t>KX16-Midoc 36_013.jpg:0912-2398</t>
  </si>
  <si>
    <t>KX16-Midoc 36_013.jpg:0937-2235</t>
  </si>
  <si>
    <t>KX16-Midoc 36_013.jpg:0870-2837</t>
  </si>
  <si>
    <t>KX16-Midoc 36_013.jpg:1952-2821</t>
  </si>
  <si>
    <t>KX16-Midoc 36_013.jpg:1279-3347</t>
  </si>
  <si>
    <t>KX16-Midoc 36_013.jpg:2070-1290</t>
  </si>
  <si>
    <t>KX16-Midoc 36_014.jpg:2156-1435</t>
  </si>
  <si>
    <t>KX16-Midoc 36_014.jpg:2105-1590</t>
  </si>
  <si>
    <t>KX16-Midoc 36_014.jpg:2124-1903</t>
  </si>
  <si>
    <t>KX16-Midoc 36_014.jpg:2137-2032</t>
  </si>
  <si>
    <t>KX16-Midoc 36_014.jpg:2130-2196</t>
  </si>
  <si>
    <t>KX16-Midoc 36_014.jpg:1131-3517</t>
  </si>
  <si>
    <t>KX16-Midoc 36_014.jpg:1041-3141</t>
  </si>
  <si>
    <t>KX16-Midoc 36_014.jpg:1122-2401</t>
  </si>
  <si>
    <t>KX16-Midoc 36_014.jpg:1014-1879</t>
  </si>
  <si>
    <t>KX16-Midoc 36_014.jpg:0947-1261</t>
  </si>
  <si>
    <t>Psychroteuthis glacialis larvea</t>
  </si>
  <si>
    <t>KX16-Midoc 36_015.jpg</t>
  </si>
  <si>
    <t>galiteuthis glacialis; Alluroteuthis antarcticus</t>
  </si>
  <si>
    <t>KX16-Midoc 36_016.jpg:0396-2112</t>
  </si>
  <si>
    <t>KX16-Midoc 36_016.jpg:0564-2078</t>
  </si>
  <si>
    <t>KX16-Midoc 36_016.jpg:0726-1916</t>
  </si>
  <si>
    <t>KX16-Midoc 36_016.jpg:0921-1866</t>
  </si>
  <si>
    <t>KX16-Midoc 36_016.jpg:1405-2159</t>
  </si>
  <si>
    <t>KX16-Midoc 36_016.jpg:1894-2097</t>
  </si>
  <si>
    <t>KX16-Midoc 36_016.jpg:2326-1762</t>
  </si>
  <si>
    <t>KX16-Midoc 36_017.jpg:0766-0565</t>
  </si>
  <si>
    <t>KX16-Midoc 36_017.jpg:0765-0716</t>
  </si>
  <si>
    <t>KX16-Midoc 36_017.jpg:0773-0834</t>
  </si>
  <si>
    <t>KX16-Midoc 36_017.jpg:1083-0972</t>
  </si>
  <si>
    <t>KX16-Midoc 36_017.jpg:0828-1127</t>
  </si>
  <si>
    <t>KX16-Midoc 36_017.jpg:0847-1481</t>
  </si>
  <si>
    <t>KX16-Midoc 36_017.jpg:0940-1684</t>
  </si>
  <si>
    <t>KX16-Midoc 36_017.jpg:0891-2148</t>
  </si>
  <si>
    <t>KX16-Midoc 36_017.jpg:0888-2333</t>
  </si>
  <si>
    <t>KX16-Midoc 36_017.jpg:0855-2580</t>
  </si>
  <si>
    <t>KX16-Midoc 36_017.jpg:0910-2783</t>
  </si>
  <si>
    <t>KX16-Midoc 36_017.jpg:0930-2979</t>
  </si>
  <si>
    <t>KX16-Midoc 36_017.jpg:0903-3161</t>
  </si>
  <si>
    <t>KX16-Midoc 36_017.jpg:0991-3395</t>
  </si>
  <si>
    <t>nannobrachium</t>
  </si>
  <si>
    <t>KX16-Midoc 36_017.jpg:1038-3633</t>
  </si>
  <si>
    <t>KX16-Midoc 36_017.jpg:2265-3298</t>
  </si>
  <si>
    <t>KX16-Midoc 36_017.jpg:2161-2729</t>
  </si>
  <si>
    <t>KX16-Midoc 36_017.jpg:2224-2070</t>
  </si>
  <si>
    <t>KX16-Midoc 36_017.jpg:2229-1784</t>
  </si>
  <si>
    <t>KX16-Midoc 36_017.jpg:2234-0984</t>
  </si>
  <si>
    <t>KX16-Midoc 36_019.jpg:1611-1859</t>
  </si>
  <si>
    <t>KX16-Midoc 36_021.jpg:1675-2113</t>
  </si>
  <si>
    <t>KX16-Midoc 36_021.jpg:1019-2254</t>
  </si>
  <si>
    <t>KX16-Midoc 36_023.jpg:2349-0863</t>
  </si>
  <si>
    <t>KX16-Midoc 36_023.jpg:2314-1811</t>
  </si>
  <si>
    <t>KX16-Midoc 36_023.jpg:2323-2203</t>
  </si>
  <si>
    <t>KX16-Midoc 36_023.jpg:2227-2786</t>
  </si>
  <si>
    <t>KX16-Midoc 36_023.jpg:2226-3513</t>
  </si>
  <si>
    <t>KX16-Midoc 36_023.jpg:0959-3550</t>
  </si>
  <si>
    <t>KX16-Midoc 36_023.jpg:0893-2950</t>
  </si>
  <si>
    <t>KX16-Midoc 36_023.jpg:0833-2288</t>
  </si>
  <si>
    <t>KX16-Midoc 36_023.jpg:0782-2069</t>
  </si>
  <si>
    <t>KX16-Midoc 36_023.jpg:0717-1553</t>
  </si>
  <si>
    <t>KX16-Midoc 36_023.jpg:0566-0858</t>
  </si>
  <si>
    <t>KX16-Midoc 36_023.jpg:0539-0769</t>
  </si>
  <si>
    <t>KX16-Midoc 36_025.jpg:0695-0474</t>
  </si>
  <si>
    <t>KX16-Midoc 36_025.jpg:0710-1407</t>
  </si>
  <si>
    <t>KX16-Midoc 36_025.jpg:0813-1994</t>
  </si>
  <si>
    <t>KX16-Midoc 36_025.jpg:0827-2440</t>
  </si>
  <si>
    <t>KX16-Midoc 36_025.jpg:0903-3441</t>
  </si>
  <si>
    <t>KX16-Midoc 36_025.jpg:2267-3410</t>
  </si>
  <si>
    <t>KX16-Midoc 36_025.jpg:2215-3119</t>
  </si>
  <si>
    <t>not measured, mushed</t>
  </si>
  <si>
    <t>KX16-Midoc 36_025.jpg:2229-2912</t>
  </si>
  <si>
    <t>KX16-Midoc 36_025.jpg:2276-2575</t>
  </si>
  <si>
    <t>KX16-Midoc 36_025.jpg:2142-2251</t>
  </si>
  <si>
    <t>KX16-Midoc 36_026.jpg:1570-0626; KX16-Midoc 36_026.jpg:1438-0654</t>
  </si>
  <si>
    <t>KX16-Midoc 36_029.jpg:0797-1545</t>
  </si>
  <si>
    <t>KX16-Midoc 36_029.jpg:0937-2609</t>
  </si>
  <si>
    <t>KX16-Midoc 36_029.jpg:1104-3581</t>
  </si>
  <si>
    <t>KX16-Midoc 36_029.jpg:2175-1790</t>
  </si>
  <si>
    <t>KX16-Midoc 36_035.jpg:0725-1643</t>
  </si>
  <si>
    <t>KX16-Midoc 36_035.jpg:1789-1988</t>
  </si>
  <si>
    <t>KX16-Midoc 36_035.jpg:1814-2109</t>
  </si>
  <si>
    <t>KX16-Midoc 36_035.jpg:1912-1254</t>
  </si>
  <si>
    <t>KX16-Midoc 36_035.jpg:1894-1014</t>
  </si>
  <si>
    <t>KX16-Midoc 36_035.jpg:1840-0769</t>
  </si>
  <si>
    <t>KX16-Midoc 36_035.jpg:1818-0481</t>
  </si>
  <si>
    <t>KX16-Midoc 36_033.jpg:0708-0382</t>
  </si>
  <si>
    <t>KX16-Midoc 36_033.jpg:1400-0563</t>
  </si>
  <si>
    <t>KX16-Midoc 36_033.jpg:1401-0696</t>
  </si>
  <si>
    <t>KX16-Midoc 36_033.jpg:1401-0780</t>
  </si>
  <si>
    <t>KX16-Midoc 36_033.jpg:1399-0990</t>
  </si>
  <si>
    <t>KX16-Midoc 36_033.jpg:0556-1736</t>
  </si>
  <si>
    <t>KX16-Midoc 36_033.jpg:0613-2348</t>
  </si>
  <si>
    <t>KX16-Midoc 36_033.jpg:0721-3543</t>
  </si>
  <si>
    <t>KX16-Midoc 36_033.jpg:1535-3025</t>
  </si>
  <si>
    <t>KX16-Midoc 36_033.jpg:2320-2195</t>
  </si>
  <si>
    <t>KX16-Midoc 36_033.jpg:2335-0481</t>
  </si>
  <si>
    <t>KX16-Midoc 36_039.jpg:2109-0743</t>
  </si>
  <si>
    <t>KX16-Midoc 36_039.jpg:2092-0898</t>
  </si>
  <si>
    <t>KX16-Midoc 36_039.jpg:2090-1356</t>
  </si>
  <si>
    <t>KX16-Midoc 36_039.jpg:2165-1606</t>
  </si>
  <si>
    <t>KX16-Midoc 36_039.jpg:1793-2411</t>
  </si>
  <si>
    <t>KX16-Midoc 36_039.jpg:1883-2879</t>
  </si>
  <si>
    <t>KX16-Midoc 36_039.jpg:1775-3190</t>
  </si>
  <si>
    <t>KX16-Midoc 36_039.jpg:1806-3380</t>
  </si>
  <si>
    <t>KX16-Midoc 36_039.jpg:1787-3505</t>
  </si>
  <si>
    <t>KX16-Midoc 36_040.jpg:2070-0861</t>
  </si>
  <si>
    <t>KX16-Midoc 36_040.jpg:2451-0872</t>
  </si>
  <si>
    <t xml:space="preserve">KX16-Midoc 36_040.jpg:1690-0999; KX16-Midoc 36_040.jpg:1630-0950 </t>
  </si>
  <si>
    <t>KX16-Midoc 36_040.jpg</t>
  </si>
  <si>
    <t>KX16-Midoc 37_001.jpg:0690-2119</t>
  </si>
  <si>
    <t>KX16-Midoc 37_001.jpg:1114-3121</t>
  </si>
  <si>
    <t>KX16-Midoc 37_001.jpg:1408-3085</t>
  </si>
  <si>
    <t>KX16-Midoc 37_001.jpg:1793-3103</t>
  </si>
  <si>
    <t>KX16-Midoc 37_001.jpg:1252-1331</t>
  </si>
  <si>
    <t>KX16-Midoc 37_001.jpg:1523-1372</t>
  </si>
  <si>
    <t>KX16-Midoc 37_001.jpg:1791-1381</t>
  </si>
  <si>
    <t>KX16-Midoc 37_001.jpg:2195-2302</t>
  </si>
  <si>
    <t>KX16-Midoc 37_001.jpg:2508-1471</t>
  </si>
  <si>
    <t>KX16-Midoc 37_003.jpg:1948-0901</t>
  </si>
  <si>
    <t>KX16-Midoc 37_003.jpg:1201-0838</t>
  </si>
  <si>
    <t>KX16-Midoc 37_003.jpg:0498-1675</t>
  </si>
  <si>
    <t>KX16-Midoc 37_003.jpg:0654-2277</t>
  </si>
  <si>
    <t>KX16-Midoc 37_003.jpg:0633-3805</t>
  </si>
  <si>
    <t>KX16-Midoc 37_003.jpg:0546-3641</t>
  </si>
  <si>
    <t>KX16-Midoc 37_003.jpg:0694-2430</t>
  </si>
  <si>
    <t>KX16-Midoc 37_003.jpg:0767-2529</t>
  </si>
  <si>
    <t>KX16-Midoc 37_003.jpg:0711-2643</t>
  </si>
  <si>
    <t>KX16-Midoc 37_003.jpg:0753-2793</t>
  </si>
  <si>
    <t>KX16-Midoc 37_003.jpg:0604-2911</t>
  </si>
  <si>
    <t>KX16-Midoc 37_003.jpg:0673-3028</t>
  </si>
  <si>
    <t>KX16-Midoc 37_005.jpg:0770-1261</t>
  </si>
  <si>
    <t>KX16-Midoc 37_005.jpg:2058-2598</t>
  </si>
  <si>
    <t>KX16-Midoc 37_005.jpg:0766-3016</t>
  </si>
  <si>
    <t>KX16-Midoc 37_005.jpg:0867-3706</t>
  </si>
  <si>
    <t>KX16-Midoc 37_008.jpg:0407-0977</t>
  </si>
  <si>
    <t>KX16-Midoc 37_008.jpg:0380-2701</t>
  </si>
  <si>
    <t>KX16-Midoc 37_008.jpg:0374-2892</t>
  </si>
  <si>
    <t>KX16-Midoc 37_008.jpg:1200-2618</t>
  </si>
  <si>
    <t>KX16-Midoc 37_008.jpg:1158-3530</t>
  </si>
  <si>
    <t>KX16-Midoc 37_008.jpg:1648-0783</t>
  </si>
  <si>
    <t>KX16-Midoc 37_008.jpg:1992-1554</t>
  </si>
  <si>
    <t>KX16-Midoc 37_008.jpg:1953-1760</t>
  </si>
  <si>
    <t>KX16-Midoc 37_008.jpg:1880-2113</t>
  </si>
  <si>
    <t>KX16-Midoc 37_008.jpg:1886-2291</t>
  </si>
  <si>
    <t>KX16-Midoc 37_008.jpg:1880-3025</t>
  </si>
  <si>
    <t>KX16-Midoc 37_010.jpg:0778-0813</t>
  </si>
  <si>
    <t>KX16-Midoc 37_010.jpg:0856-2005</t>
  </si>
  <si>
    <t>KX16-Midoc 37_010.jpg:0741-2668</t>
  </si>
  <si>
    <t>KX16-Midoc 37_012.jpg:1204-3475</t>
  </si>
  <si>
    <t>KX16-Midoc 37_012.jpg:0595-0594</t>
  </si>
  <si>
    <t>KX16-Midoc 37_012.jpg:2107-1032</t>
  </si>
  <si>
    <t>KX16-Midoc 37_012.jpg:1955-0881</t>
  </si>
  <si>
    <t>KX16-Midoc 37_014.jpg</t>
  </si>
  <si>
    <t>Psychroteuthis glacialis larvae; Slosarczykovia circumantarctica; Galiteuthis glacialis</t>
  </si>
  <si>
    <t>n=10 G. glacialis</t>
  </si>
  <si>
    <t>KX16-Midoc 37_018.jpg:0740-0628</t>
  </si>
  <si>
    <t>KX16-Midoc 37_018.jpg:0787-1947</t>
  </si>
  <si>
    <t>KX16-Midoc 37_018.jpg:0819-2423</t>
  </si>
  <si>
    <t>KX16-Midoc 37_018.jpg:2058-2490</t>
  </si>
  <si>
    <t>KX16-Midoc 37_018.jpg:0911-2912</t>
  </si>
  <si>
    <t>KX16-Midoc 37_018.jpg:1915-3351</t>
  </si>
  <si>
    <t>KX16-Midoc 37_018.jpg:0755-3187</t>
  </si>
  <si>
    <t>KX16-Midoc 37_018.jpg:0759-3303</t>
  </si>
  <si>
    <t>KX16-Midoc 37_018.jpg:0677-3447</t>
  </si>
  <si>
    <t>KX16-Midoc 37_018.jpg:0618-3617</t>
  </si>
  <si>
    <t>KX16-Midoc 37_018.jpg:0563-3793</t>
  </si>
  <si>
    <t>KX16-Midoc 37_020.jpg:0622-0924</t>
  </si>
  <si>
    <t>KX16-Midoc 37_020.jpg:0551-2073</t>
  </si>
  <si>
    <t>KX16-Midoc 37_020.jpg:0606-2258</t>
  </si>
  <si>
    <t>KX16-Midoc 37_020.jpg:0571-2636</t>
  </si>
  <si>
    <t>KX16-Midoc 37_020.jpg:0526-2792</t>
  </si>
  <si>
    <t>KX16-Midoc 37_020.jpg:0669-3572</t>
  </si>
  <si>
    <t>KX16-Midoc 37_020.jpg:0594-3353</t>
  </si>
  <si>
    <t>KX16-Midoc 37_020.jpg:0610-3167</t>
  </si>
  <si>
    <t>KX16-Midoc 37_020.jpg:1853-3684</t>
  </si>
  <si>
    <t>KX16-Midoc 37_020.jpg:1868-3416</t>
  </si>
  <si>
    <t>KX16-Midoc 37_020.jpg:1818-2816</t>
  </si>
  <si>
    <t>KX16-Midoc 37_020.jpg:1862-2312</t>
  </si>
  <si>
    <t>KX16-Midoc 37_020.jpg:2266-0956</t>
  </si>
  <si>
    <t>KX16-Midoc 37_020.jpg:1664-0624</t>
  </si>
  <si>
    <t>KX16-Midoc 37_021.jpg</t>
  </si>
  <si>
    <t>KX16-Midoc 37_023.jpg:0513-0884</t>
  </si>
  <si>
    <t>KX16-Midoc 37_023.jpg:0461-1336</t>
  </si>
  <si>
    <t>KX16-Midoc 37_023.jpg:0492-1973</t>
  </si>
  <si>
    <t>KX16-Midoc 37_023.jpg:0477-2457</t>
  </si>
  <si>
    <t>KX16-Midoc 37_023.jpg:0462-2663</t>
  </si>
  <si>
    <t>KX16-Midoc 37_023.jpg</t>
  </si>
  <si>
    <t>KX16-Midoc 37_023.jpg:1276-2378</t>
  </si>
  <si>
    <t>KX16-Midoc 37_023.jpg:1117-1592</t>
  </si>
  <si>
    <t>KX16-Midoc 37_023.jpg:1075-1410</t>
  </si>
  <si>
    <t>KX16-Midoc 37_023.jpg:1092-1263</t>
  </si>
  <si>
    <t>KX16-Midoc 37_028.jpg:0703-1660</t>
  </si>
  <si>
    <t>KX16-Midoc 37_028.jpg</t>
  </si>
  <si>
    <t>KX16-Midoc 37_028.jpg:0390-3326</t>
  </si>
  <si>
    <t>KX16-Midoc 37_028.jpg:0515-3597</t>
  </si>
  <si>
    <t>KX16-Midoc 37_034.jpg:2089-0821</t>
  </si>
  <si>
    <t>KX16-Midoc 37_034.jpg:2117-1367</t>
  </si>
  <si>
    <t>KX16-Midoc 37_034.jpg:2167-1559</t>
  </si>
  <si>
    <t>KX16-Midoc 37_034.jpg:2200-1799</t>
  </si>
  <si>
    <t>KX16-Midoc 37_034.jpg:2183-2489</t>
  </si>
  <si>
    <t>KX16-Midoc 37_034.jpg:1910-2653</t>
  </si>
  <si>
    <t>KX16-Midoc 37_034.jpg:1920-2842</t>
  </si>
  <si>
    <t>KX16-Midoc 37_034.jpg:2360-2857</t>
  </si>
  <si>
    <t>KX16-Midoc 37_034.jpg:2342-2681</t>
  </si>
  <si>
    <t>KX16-Midoc 37_034.jpg:1992-3193</t>
  </si>
  <si>
    <t>KX16-Midoc 37_034.jpg:2036-3284</t>
  </si>
  <si>
    <t>KX16-Midoc 37_034.jpg:2013-3442</t>
  </si>
  <si>
    <t>KX16-Midoc 37_034.jpg:1752-3548</t>
  </si>
  <si>
    <t>KX16-Midoc 37_034.jpg:1923-3665</t>
  </si>
  <si>
    <t>KX16-Midoc 37_034.jpg:1904-3859</t>
  </si>
  <si>
    <t>KX16-Midoc 37_034.jpg:1129-1123</t>
  </si>
  <si>
    <t>KX16-Midoc 37_034.jpg:1120-0960</t>
  </si>
  <si>
    <t>KX16-Midoc 37_034.jpg:0374-2793</t>
  </si>
  <si>
    <t>KX16-Midoc 37_034.jpg:0428-3541</t>
  </si>
  <si>
    <t>Bathyteuthis abyssicola; psychroteuthis glacialis larvae</t>
  </si>
  <si>
    <t>n=2 B. abyssicola; n=1 P. glacialis</t>
  </si>
  <si>
    <t>KX16-Midoc 37_035.jpg</t>
  </si>
  <si>
    <t>KX16-Midoc 38_052.jpg</t>
  </si>
  <si>
    <t>psychroteuthis glacialis larvae</t>
  </si>
  <si>
    <t>KX16-Midoc 38_049.jpg:0905-3298</t>
  </si>
  <si>
    <t>KX16-Midoc 38_049.jpg:0819-3044</t>
  </si>
  <si>
    <t>KX16-Midoc 38_049.jpg:0930-2791</t>
  </si>
  <si>
    <t>KX16-Midoc 38_049.jpg:0845-2551</t>
  </si>
  <si>
    <t>KX16-Midoc 38_049.jpg:0655-2333</t>
  </si>
  <si>
    <t>KX16-Midoc 38_049.jpg:0361-1653</t>
  </si>
  <si>
    <t>KX16-Midoc 38_049.jpg:1695-0493</t>
  </si>
  <si>
    <t>KX16-Midoc 38_049.jpg:1695-0876</t>
  </si>
  <si>
    <t>KX16-Midoc 38_049.jpg:1650-1267</t>
  </si>
  <si>
    <t>KX16-Midoc 38_049.jpg:2101-3313</t>
  </si>
  <si>
    <t>KX16-Midoc 38_049.jpg:2074-2676</t>
  </si>
  <si>
    <t>KX16-Midoc 38_049.jpg:2125-3060</t>
  </si>
  <si>
    <t>Zoarcidae</t>
  </si>
  <si>
    <t>KX16-Midoc 38_047.jpg:0986-1030</t>
  </si>
  <si>
    <t>KX16-Midoc 38_047.jpg:1539-1542</t>
  </si>
  <si>
    <t>Channichthyidae</t>
  </si>
  <si>
    <t>KX16-Midoc 38_047.jpg:1519-3150</t>
  </si>
  <si>
    <t>Melanostigma sp?</t>
  </si>
  <si>
    <t>KX16-Midoc 38_047.jpg:1662-3330</t>
  </si>
  <si>
    <t>KX16-Midoc 38_045.jpg:0747-0857</t>
  </si>
  <si>
    <t>KX16-Midoc 38_045.jpg:0646-1010</t>
  </si>
  <si>
    <t>KX16-Midoc 38_045.jpg:1797-1396</t>
  </si>
  <si>
    <t>KX16-Midoc 38_045.jpg:1811-1750</t>
  </si>
  <si>
    <t>KX16-Midoc 38_045.jpg:1843-1896</t>
  </si>
  <si>
    <t>KX16-Midoc 38_045.jpg:1731-2056</t>
  </si>
  <si>
    <t>KX16-Midoc 38_045.jpg:1721-2720</t>
  </si>
  <si>
    <t>KX16-Midoc 38_044.jpg:0712-1042</t>
  </si>
  <si>
    <t>KX16-Midoc 38_044.jpg:0719-2025</t>
  </si>
  <si>
    <t>KX16-Midoc 38_044.jpg:1928-0983</t>
  </si>
  <si>
    <t>KX16-Midoc 38_044.jpg:1780-3101</t>
  </si>
  <si>
    <t>KX16-Midoc 38_044.jpg:0654-3440</t>
  </si>
  <si>
    <t>KX16-Midoc 38_041.jpg:1996-1046</t>
  </si>
  <si>
    <t>KX16-Midoc 38_038.jpg:0648-1412</t>
  </si>
  <si>
    <t>KX16-Midoc 38_038.jpg:0679-2679</t>
  </si>
  <si>
    <t>KX16-Midoc 38_038.jpg:1873-2214</t>
  </si>
  <si>
    <t>KX16-Midoc 38_038.jpg:1935-3084</t>
  </si>
  <si>
    <t>KX16-Midoc 38_035.jpg:0646-2137</t>
  </si>
  <si>
    <t>KX16-Midoc 38_035.jpg:1505-1413</t>
  </si>
  <si>
    <t>KX16-Midoc 38_035.jpg:0709-2873</t>
  </si>
  <si>
    <t>KX16-Midoc 38_035.jpg:0797-3710</t>
  </si>
  <si>
    <t>KX16-Midoc 38_035.jpg:1512-2551</t>
  </si>
  <si>
    <t>KX16-Midoc 38_032.jpg:2086-0856; KX16-Midoc 38_032.jpg:2279-1753</t>
  </si>
  <si>
    <t>Mastigoteuthis psychrophila; galiteuthis glacialis</t>
  </si>
  <si>
    <t>KX16-Midoc 38_032.jpg</t>
  </si>
  <si>
    <t>KX16-Midoc 38_031.jpg</t>
  </si>
  <si>
    <t>KX16-Midoc 38_030.jpg:1785-0410</t>
  </si>
  <si>
    <t>KX16-Midoc 38_030.jpg:1845-1689</t>
  </si>
  <si>
    <t>KX16-Midoc 38_030.jpg:1987-2767</t>
  </si>
  <si>
    <t>KX16-Midoc 38_030.jpg:0735-1411</t>
  </si>
  <si>
    <t>KX16-Midoc 38_030.jpg:0766-1584</t>
  </si>
  <si>
    <t>KX16-Midoc 38_030.jpg:0693-2585</t>
  </si>
  <si>
    <t>KX16-Midoc 38_030.jpg:0671-2776</t>
  </si>
  <si>
    <t>KX16-Midoc 38_030.jpg:0687-2938</t>
  </si>
  <si>
    <t>KX16-Midoc 38_030.jpg:0631-3085</t>
  </si>
  <si>
    <t>KX16-Midoc 38_030.jpg:0634-3286</t>
  </si>
  <si>
    <t>KX16-Midoc 38_030.jpg:0675-3475</t>
  </si>
  <si>
    <t>KX16-Midoc 38_029.jpg:0748-0951</t>
  </si>
  <si>
    <t>KX16-Midoc 38_029.jpg:2046-1238</t>
  </si>
  <si>
    <t>KX16-Midoc 38_029.jpg:0766-1522</t>
  </si>
  <si>
    <t>KX16-Midoc 38_029.jpg:0806-2144</t>
  </si>
  <si>
    <t>KX16-Midoc 38_029.jpg:2094-2544</t>
  </si>
  <si>
    <t>KX16-Midoc 38_029.jpg:0664-2917</t>
  </si>
  <si>
    <t>KX16-Midoc 38_029.jpg:1275-3010</t>
  </si>
  <si>
    <t>KX16-Midoc 38_029.jpg:0665-3323</t>
  </si>
  <si>
    <t>KX16-Midoc 38_029.jpg:1320-3181</t>
  </si>
  <si>
    <t>KX16-Midoc 38_029.jpg:1295-3519</t>
  </si>
  <si>
    <t>roi (photo measurement) record missing!!</t>
  </si>
  <si>
    <t>KX16-Midoc 38_028.jpg:0749-2335</t>
  </si>
  <si>
    <t>KX16-Midoc 38_028.jpg:2084-3317</t>
  </si>
  <si>
    <t>KX16-Midoc 38_028.jpg:2081-3073</t>
  </si>
  <si>
    <t>KX16-Midoc 38_028.jpg:2056-2421</t>
  </si>
  <si>
    <t>KX16-Midoc 38_028.jpg:1965-2142</t>
  </si>
  <si>
    <t>KX16-Midoc 38_028.jpg:1784-1633</t>
  </si>
  <si>
    <t>KX16-Midoc 38_028.jpg:1766-1175</t>
  </si>
  <si>
    <t>KX16-Midoc 38_024.jpg</t>
  </si>
  <si>
    <t>KX16-Midoc 38_022.jpg:2173-0873</t>
  </si>
  <si>
    <t>KX16-Midoc 38_022.jpg:2140-1238</t>
  </si>
  <si>
    <t>KX16-Midoc 38_022.jpg:2157-1515</t>
  </si>
  <si>
    <t>KX16-Midoc 38_022.jpg:2138-1809</t>
  </si>
  <si>
    <t>KX16-Midoc 38_022.jpg:2189-2124</t>
  </si>
  <si>
    <t>KX16-Midoc 38_022.jpg:2164-2386</t>
  </si>
  <si>
    <t>KX16-Midoc 38_022.jpg:0678-0644</t>
  </si>
  <si>
    <t>KX16-Midoc 38_022.jpg:0822-0899</t>
  </si>
  <si>
    <t>KX16-Midoc 38_022.jpg:0848-1373</t>
  </si>
  <si>
    <t>KX16-Midoc 38_022.jpg:0988-2199</t>
  </si>
  <si>
    <t>KX16-Midoc 38_022.jpg:1028-2802</t>
  </si>
  <si>
    <t>KX16-Midoc 38_022.jpg:1810-3733</t>
  </si>
  <si>
    <t>KX16-Midoc 38_022.jpg:2334-2997</t>
  </si>
  <si>
    <t>KX16-Midoc 38_018.jpg:1369-0479</t>
  </si>
  <si>
    <t>KX16-Midoc 38_018.jpg:1772-1612</t>
  </si>
  <si>
    <t>KX16-Midoc 38_018.jpg:1862-2336</t>
  </si>
  <si>
    <t>KX16-Midoc 38_018.jpg:0997-2804</t>
  </si>
  <si>
    <t>KX16-Midoc 38_018.jpg:0768-1763</t>
  </si>
  <si>
    <t>KX16-Midoc 38_015.jpg</t>
  </si>
  <si>
    <t>KX16-Midoc 38_021.jpg:0789-0538</t>
  </si>
  <si>
    <t>KX16-Midoc 38_021.jpg:0930-0700</t>
  </si>
  <si>
    <t>KX16-Midoc 38_021.jpg:0534-0823</t>
  </si>
  <si>
    <t>KX16-Midoc 38_021.jpg:0563-1492</t>
  </si>
  <si>
    <t>KX16-Midoc 38_021.jpg:0726-1824</t>
  </si>
  <si>
    <t>KX16-Midoc 38_021.jpg:0674-2027</t>
  </si>
  <si>
    <t>KX16-Midoc 38_021.jpg:0560-2687</t>
  </si>
  <si>
    <t>KX16-Midoc 38_021.jpg:0691-2849</t>
  </si>
  <si>
    <t>KX16-Midoc 38_014.jpg:0709-0549</t>
  </si>
  <si>
    <t>KX16-Midoc 38_014.jpg:0657-0766</t>
  </si>
  <si>
    <t>KX16-Midoc 38_014.jpg:0793-1481</t>
  </si>
  <si>
    <t>KX16-Midoc 38_014.jpg:0913-2769</t>
  </si>
  <si>
    <t>KX16-Midoc 38_014.jpg:1998-2029</t>
  </si>
  <si>
    <t>KX16-Midoc 38_014.jpg:1120-3096</t>
  </si>
  <si>
    <t>KX16-Midoc 38_014.jpg:1336-3524</t>
  </si>
  <si>
    <t>nansenia antarctica</t>
  </si>
  <si>
    <t>KX16-Midoc 38_014.jpg:1976-1435</t>
  </si>
  <si>
    <t>KX16-Midoc 38_014.jpg:1955-1210</t>
  </si>
  <si>
    <t>KX16-Midoc 38_014.jpg:2000-0912</t>
  </si>
  <si>
    <t>KX16-Midoc 38_012.jpg:2288-1941</t>
  </si>
  <si>
    <t>KX16-Midoc 38_012.jpg:2215-1570</t>
  </si>
  <si>
    <t>KX16-Midoc 38_012.jpg:2202-1375</t>
  </si>
  <si>
    <t>KX16-Midoc 38_012.jpg:2295-0913</t>
  </si>
  <si>
    <t>KX16-Midoc 38_012.jpg:2305-0744</t>
  </si>
  <si>
    <t>KX16-Midoc 38_010.jpg:1864-1279</t>
  </si>
  <si>
    <t>KX16-Midoc 38_010.jpg:2093-2405</t>
  </si>
  <si>
    <t>KX16-Midoc 38_010.jpg:0875-3588</t>
  </si>
  <si>
    <t>KX16-Midoc 38_010.jpg:0735-2764</t>
  </si>
  <si>
    <t>KX16-Midoc 38_010.jpg:0966-2203</t>
  </si>
  <si>
    <t>KX16-Midoc 38_001.jpg:2380-2408</t>
  </si>
  <si>
    <t>KX16-Midoc 38_001.jpg:1744-2502</t>
  </si>
  <si>
    <t>KX16-Midoc 38_001.jpg:1344-2974</t>
  </si>
  <si>
    <t>KX16-Midoc 38_001.jpg:0835-2924</t>
  </si>
  <si>
    <t>KX16-Midoc 38_003.jpg:1344-0680</t>
  </si>
  <si>
    <t>KX16-Midoc 38_003.jpg:1311-1778</t>
  </si>
  <si>
    <t>KX16-Midoc 38_003.jpg:2661-1532</t>
  </si>
  <si>
    <t>KX16-Midoc 38_003.jpg:1279-2132</t>
  </si>
  <si>
    <t>KX16-Midoc 38_003.jpg:1442-3495</t>
  </si>
  <si>
    <t>KX16-Midoc 38_005.jpg:1027-2847</t>
  </si>
  <si>
    <t>KX16-Midoc 38_005.jpg:0988-3042</t>
  </si>
  <si>
    <t>KX16-Midoc 38_005.jpg:1010-3266</t>
  </si>
  <si>
    <t>KX16-Midoc 38_005.jpg:0926-3490</t>
  </si>
  <si>
    <t>KX16-Midoc 38_005.jpg:2084-3429</t>
  </si>
  <si>
    <t>KX16-Midoc 38_005.jpg:2027-3292</t>
  </si>
  <si>
    <t>KX16-Midoc 38_005.jpg:2069-3108</t>
  </si>
  <si>
    <t>KX16-Midoc 38_005.jpg:2112-2985</t>
  </si>
  <si>
    <t>KX16-Midoc 38_005.jpg:2115-2733</t>
  </si>
  <si>
    <t>KX16-Midoc 38_005.jpg:2099-2564</t>
  </si>
  <si>
    <t>KX16-Midoc 38_005.jpg:2153-2400</t>
  </si>
  <si>
    <t>KX16-Midoc 38_006.jpg:1062-3335</t>
  </si>
  <si>
    <t>KX16-Midoc 38_006.jpg:1040-2821</t>
  </si>
  <si>
    <t>KX16-Midoc 38_006.jpg:0993-2311</t>
  </si>
  <si>
    <t>KX16-Midoc 38_006.jpg:0981-2085</t>
  </si>
  <si>
    <t>KX16-Midoc 38_006.jpg:0947-1881</t>
  </si>
  <si>
    <t>KX16-Midoc 38_006.jpg:1051-1556</t>
  </si>
  <si>
    <t>KX16-Midoc 38_006.jpg:1013-1389</t>
  </si>
  <si>
    <t>KX16-Midoc 38_006.jpg:0995-1198</t>
  </si>
  <si>
    <t>KX16-Midoc 38_006.jpg:1071-1005</t>
  </si>
  <si>
    <t>KX16-Midoc 39_003.jpg:0883-1674</t>
  </si>
  <si>
    <t>KX16-Midoc 39_003.jpg:0759-1831</t>
  </si>
  <si>
    <t>KX16-Midoc 39_003.jpg:0845-2034</t>
  </si>
  <si>
    <t>KX16-Midoc 39_003.jpg:2350-1592</t>
  </si>
  <si>
    <t>KX16-Midoc 39_003.jpg:0871-3012</t>
  </si>
  <si>
    <t>KX16-Midoc 39_006.jpg:1491-0604</t>
  </si>
  <si>
    <t>KX16-Midoc 39_006.jpg:1463-0767</t>
  </si>
  <si>
    <t>KX16-Midoc 39_006.jpg:1549-1020</t>
  </si>
  <si>
    <t>KX16-Midoc 39_006.jpg:1618-1231</t>
  </si>
  <si>
    <t>KX16-Midoc 39_006.jpg:1879-1522</t>
  </si>
  <si>
    <t>KX16-Midoc 39_006.jpg:1909-1608</t>
  </si>
  <si>
    <t>KX16-Midoc 39_007.jpg:0973-2024</t>
  </si>
  <si>
    <t>KX16-Midoc 39_007.jpg:1006-1826</t>
  </si>
  <si>
    <t>KX16-Midoc 39_007.jpg:1051-1536</t>
  </si>
  <si>
    <t>KX16-Midoc 39_007.jpg:1130-1318</t>
  </si>
  <si>
    <t>KX16-Midoc 39_007.jpg:1136-1035</t>
  </si>
  <si>
    <t>KX16-Midoc 39_007.jpg:1194-0806</t>
  </si>
  <si>
    <t>KX16-Midoc 39_008.jpg:1107-1349</t>
  </si>
  <si>
    <t>KX16-Midoc 39_008.jpg:1593-1453</t>
  </si>
  <si>
    <t>KX16-Midoc 39_008.jpg:0419-2979</t>
  </si>
  <si>
    <t>KX16-Midoc 39_008.jpg:0838-2896</t>
  </si>
  <si>
    <t>KX16-Midoc 39_008.jpg:1267-2485</t>
  </si>
  <si>
    <t>KX16-Midoc 39_008.jpg:1728-3186</t>
  </si>
  <si>
    <t>KX16-Midoc 39_008.jpg:1978-3214</t>
  </si>
  <si>
    <t>KX16-Midoc 39_008.jpg:2231-3151</t>
  </si>
  <si>
    <t>KX16-Midoc 39_008.jpg:2281-1312</t>
  </si>
  <si>
    <t>KX16-Midoc 39_008.jpg:0798-1351</t>
  </si>
  <si>
    <t>KX16-Midoc 39_008.jpg:0706-1380</t>
  </si>
  <si>
    <t>KX16-Midoc 39_008.jpg:0576-1382</t>
  </si>
  <si>
    <t>KX16-Midoc 39_008.jpg:0361-1433</t>
  </si>
  <si>
    <t>KX16-Midoc 39_008.jpg:0181-1423</t>
  </si>
  <si>
    <t>KX16-Midoc 39_012.jpg:2169-1250</t>
  </si>
  <si>
    <t>KX16-Midoc 39_012.jpg:2098-1675</t>
  </si>
  <si>
    <t>KX16-Midoc 39_012.jpg:2068-2253</t>
  </si>
  <si>
    <t>KX16-Midoc 39_012.jpg:2098-3381</t>
  </si>
  <si>
    <t>KX16-Midoc 39_012.jpg:1992-3678</t>
  </si>
  <si>
    <t>KX16-Midoc 39_013.jpg</t>
  </si>
  <si>
    <t>Opisthoproctidae </t>
  </si>
  <si>
    <t>KX16-Midoc 39_016.jpg:1130-2163</t>
  </si>
  <si>
    <t>KX16-Midoc 39_016.jpg:0627-2097</t>
  </si>
  <si>
    <t>KX16-Midoc 39_016.jpg:0642-2487</t>
  </si>
  <si>
    <t>KX16-Midoc 39_016.jpg:0466-2641</t>
  </si>
  <si>
    <t>KX16-Midoc 39_016.jpg:0555-2794</t>
  </si>
  <si>
    <t>KX16-Midoc 39_016.jpg:0568-2976</t>
  </si>
  <si>
    <t>KX16-Midoc 39_016.jpg:0506-3143</t>
  </si>
  <si>
    <t>KX16-Midoc 39_016.jpg:2023-2127</t>
  </si>
  <si>
    <t>KX16-Midoc 39_016.jpg:1582-2255</t>
  </si>
  <si>
    <t>KX16-Midoc 39_016.jpg:0290-1072</t>
  </si>
  <si>
    <t>KX16-Midoc 39_016.jpg:0446-1114</t>
  </si>
  <si>
    <t>KX16-Midoc 39_016.jpg:0614-1086</t>
  </si>
  <si>
    <t>KX16-Midoc 39_017.jpg:0781-1553</t>
  </si>
  <si>
    <t>KX16-Midoc 39_017.jpg:2147-0999</t>
  </si>
  <si>
    <t>KX16-Midoc 39_017.jpg:1213-2281</t>
  </si>
  <si>
    <t>KX16-Midoc 39_017.jpg:0770-2975</t>
  </si>
  <si>
    <t>KX16-Midoc 39_017.jpg:2207-3390</t>
  </si>
  <si>
    <t>KX16-Midoc 39_018.jpg:0589-3793</t>
  </si>
  <si>
    <t>KX16-Midoc 39_018.jpg:0459-3552</t>
  </si>
  <si>
    <t>KX16-Midoc 39_018.jpg:0495-2878</t>
  </si>
  <si>
    <t>KX16-Midoc 39_018.jpg:0536-2715</t>
  </si>
  <si>
    <t>KX16-Midoc 39_018.jpg:0523-2519</t>
  </si>
  <si>
    <t>KX16-Midoc 39_018.jpg:0646-0911</t>
  </si>
  <si>
    <t>KX16-Midoc 39_019.jpg:1007-0784</t>
  </si>
  <si>
    <t>KX16-Midoc 39_019.jpg:1090-2731</t>
  </si>
  <si>
    <t>KX16-Midoc 39_019.jpg:1157-3955</t>
  </si>
  <si>
    <t>KX16-Midoc 39_019.jpg:1851-1373</t>
  </si>
  <si>
    <t>KX16-Midoc 39_019.jpg:2374-1722</t>
  </si>
  <si>
    <t>KX16-Midoc 39_025.jpg:2097-3106</t>
  </si>
  <si>
    <t>slosarczykovia circumantarctica</t>
  </si>
  <si>
    <t>KX16-Midoc 39_025.jpg:1609-3072; KX16-Midoc 39_025.jpg:1686-3093</t>
  </si>
  <si>
    <t>KX16-Midoc 39_026.jpg:0456-2243</t>
  </si>
  <si>
    <t>KX16-Midoc 39_026.jpg:0506-2781</t>
  </si>
  <si>
    <t>KX16-Midoc 39_026.jpg:1002-2592</t>
  </si>
  <si>
    <t>KX16-Midoc 39_026.jpg:0552-3197</t>
  </si>
  <si>
    <t>KX16-Midoc 39_026.jpg:0589-3399</t>
  </si>
  <si>
    <t>KX16-Midoc 39_026.jpg:0858-3629</t>
  </si>
  <si>
    <t>KX16-Midoc 39_026.jpg:1913-3339</t>
  </si>
  <si>
    <t>KX16-Midoc 39_026.jpg:1858-3101</t>
  </si>
  <si>
    <t>KX16-Midoc 39_026.jpg:1868-2896</t>
  </si>
  <si>
    <t>KX16-Midoc 39_026.jpg:1911-2638</t>
  </si>
  <si>
    <t>KX16-Midoc 39_026.jpg:1904-2399</t>
  </si>
  <si>
    <t>KX16-Midoc 39_026.jpg:1877-2141</t>
  </si>
  <si>
    <t>KX16-Midoc 39_026.jpg:1972-2000</t>
  </si>
  <si>
    <t>KX16-Midoc 39_026.jpg:1861-1850</t>
  </si>
  <si>
    <t>KX16-Midoc 39_027.jpg:1799-0618</t>
  </si>
  <si>
    <t>KX16-Midoc 39_027.jpg:1750-0948</t>
  </si>
  <si>
    <t>KX16-Midoc 39_027.jpg:1797-1347</t>
  </si>
  <si>
    <t>KX16-Midoc 39_027.jpg:1790-1740</t>
  </si>
  <si>
    <t>KX16-Midoc 39_027.jpg:1916-2025</t>
  </si>
  <si>
    <t>KX16-Midoc 39_027.jpg:1886-2253</t>
  </si>
  <si>
    <t>KX16-Midoc 39_027.jpg:1924-2492</t>
  </si>
  <si>
    <t>KX16-Midoc 39_027.jpg:1678-2658</t>
  </si>
  <si>
    <t>KX16-Midoc 39_027.jpg:1629-2929</t>
  </si>
  <si>
    <t>KX16-Midoc 39_027.jpg:1735-3200</t>
  </si>
  <si>
    <t>KX16-Midoc 39_027.jpg:0661-1911</t>
  </si>
  <si>
    <t>KX16-Midoc 39_027.jpg:0694-2302</t>
  </si>
  <si>
    <t>KX16-Midoc 39_027.jpg:0691-2551</t>
  </si>
  <si>
    <t>KX16-Midoc 39_027.jpg:0671-2728</t>
  </si>
  <si>
    <t>KX16-Midoc 39_027.jpg:1784-3497</t>
  </si>
  <si>
    <t>KX16-Midoc 39_030.jpg</t>
  </si>
  <si>
    <t>KX16-Midoc 39_032.jpg:0706-0848</t>
  </si>
  <si>
    <t>KX16-Midoc 39_032.jpg:0621-1212</t>
  </si>
  <si>
    <t>KX16-Midoc 39_032.jpg:0617-1891</t>
  </si>
  <si>
    <t>KX16-Midoc 39_032.jpg:0657-2073</t>
  </si>
  <si>
    <t>KX16-Midoc 39_032.jpg:0646-2261</t>
  </si>
  <si>
    <t>KX16-Midoc 39_032.jpg:1761-3938</t>
  </si>
  <si>
    <t>KX16-Midoc 39_032.jpg:1819-3826</t>
  </si>
  <si>
    <t>KX16-Midoc 39_032.jpg:1737-3376</t>
  </si>
  <si>
    <t>KX16-Midoc 39_032.jpg:1827-2981</t>
  </si>
  <si>
    <t>KX16-Midoc 39_032.jpg:1763-2773</t>
  </si>
  <si>
    <t>KX16-Midoc 39_032.jpg:1731-1822</t>
  </si>
  <si>
    <t>KX16-Midoc 39_032.jpg:1757-1596</t>
  </si>
  <si>
    <t>KX16-Midoc 39_032.jpg:1840-1265</t>
  </si>
  <si>
    <t>KX16-Midoc 39_032.jpg:1819-0934</t>
  </si>
  <si>
    <t>KX16-Midoc 39_033.jpg:0545-0928</t>
  </si>
  <si>
    <t>KX16-Midoc 39_033.jpg:0502-1131</t>
  </si>
  <si>
    <t>KX16-Midoc 39_033.jpg:0484-1298</t>
  </si>
  <si>
    <t>KX16-Midoc 39_033.jpg:0499-1480</t>
  </si>
  <si>
    <t>KX16-Midoc 39_033.jpg:0531-1722</t>
  </si>
  <si>
    <t>KX16-Midoc 39_033.jpg:1516-1006; KX16-Midoc 39_033.jpg:1776-1316</t>
  </si>
  <si>
    <t>KX16-Midoc 39_033.jpg:1835-1744</t>
  </si>
  <si>
    <t>KX16-Midoc 39_033.jpg:1676-2158</t>
  </si>
  <si>
    <t>KX16-Midoc 39_033.jpg:1388-3365</t>
  </si>
  <si>
    <t>KX16-Midoc 39_033.jpg:1416-3539</t>
  </si>
  <si>
    <t>KX16-Midoc 39_033.jpg:1422-3812</t>
  </si>
  <si>
    <t>KX16-Midoc 39_033.jpg:1048-2921</t>
  </si>
  <si>
    <t>KX16-Midoc 39_033.jpg:0399-3461</t>
  </si>
  <si>
    <t>KX16-Midoc 39_033.jpg:0690-2658</t>
  </si>
  <si>
    <t>KX16-Midoc 39_033.jpg:0939-2291</t>
  </si>
  <si>
    <t>KX16-Midoc 39_033.jpg:0222-2714</t>
  </si>
  <si>
    <t>duplicate!!</t>
  </si>
  <si>
    <t>KX16-Midoc 39_036.jpg</t>
  </si>
  <si>
    <t>alluroteuthis antarcticus; bathyteuthis abyssicola</t>
  </si>
  <si>
    <t>KX16-Midoc 40_001.jpg:0336-2129</t>
  </si>
  <si>
    <t>KX16-Midoc 40_001.jpg:0720-2271</t>
  </si>
  <si>
    <t>KX16-Midoc 40_001.jpg:0963-2331</t>
  </si>
  <si>
    <t>KX16-Midoc 40_001.jpg:1830-2179</t>
  </si>
  <si>
    <t>KX16-Midoc 40_001.jpg:2044-2113</t>
  </si>
  <si>
    <t>KX16-Midoc 40_001.jpg:2368-2153</t>
  </si>
  <si>
    <t>KX16-Midoc 40_003.jpg:0960-0584</t>
  </si>
  <si>
    <t>KX16-Midoc 40_003.jpg:0987-0921</t>
  </si>
  <si>
    <t>KX16-Midoc 40_003.jpg:0879-1306</t>
  </si>
  <si>
    <t>KX16-Midoc 40_003.jpg:0811-1562</t>
  </si>
  <si>
    <t>KX16-Midoc 40_003.jpg:0901-1769</t>
  </si>
  <si>
    <t>KX16-Midoc 40_003.jpg:0849-2250</t>
  </si>
  <si>
    <t>KX16-Midoc 40_003.jpg:0867-2483</t>
  </si>
  <si>
    <t>KX16-Midoc 40_003.jpg:0599-3013</t>
  </si>
  <si>
    <t>KX16-Midoc 40_003.jpg:0681-3350</t>
  </si>
  <si>
    <t>KX16-Midoc 40_003.jpg:0669-3673</t>
  </si>
  <si>
    <t>KX16-Midoc 40_004.jpg:0932-1151</t>
  </si>
  <si>
    <t>KX16-Midoc 40_004.jpg:2009-0950</t>
  </si>
  <si>
    <t>KX16-Midoc 40_004.jpg:0953-2156</t>
  </si>
  <si>
    <t>KX16-Midoc 40_004.jpg:1895-3019</t>
  </si>
  <si>
    <t>KX16-Midoc 40_004.jpg:0801-3652</t>
  </si>
  <si>
    <t>KX16-Midoc 40_006.jpg:2082-2040</t>
  </si>
  <si>
    <t>paralepidae</t>
  </si>
  <si>
    <t>KX16-Midoc 40_008.jpg:1299-0716</t>
  </si>
  <si>
    <t>KX16-Midoc 40_008.jpg:1290-0885</t>
  </si>
  <si>
    <t>KX16-Midoc 40_008.jpg:1289-1039</t>
  </si>
  <si>
    <t>KX16-Midoc 40_008.jpg:1776-1250</t>
  </si>
  <si>
    <t>KX16-Midoc 40_008.jpg:1754-1527</t>
  </si>
  <si>
    <t>KX16-Midoc 40_008.jpg:1789-2926</t>
  </si>
  <si>
    <t>KX16-Midoc 40_008.jpg:1831-3850</t>
  </si>
  <si>
    <t>KX16-Midoc 40_008.jpg:0611-3814</t>
  </si>
  <si>
    <t>KX16-Midoc 40_008.jpg:0547-3484</t>
  </si>
  <si>
    <t>KX16-Midoc 40_008.jpg:0582-3149</t>
  </si>
  <si>
    <t>KX16-Midoc 40_008.jpg:0579-2936</t>
  </si>
  <si>
    <t>KX16-Midoc 40_008.jpg:0542-2500</t>
  </si>
  <si>
    <t>KX16-Midoc 40_008.jpg:0519-2302</t>
  </si>
  <si>
    <t>KX16-Midoc 40_008.jpg:0523-1957</t>
  </si>
  <si>
    <t>KX16-Midoc 40_008.jpg:0504-1813</t>
  </si>
  <si>
    <t>KX16-Midoc 40_010.jpg</t>
  </si>
  <si>
    <t>n=1 M. hamiltoni</t>
  </si>
  <si>
    <t>KX16-Midoc 40_012.jpg:1106-0679</t>
  </si>
  <si>
    <t>KX16-Midoc 40_012.jpg:2217-1326</t>
  </si>
  <si>
    <t>KX16-Midoc 40_012.jpg:1100-2693</t>
  </si>
  <si>
    <t>KX16-Midoc 40_012.jpg:2301-2968</t>
  </si>
  <si>
    <t>KX16-Midoc 40_012.jpg:2199-3340</t>
  </si>
  <si>
    <t>bathylagus</t>
  </si>
  <si>
    <t>KX16-Midoc 40_020.jpg:1603-2154</t>
  </si>
  <si>
    <t>KX16-Midoc 40_020.jpg:2314-2512</t>
  </si>
  <si>
    <t>KX16-Midoc 40_020.jpg:0827-3302</t>
  </si>
  <si>
    <t>KX16-Midoc 40_020.jpg:1612-3461</t>
  </si>
  <si>
    <t>KX16-Midoc 40_020.jpg:1633-3614</t>
  </si>
  <si>
    <t>KX16-Midoc 40_024.jpg</t>
  </si>
  <si>
    <t>KX16-Midoc 40_026.jpg:2240-2339</t>
  </si>
  <si>
    <t>KX16-Midoc 40_026.jpg:1078-3676</t>
  </si>
  <si>
    <t>KX16-Midoc 40_026.jpg:1106-3340</t>
  </si>
  <si>
    <t>KX16-Midoc 40_026.jpg:1075-3021</t>
  </si>
  <si>
    <t>KX16-Midoc 40_026.jpg:1035-2737</t>
  </si>
  <si>
    <t>KX16-Midoc 40_026.jpg:0980-2445</t>
  </si>
  <si>
    <t>KX16-Midoc 40_026.jpg:0830-2182</t>
  </si>
  <si>
    <t>KX16-Midoc 40_026.jpg:1058-1870</t>
  </si>
  <si>
    <t>KX16-Midoc 40_026.jpg:0925-1547</t>
  </si>
  <si>
    <t>KX16-Midoc 40_026.jpg:0909-1350</t>
  </si>
  <si>
    <t>KX16-Midoc 40_026.jpg:0866-1152</t>
  </si>
  <si>
    <t>KX16-Midoc 40_026.jpg:0907-0952</t>
  </si>
  <si>
    <t>KX16-Midoc 40_026.jpg:0845-0815</t>
  </si>
  <si>
    <t>KX16-Midoc 40_026.jpg:1300-0651</t>
  </si>
  <si>
    <t>KX16-Midoc 40_026.jpg:2440-1038</t>
  </si>
  <si>
    <t>mushed, could be Paralepidae</t>
  </si>
  <si>
    <t>KX16-Midoc 40_026.jpg</t>
  </si>
  <si>
    <t>KX16-Midoc 40_026.jpg:2187-1979</t>
  </si>
  <si>
    <t>KX16-Midoc 40_026.jpg:2179-2071</t>
  </si>
  <si>
    <t>KX16-Midoc 40_026.jpg:2249-2769</t>
  </si>
  <si>
    <t>no fish in photo</t>
  </si>
  <si>
    <t>tag in photo but no fish (paralepidae)</t>
  </si>
  <si>
    <t>n=4 M. psychrophila</t>
  </si>
  <si>
    <t>KX16-Midoc 40_040.jpg</t>
  </si>
  <si>
    <t>n=2 P. glacialis</t>
  </si>
  <si>
    <t>Psychroteuthis glacialis larvae; galiteuthis glacialis; Alluroteuthis antarcticus</t>
  </si>
  <si>
    <t>KX16-Midoc 40_042.jpg:0832-0741</t>
  </si>
  <si>
    <t>KX16-Midoc 40_042.jpg:0816-1224</t>
  </si>
  <si>
    <t>KX16-Midoc 40_042.jpg:0711-2090</t>
  </si>
  <si>
    <t>KX16-Midoc 40_042.jpg:0770-2542</t>
  </si>
  <si>
    <t>KX16-Midoc 40_042.jpg:0810-3272</t>
  </si>
  <si>
    <t>KX16-Midoc 40_042.jpg:2444-3043</t>
  </si>
  <si>
    <t>KX16-Midoc 40_042.jpg:2468-1697</t>
  </si>
  <si>
    <t>KX16-Midoc 40_042.jpg:2455-1093</t>
  </si>
  <si>
    <t>KX16-Midoc 40_042.jpg:2394-0692</t>
  </si>
  <si>
    <t>KX16-Midoc 40_042.jpg:2405-0535</t>
  </si>
  <si>
    <t>KX16-Midoc 40_044.jpg:1410-0523</t>
  </si>
  <si>
    <t>KX16-Midoc 40_044.jpg:1383-0945</t>
  </si>
  <si>
    <t>KX16-Midoc 40_044.jpg:1208-1297</t>
  </si>
  <si>
    <t>KX16-Midoc 40_044.jpg:1567-1662</t>
  </si>
  <si>
    <t>KX16-Midoc 40_044.jpg:1529-2472</t>
  </si>
  <si>
    <t>KX16-Midoc 40_044.jpg:1559-2945</t>
  </si>
  <si>
    <t>KX16-Midoc 40_044.jpg:1227-3425</t>
  </si>
  <si>
    <t>KX16-Midoc 40_044.jpg:0643-3546</t>
  </si>
  <si>
    <t>Channichthyidae larvae</t>
  </si>
  <si>
    <t>KX16-Midoc 40_046.jpg:1103-0570</t>
  </si>
  <si>
    <t>KX16-Midoc 40_046.jpg:1092-0828</t>
  </si>
  <si>
    <t>KX16-Midoc 40_046.jpg:0896-2171</t>
  </si>
  <si>
    <t>KX16-Midoc 40_046.jpg:1003-2887</t>
  </si>
  <si>
    <t>KX16-Midoc 40_046.jpg:1174-3536</t>
  </si>
  <si>
    <t>KX16-Midoc 40_046.jpg:2192-3222</t>
  </si>
  <si>
    <t>KX16-Midoc 40_046.jpg:2146-3006</t>
  </si>
  <si>
    <t>KX16-Midoc 40_046.jpg:2229-2897</t>
  </si>
  <si>
    <t>KX16-Midoc 40_046.jpg:2199-2782</t>
  </si>
  <si>
    <t>KX16-Midoc 40_046.jpg:2227-2690</t>
  </si>
  <si>
    <t>KX16-Midoc 40_046.jpg:2199-2350</t>
  </si>
  <si>
    <t>KX16-Midoc 40_046.jpg:2225-1899</t>
  </si>
  <si>
    <t>KX16-Midoc 40_046.jpg:2241-1511</t>
  </si>
  <si>
    <t>KX16-Midoc 40_046.jpg:2208-1324</t>
  </si>
  <si>
    <t>KX16-Midoc 40_046.jpg:2164-1159</t>
  </si>
  <si>
    <t>KX16-Midoc 40_053.jpg:0895-0513</t>
  </si>
  <si>
    <t>KX16-Midoc 40_053.jpg:0855-1894</t>
  </si>
  <si>
    <t>KX16-Midoc 40_053.jpg:0848-2636</t>
  </si>
  <si>
    <t>KX16-Midoc 40_053.jpg:2215-2640</t>
  </si>
  <si>
    <t>KX16-Midoc 40_054.jpg:1495-1894</t>
  </si>
  <si>
    <t>KX16-Midoc 40_054.jpg:1541-2231</t>
  </si>
  <si>
    <t>KX16-Midoc 40_054.jpg:1628-2396</t>
  </si>
  <si>
    <t>KX16-Midoc 40_054.jpg:1588-2701</t>
  </si>
  <si>
    <t>KX16-Midoc 40_054.jpg:1647-2878</t>
  </si>
  <si>
    <t>KX16-Midoc 40_054.jpg:1497-3125</t>
  </si>
  <si>
    <t>KX16-Midoc 40_056.jpg:0927-1774</t>
  </si>
  <si>
    <t>KX16-Midoc 40_056.jpg:0982-3135</t>
  </si>
  <si>
    <t>KX16-Midoc 40_056.jpg:2281-2095</t>
  </si>
  <si>
    <t>KX16-Midoc 40_056.jpg:2226-1716</t>
  </si>
  <si>
    <t>KX16-Midoc 40_056.jpg:2200-1049</t>
  </si>
  <si>
    <t>KX16-Midoc 40_064.jpg:1532-0615</t>
  </si>
  <si>
    <t>KX16-Midoc 40_064.jpg:1494-0820</t>
  </si>
  <si>
    <t>KX16-Midoc 40_064.jpg:1537-1022</t>
  </si>
  <si>
    <t>KX16-Midoc 40_064.jpg:1543-1193</t>
  </si>
  <si>
    <t>KX16-Midoc 40_064.jpg:1554-1346</t>
  </si>
  <si>
    <t>KX16-Midoc 40_066.jpg:2269-1761</t>
  </si>
  <si>
    <t>KX16-Midoc 40_066.jpg:2159-2016</t>
  </si>
  <si>
    <t>KX16-Midoc 40_066.jpg:2088-2869</t>
  </si>
  <si>
    <t>KX16-Midoc 40_066.jpg:2144-3138</t>
  </si>
  <si>
    <t>KX16-Midoc 40_066.jpg:2155-3388</t>
  </si>
  <si>
    <t>KX16-Midoc 40_066.jpg:1030-3344</t>
  </si>
  <si>
    <t>KX16-Midoc 40_066.jpg:0949-3000</t>
  </si>
  <si>
    <t>KX16-Midoc 40_066.jpg:0995-2506</t>
  </si>
  <si>
    <t>KX16-Midoc 40_066.jpg:0966-1108</t>
  </si>
  <si>
    <t>KX16-Midoc 40_066.jpg:1000-1335</t>
  </si>
  <si>
    <t>KX16-Midoc 40_066.jpg:1079-1518</t>
  </si>
  <si>
    <t>KX16-Midoc 40_066.jpg:1037-1745</t>
  </si>
  <si>
    <t>KX16-Midoc 40_066.jpg:0881-2066</t>
  </si>
  <si>
    <t>KX16-Midoc 40_068.jpg:2515-2100</t>
  </si>
  <si>
    <t>KX16-Midoc 40_069.jpg:KX16-Midoc 40_069</t>
  </si>
  <si>
    <t xml:space="preserve">Neopagetopsis ionah </t>
  </si>
  <si>
    <t>KX16-Midoc 40_070.jpg:0972-2212</t>
  </si>
  <si>
    <t>KX16-Midoc 40_070.jpg</t>
  </si>
  <si>
    <t>KX16-MIDOC02_CODEND1_002.jpg:2426-1770</t>
  </si>
  <si>
    <t>KX16-MIDOC02_CODEND1_002.jpg:0590-2488</t>
  </si>
  <si>
    <t>KX16-MIDOC02_CODEND1_002.jpg:0806-3442</t>
  </si>
  <si>
    <t>KX16-MIDOC02_CODEND1_002.jpg:2018-3258</t>
  </si>
  <si>
    <t>KX16-MIDOC02_CODEND1_004.jpg:1352-1114</t>
  </si>
  <si>
    <t>KX16-MIDOC02_CODEND1_004.jpg:0962-1152</t>
  </si>
  <si>
    <t>KX16-MIDOC02_CODEND1_004.jpg:1232-1168</t>
  </si>
  <si>
    <t>KX16-MIDOC02_CODEND1_004.jpg:1092-1190</t>
  </si>
  <si>
    <t>KX16-MIDOC02_CODEND1_004.jpg:1668-1310</t>
  </si>
  <si>
    <t>KX16-MIDOC02_CODEND1_004.jpg:1872-2490</t>
  </si>
  <si>
    <t>KX16-MIDOC02_CODEND1_004.jpg:1144-2256</t>
  </si>
  <si>
    <t>KX16-MIDOC02_CODEND1_004.jpg:0530-2242</t>
  </si>
  <si>
    <t>KX16-MIDOC02_CODEND1_004.jpg:0392-2282</t>
  </si>
  <si>
    <t>KX16-MIDOC02_CODEND1_004.jpg:2290-2672</t>
  </si>
  <si>
    <t>KX16-MIDOC02_CODEND1_004.jpg:2202-1438</t>
  </si>
  <si>
    <t>KX16-MIDOC02_CODEND1_004.jpg:1994-1316</t>
  </si>
  <si>
    <t>KX16-MIDOC02_CODEND1_004.jpg:1270-3232</t>
  </si>
  <si>
    <t>KX16-MIDOC02_CODEND1_004.jpg:0642-3022</t>
  </si>
  <si>
    <t>KX16-MIDOC02_CODEND1_004.jpg:1134-3080</t>
  </si>
  <si>
    <t>KX16-MIDOC02_CODEND1_004.jpg:0800-3004</t>
  </si>
  <si>
    <t>KX16-MIDOC02_CODEND1_004.jpg:0888-3100</t>
  </si>
  <si>
    <t>bathylagidae larvae</t>
  </si>
  <si>
    <t>KX16-MIDOC02_CODEND1_004.jpg:2232-3516</t>
  </si>
  <si>
    <t>KX16-MIDOC02_CODEND1_004.jpg:1962-3602</t>
  </si>
  <si>
    <t>KX16-MIDOC02_CODEND1_004.jpg:1830-3654</t>
  </si>
  <si>
    <t>KX16-MIDOC02_CODEND1_005.jpg</t>
  </si>
  <si>
    <t>KX16-MIDOC02_CODEND3_001.jpg</t>
  </si>
  <si>
    <t>KX16-MIDOC02_CODEND3_001.jpg:1454-2280</t>
  </si>
  <si>
    <t>KX16-MIDOC02_CODEND3_001.jpg:2126-1404</t>
  </si>
  <si>
    <t>KX16-MIDOC02_CODEND3_001.jpg:2302-3000</t>
  </si>
  <si>
    <t>Bathylagus</t>
  </si>
  <si>
    <t>KX16-MIDOC02_CODEND3_001.jpg:1852-1594</t>
  </si>
  <si>
    <t>KX16-MIDOC02_CODEND6_001.jpg</t>
  </si>
  <si>
    <t>KX16-MIDOC02_CODEND6_002.jpg:0444-3020</t>
  </si>
  <si>
    <t>KX16-MIDOC02_CODEND6_002.jpg:0798-3154</t>
  </si>
  <si>
    <t>KX16-MIDOC02_CODEND6_002.jpg:1208-3186</t>
  </si>
  <si>
    <t>KX16-MIDOC02_CODEND6_002.jpg:1606-3020</t>
  </si>
  <si>
    <t>KX16-MIDOC02_CODEND6_002.jpg:1964-3120</t>
  </si>
  <si>
    <t>KX16-MIDOC02_CODEND6_003.jpg</t>
  </si>
  <si>
    <t>KX16-MIDOC02_CODEND6_004.jpg:1754-2126</t>
  </si>
  <si>
    <t>KX16-MIDOC03_CODEND2_001.jpg:1258-3644</t>
  </si>
  <si>
    <t>KX16-MIDOC03_CODEND2_001.jpg:1098-2188</t>
  </si>
  <si>
    <t>KX16-MIDOC03_CODEND2_001.jpg:0968-1052</t>
  </si>
  <si>
    <t>KX16-MIDOC03_CODEND2_002.jpg:0488-3506</t>
  </si>
  <si>
    <t>KX16-MIDOC03_CODEND2_002.jpg:1574-2928</t>
  </si>
  <si>
    <t>KX16-MIDOC03_CODEND2_003.jpg:0708-3102</t>
  </si>
  <si>
    <t>KX16-MIDOC03_CODEND2_003.jpg:0718-1492</t>
  </si>
  <si>
    <t>KX16-MIDOC03_CODEND2_003.jpg:0810-2070</t>
  </si>
  <si>
    <t>KX16-MIDOC03_CODEND2_003.jpg:0758-2758</t>
  </si>
  <si>
    <t>KX16-MIDOC03_CODEND2_003.jpg:0864-1662</t>
  </si>
  <si>
    <t>KX16-MIDOC03_CODEND2_003.jpg:1796-2554</t>
  </si>
  <si>
    <t>KX16-MIDOC03_CODEND2_003.jpg:1924-2290</t>
  </si>
  <si>
    <t>KX16-MIDOC03_CODEND2_003.jpg:1862-1944</t>
  </si>
  <si>
    <t>KX16-MIDOC03_CODEND2_003.jpg:1832-1578</t>
  </si>
  <si>
    <t>KX16-MIDOC03_CODEND2_003.jpg:1190-0834</t>
  </si>
  <si>
    <t>KX16-MIDOC03_CODEND2_004.jpg:1474-3160</t>
  </si>
  <si>
    <t>KX16-MIDOC03_CODEND2_004.jpg:0668-2820</t>
  </si>
  <si>
    <t>KX16-MIDOC03_CODEND3_002.jpg:0726-3086</t>
  </si>
  <si>
    <t>KX16-MIDOC03_CODEND3_002.jpg:1930-1998</t>
  </si>
  <si>
    <t>KX16-MIDOC03_CODEND3_002.jpg:1796-1028</t>
  </si>
  <si>
    <t>KX16-MIDOC03_CODEND3_003.jpg:0594-1700</t>
  </si>
  <si>
    <t>KX16-MIDOC03_CODEND3_003.jpg:1376-1676</t>
  </si>
  <si>
    <t>KX16-MIDOC03_CODEND3_004.jpg:1962-3134</t>
  </si>
  <si>
    <t>KX16-MIDOC03_CODEND3_004.jpg:1895-3299</t>
  </si>
  <si>
    <t>KX16-MIDOC03_CODEND3_004.jpg:1874-3500</t>
  </si>
  <si>
    <t>KX16-MIDOC03_CODEND3_004.jpg:1956-2926</t>
  </si>
  <si>
    <t>KX16-MIDOC03_CODEND3_004.jpg:1929-2779</t>
  </si>
  <si>
    <t>KX16-MIDOC03_CODEND3_004.jpg:0574-3534</t>
  </si>
  <si>
    <t>KX16-MIDOC03_CODEND3_004.jpg:0738-2883</t>
  </si>
  <si>
    <t>KX16-MIDOC03_CODEND3_004.jpg:0894-2266</t>
  </si>
  <si>
    <t>KX16-MIDOC03_CODEND3_004.jpg:0574-1494</t>
  </si>
  <si>
    <t>KX16-MIDOC03_CODEND3_004.jpg:0744-2659</t>
  </si>
  <si>
    <t>KX16-MIDOC03_CODEND3_004.jpg:1464-1271</t>
  </si>
  <si>
    <t>KX16-MIDOC03_CODEND3_004.jpg:1157-1042</t>
  </si>
  <si>
    <t>KX16-MIDOC03_CODEND3_004.jpg:1059-0885</t>
  </si>
  <si>
    <t>KX16-MIDOC03_CODEND3_004.jpg:1901-0913</t>
  </si>
  <si>
    <t>KX16-MIDOC03_CODEND3_007.jpg:1586-2760</t>
  </si>
  <si>
    <t>KX16-MIDOC03_CODEND3_007.jpg:1672-0894</t>
  </si>
  <si>
    <t>KX16-MIDOC03_CODEND3_007.jpg:1681-2063</t>
  </si>
  <si>
    <t>KX16-MIDOC03_CODEND3_007.jpg:1603-2498</t>
  </si>
  <si>
    <t>KX16-MIDOC03_CODEND3_007.jpg:1589-1723</t>
  </si>
  <si>
    <t>KX16-MIDOC03_CODEND3_007.jpg:0531-2765</t>
  </si>
  <si>
    <t>KX16-MIDOC03_CODEND3_007.jpg:0628-1919</t>
  </si>
  <si>
    <t>KX16-MIDOC03_CODEND3_007.jpg:0620-2329</t>
  </si>
  <si>
    <t>KX16-MIDOC03_CODEND3_007.jpg:0629-1583</t>
  </si>
  <si>
    <t>KX16-MIDOC03_CODEND3_007.jpg:0699-0981</t>
  </si>
  <si>
    <t>KX16-MIDOC03_CODEND3_008.jpg</t>
  </si>
  <si>
    <t>KX16-MIDOC03_CODEND4_002.jpg:2108-2209</t>
  </si>
  <si>
    <t>KX16-MIDOC03_CODEND4_002.jpg:1889-1375</t>
  </si>
  <si>
    <t>KX16-MIDOC03_CODEND4_002.jpg:1819-2975</t>
  </si>
  <si>
    <t>KX16-MIDOC03_CODEND4_002.jpg:1637-2842</t>
  </si>
  <si>
    <t>KX16-MIDOC03_CODEND4_002.jpg:1429-2846</t>
  </si>
  <si>
    <t>KX16-MIDOC03_CODEND4_002.jpg:1311-2969</t>
  </si>
  <si>
    <t>KX16-MIDOC03_CODEND4_002.jpg:1168-3010</t>
  </si>
  <si>
    <t>KX16-MIDOC03_CODEND4_002.jpg:0375-2694</t>
  </si>
  <si>
    <t>KX16-+D359:D370MIDOC03_CODEND4_002.jpg:0237-2584</t>
  </si>
  <si>
    <t xml:space="preserve">Electrona </t>
  </si>
  <si>
    <t xml:space="preserve">electrona </t>
  </si>
  <si>
    <t>KX16-MIDOC03_CODEND4_003.jpg:2162-1178</t>
  </si>
  <si>
    <t>KX16-MIDOC03_CODEND4_003.jpg:2168-0596</t>
  </si>
  <si>
    <t>KX16-MIDOC03_CODEND4_003.jpg:2104-1688</t>
  </si>
  <si>
    <t>KX16-MIDOC03_CODEND4_003.jpg:2138-1350</t>
  </si>
  <si>
    <t>KX16-MIDOC03_CODEND4_003.jpg:0840-3562</t>
  </si>
  <si>
    <t>KX16-MIDOC03_CODEND4_003.jpg:0838-1304</t>
  </si>
  <si>
    <t>KX16-MIDOC03_CODEND4_003.jpg:0880-1714</t>
  </si>
  <si>
    <t>KX16-MIDOC03_CODEND4_003.jpg:1104-2620</t>
  </si>
  <si>
    <t>KX16-MIDOC03_CODEND4_003.jpg:0944-2240</t>
  </si>
  <si>
    <t>KX16-MIDOC03_CODEND4_003.jpg:2252-0742</t>
  </si>
  <si>
    <t>KX16-MIDOC03_CODEND4_007.jpg:2154-1900</t>
  </si>
  <si>
    <t>KX16-MIDOC03_CODEND4_007.jpg:0554-2662</t>
  </si>
  <si>
    <t>KX16-MIDOC03_CODEND4_007.jpg:0650-3622</t>
  </si>
  <si>
    <t>KX16-MIDOC03_CODEND4_007.jpg:0498-2832</t>
  </si>
  <si>
    <t>KX16-MIDOC03_CODEND4_007.jpg:0494-2978</t>
  </si>
  <si>
    <t>KX16-MIDOC03_CODEND4_007.jpg:1314-1032</t>
  </si>
  <si>
    <t>KX16-MIDOC03_CODEND4_007.jpg:1280-1710</t>
  </si>
  <si>
    <t>KX16-MIDOC03_CODEND4_007.jpg:1364-2728</t>
  </si>
  <si>
    <t>KX16-MIDOC03_CODEND4_007.jpg:1308-0630</t>
  </si>
  <si>
    <t>KX16-MIDOC03_CODEND4_007.jpg:1364-2498</t>
  </si>
  <si>
    <t>KX16-MIDOC03_CODEND4_009.jpg:1856-3432</t>
  </si>
  <si>
    <t>KX16-MIDOC03_CODEND4_009.jpg:2010-2390</t>
  </si>
  <si>
    <t>KX16-MIDOC03_CODEND4_009.jpg:0606-2612</t>
  </si>
  <si>
    <t>KX16-MIDOC03_CODEND4_009.jpg:0678-1514</t>
  </si>
  <si>
    <t>KX16-MIDOC03_CODEND4_009.jpg:0578-2252</t>
  </si>
  <si>
    <t>KX16-MIDOC03_CODEND4_010.jpg</t>
  </si>
  <si>
    <t>KX16-MIDOC03_CODEND4_012.jpg:2602-1568</t>
  </si>
  <si>
    <t>KX16-MIDOC03_CODEND4_012.jpg:1428-2526</t>
  </si>
  <si>
    <t>KX16-MIDOC03_CODEND4_012.jpg:0524-1698</t>
  </si>
  <si>
    <t>KX16-MIDOC03_CODEND4_012.jpg:0504-2630</t>
  </si>
  <si>
    <t>KX16-MIDOC03_CODEND4_012.jpg:1668-1574</t>
  </si>
  <si>
    <t>KX16-MIDOC03_CODEND4_014.jpg</t>
  </si>
  <si>
    <t>KX16-MIDOC03_CODEND4_014.jpg:1156-2332</t>
  </si>
  <si>
    <t>KX16-MIDOC03_CODEND4_014.jpg:1082-2762</t>
  </si>
  <si>
    <t>KX16-MIDOC03_CODEND4_014.jpg:1066-3320</t>
  </si>
  <si>
    <t>KX16-MIDOC03_CODEND4_014.jpg:0932-3598</t>
  </si>
  <si>
    <t>KX16-MIDOC03_CODEND4_014.jpg:0982-1652</t>
  </si>
  <si>
    <t>KX16-MIDOC03_CODEND4_014.jpg:0986-1016</t>
  </si>
  <si>
    <t>KX16-MIDOC03_CODEND4_014.jpg:0806-2092</t>
  </si>
  <si>
    <t>KX16-MIDOC03_CODEND4_014.jpg:1068-0564</t>
  </si>
  <si>
    <t>KX16-MIDOC03_CODEND4_014.jpg:1068-0458</t>
  </si>
  <si>
    <t>KX16-MIDOC03_CODEND4_016.jpg:0364-3578</t>
  </si>
  <si>
    <t>KX16-MIDOC03_CODEND4_016.jpg:2276-1478</t>
  </si>
  <si>
    <t>KX16-MIDOC03_CODEND4_016.jpg:1494-1000</t>
  </si>
  <si>
    <t>KX16-MIDOC03_CODEND4_016.jpg:1070-3614</t>
  </si>
  <si>
    <t>KX16-MIDOC03_CODEND4_016.jpg:1156-2834</t>
  </si>
  <si>
    <t>KX16-MIDOC03_CODEND4_016.jpg:1670-2154</t>
  </si>
  <si>
    <t>KX16-MIDOC03_CODEND4_016.jpg:1134-0980</t>
  </si>
  <si>
    <t>KX16-MIDOC03_CODEND4_016.jpg:1710-3562</t>
  </si>
  <si>
    <t>KX16-MIDOC03_CODEND4_016.jpg:0528-0928</t>
  </si>
  <si>
    <t>KX16-MIDOC03_CODEND4_016.jpg:2502-3646</t>
  </si>
  <si>
    <t>KX16-MIDOC03_CODEND4_022.jpg:1154-2322</t>
  </si>
  <si>
    <t>KX16-MIDOC03_CODEND4_022.jpg:0900-1604</t>
  </si>
  <si>
    <t>KX16-MIDOC03_CODEND4_022.jpg:1040-0898</t>
  </si>
  <si>
    <t>KX16-MIDOC03_CODEND4_022.jpg:1136-2758</t>
  </si>
  <si>
    <t>KX16-MIDOC03_CODEND4_022.jpg:0940-1228</t>
  </si>
  <si>
    <t>KX16-MIDOC03_CODEND4_022.jpg:2078-0468</t>
  </si>
  <si>
    <t>KX16-MIDOC03_CODEND4_022.jpg:2330-1668</t>
  </si>
  <si>
    <t>KX16-MIDOC03_CODEND4_022.jpg:2230-1128</t>
  </si>
  <si>
    <t>KX16-MIDOC03_CODEND4_022.jpg:2372-2394</t>
  </si>
  <si>
    <t>KX16-MIDOC03_CODEND4_022.jpg:2396-2702</t>
  </si>
  <si>
    <t>KX16-MIDOC03_CODEND4_022.jpg:2378-2972</t>
  </si>
  <si>
    <t>KX16-MIDOC03_CODEND4_022.jpg:2406-3128</t>
  </si>
  <si>
    <t>KX16-MIDOC03_CODEND4_022.jpg:2498-3490</t>
  </si>
  <si>
    <t>KX16-MIDOC03_CODEND4_022.jpg:2028-3558</t>
  </si>
  <si>
    <t>KX16-MIDOC03_CODEND4_024.jpg:1484-0844</t>
  </si>
  <si>
    <t>KX16-MIDOC03_CODEND4_024.jpg:1606-0542</t>
  </si>
  <si>
    <t>KX16-MIDOC03_CODEND4_024.jpg:1060-3670</t>
  </si>
  <si>
    <t>KX16-MIDOC03_CODEND4_024.jpg:0902-2178</t>
  </si>
  <si>
    <t>KX16-MIDOC03_CODEND4_024.jpg:0914-2008</t>
  </si>
  <si>
    <t>KX16-MIDOC03_CODEND4_024.jpg:0892-1736</t>
  </si>
  <si>
    <t>KX16-MIDOC03_CODEND4_024.jpg:1054-2770</t>
  </si>
  <si>
    <t>KX16-MIDOC03_CODEND4_029.jpg:0800-3490</t>
  </si>
  <si>
    <t>KX16-MIDOC03_CODEND4_029.jpg:0734-3776</t>
  </si>
  <si>
    <t>KX16-MIDOC03_CODEND4_029.jpg:0798-3244</t>
  </si>
  <si>
    <t>KX16-MIDOC03_CODEND4_029.jpg:0630-3002</t>
  </si>
  <si>
    <t>KX16-MIDOC03_CODEND4_029.jpg:0516-2794</t>
  </si>
  <si>
    <t>KX16-MIDOC03_CODEND4_029.jpg:0598-1250</t>
  </si>
  <si>
    <t>KX16-MIDOC03_CODEND4_029.jpg:0598-1998</t>
  </si>
  <si>
    <t>KX16-MIDOC03_CODEND4_029.jpg:2008-2024</t>
  </si>
  <si>
    <t>KX16-MIDOC03_CODEND4_029.jpg:1936-3368</t>
  </si>
  <si>
    <t>KX16-MIDOC03_CODEND4_029.jpg:1978-3002</t>
  </si>
  <si>
    <t>KX16-MIDOC03_CODEND4_029.jpg:2026-2862</t>
  </si>
  <si>
    <t>KX16-MIDOC03_CODEND4_029.jpg:2038-2672</t>
  </si>
  <si>
    <t>KX16-MIDOC03_CODEND4_029.jpg:1998-2522</t>
  </si>
  <si>
    <t>KX16-MIDOC03_CODEND4_029.jpg:2018-2346</t>
  </si>
  <si>
    <t>KX16-MIDOC03_CODEND4_029.jpg:1986-2286</t>
  </si>
  <si>
    <t>Alluroteuthis antarcticus; Slosarczykovia circumantarctica</t>
  </si>
  <si>
    <t>KX16-MIDOC03_CODEND6_006.jpg</t>
  </si>
  <si>
    <t>unidentified squid</t>
  </si>
  <si>
    <t>KX16-MIDOC03_CODEND6_006.jpg:2292-2060</t>
  </si>
  <si>
    <t>KX16-MIDOC04_004.jpg:1606-0736</t>
  </si>
  <si>
    <t>KX16-MIDOC04_004.jpg:1668-3340</t>
  </si>
  <si>
    <t>KX16-MIDOC04_004.jpg:1728-2780</t>
  </si>
  <si>
    <t>KX16-MIDOC04_004.jpg:1564-1778</t>
  </si>
  <si>
    <t>KX16-MIDOC04_004.jpg:0524-3208</t>
  </si>
  <si>
    <t>KX16-MIDOC04_006.jpg:2072-3430</t>
  </si>
  <si>
    <t>KX16-MIDOC04_006.jpg:2122-2422</t>
  </si>
  <si>
    <t>KX16-MIDOC04_006.jpg:2058-1752</t>
  </si>
  <si>
    <t>KX16-MIDOC04_006.jpg:2042-1206</t>
  </si>
  <si>
    <t>KX16-MIDOC04_006.jpg:2070-0914</t>
  </si>
  <si>
    <t>KX16-MIDOC04_006.jpg:0644-2562</t>
  </si>
  <si>
    <t>KX16-MIDOC04_006.jpg:0722-2368</t>
  </si>
  <si>
    <t>KX16-MIDOC04_006.jpg:0828-2836</t>
  </si>
  <si>
    <t>KX16-MIDOC04_006.jpg:0812-1886</t>
  </si>
  <si>
    <t>KX16-MIDOC04_006.jpg:0822-1336</t>
  </si>
  <si>
    <t>KX16-MIDOC04_006.jpg:0824-0670</t>
  </si>
  <si>
    <t>KX16-MIDOC04_006.jpg:0782-2110</t>
  </si>
  <si>
    <t>KX16-MIDOC04_006.jpg:0778-1536</t>
  </si>
  <si>
    <t>KX16-MIDOC04_008.jpg:1156-3652</t>
  </si>
  <si>
    <t>KX16-MIDOC04_008.jpg:1154-3382</t>
  </si>
  <si>
    <t>KX16-MIDOC04_008.jpg:1122-3176</t>
  </si>
  <si>
    <t>KX16-MIDOC04_008.jpg:1892-1406</t>
  </si>
  <si>
    <t>KX16-MIDOC04_008.jpg:2266-2048</t>
  </si>
  <si>
    <t>KX16-MIDOC04_008.jpg:2322-2582</t>
  </si>
  <si>
    <t>KX16-MIDOC04_008.jpg:0880-1774</t>
  </si>
  <si>
    <t>KX16-MIDOC04_008.jpg:0864-1330</t>
  </si>
  <si>
    <t>KX16-MIDOC04_008.jpg:0944-2816</t>
  </si>
  <si>
    <t>KX16-MIDOC04_008.jpg:1046-2498</t>
  </si>
  <si>
    <t>KX16-MIDOC04_008.jpg:1620-0920</t>
  </si>
  <si>
    <t>KX16-MIDOC04_010.jpg:1916-2256</t>
  </si>
  <si>
    <t>KX16-MIDOC04_010.jpg:1448-2340</t>
  </si>
  <si>
    <t>KX16-MIDOC04_010.jpg:1050-2416</t>
  </si>
  <si>
    <t>KX16-MIDOC04_010.jpg:0664-2162</t>
  </si>
  <si>
    <t>KX16-MIDOC04_013.jpg:0672-3326</t>
  </si>
  <si>
    <t>KX16-MIDOC04_013.jpg:0626-3792</t>
  </si>
  <si>
    <t>KX16-MIDOC04_013.jpg:0614-2464</t>
  </si>
  <si>
    <t>KX16-MIDOC04_013.jpg:0600-1638</t>
  </si>
  <si>
    <t>KX16-MIDOC04_013.jpg:0718-1434</t>
  </si>
  <si>
    <t>KX16-MIDOC04_013.jpg:1430-2202</t>
  </si>
  <si>
    <t>KX16-MIDOC04_013.jpg:1506-1128</t>
  </si>
  <si>
    <t>KX16-MIDOC04_013.jpg:2316-2382</t>
  </si>
  <si>
    <t>KX16-MIDOC04_013.jpg:2264-1020</t>
  </si>
  <si>
    <t>KX16-MIDOC04_013.jpg:1952-1012</t>
  </si>
  <si>
    <t>KX16-MIDOC04_016.jpg</t>
  </si>
  <si>
    <t>KX16-MIDOC04_016.jpg:2430-2317</t>
  </si>
  <si>
    <t>KX16-MIDOC04_016.jpg:2017-2349</t>
  </si>
  <si>
    <t>KX16-MIDOC04_016.jpg:1706-2165</t>
  </si>
  <si>
    <t>KX16-MIDOC04_016.jpg:0818-2669</t>
  </si>
  <si>
    <t>KX16-MIDOC04_016.jpg:0568-2494</t>
  </si>
  <si>
    <t>KX16-MIDOC04_016.jpg:1155-3756</t>
  </si>
  <si>
    <t xml:space="preserve">Mesonychoteuthis hamiltoni </t>
  </si>
  <si>
    <t>Psychroteuthis glacialis or Galiteuthis glacialis</t>
  </si>
  <si>
    <t>KX16-MIDOC04_016.jpg:1021-0956</t>
  </si>
  <si>
    <t>KX16-MIDOC04_016.jpg:0992-1135</t>
  </si>
  <si>
    <t>KX16-MIDOC04_016.jpg:2185-0676</t>
  </si>
  <si>
    <t>KX16-MIDOC04_016.jpg:1368-2753</t>
  </si>
  <si>
    <t>KX16-MIDOC04_016.jpg:1172-2821</t>
  </si>
  <si>
    <t>KX16-MIDOC04_016.jpg:0891-1388</t>
  </si>
  <si>
    <t>KX16-MIDOC04_016.jpg:1026-1718</t>
  </si>
  <si>
    <t>KX16-MIDOC04_016.jpg:0987-1773</t>
  </si>
  <si>
    <t>KX16-MIDOC04_020.jpg:1636-0532</t>
  </si>
  <si>
    <t>KX16-MIDOC04_020.jpg:1568-2246</t>
  </si>
  <si>
    <t>KX16-MIDOC04_022.jpg:0736-1266</t>
  </si>
  <si>
    <t>KX16-MIDOC04_022.jpg:1896-3168</t>
  </si>
  <si>
    <t>KX16-MIDOC04_023.jpg:1782-3112</t>
  </si>
  <si>
    <t>KX16-MIDOC04_023.jpg:1766-1664</t>
  </si>
  <si>
    <t>KX16-MIDOC04_023.jpg:1650-0842</t>
  </si>
  <si>
    <t>KX16-MIDOC04_023.jpg:0554-1940</t>
  </si>
  <si>
    <t>KX16-MIDOC04_023.jpg:0470-0706</t>
  </si>
  <si>
    <t>KX16-MIDOC04_024.jpg:1874-1238</t>
  </si>
  <si>
    <t>KX16-MIDOC04_024.jpg:2016-0638</t>
  </si>
  <si>
    <t>KX16-MIDOC04_024.jpg:2040-2220</t>
  </si>
  <si>
    <t>KX16-MIDOC04_025.jpg:1324-0562</t>
  </si>
  <si>
    <t>KX16-MIDOC04_025.jpg:1320-0820</t>
  </si>
  <si>
    <t>KX16-MIDOC04_025.jpg:1386-1046</t>
  </si>
  <si>
    <t>KX16-MIDOC04_025.jpg:1548-1242</t>
  </si>
  <si>
    <t>KX16-MIDOC04_025.jpg:1354-3570</t>
  </si>
  <si>
    <t>KX16-MIDOC04_025.jpg:0354-2240</t>
  </si>
  <si>
    <t>KX16-MIDOC04_025.jpg:1994-2884</t>
  </si>
  <si>
    <t>KX16-MIDOC04_025.jpg:1978-2600</t>
  </si>
  <si>
    <t>KX16-MIDOC04_025.jpg:1976-2358</t>
  </si>
  <si>
    <t>KX16-MIDOC04_025.jpg:2112-2136</t>
  </si>
  <si>
    <t>KX16-MIDOC04_025.jpg:2020-1966</t>
  </si>
  <si>
    <t>KX16-MIDOC04_028.jpg:0892-3769</t>
  </si>
  <si>
    <t>KX16-MIDOC04_028.jpg:0943-2968</t>
  </si>
  <si>
    <t>KX16-MIDOC04_028.jpg:1007-0986</t>
  </si>
  <si>
    <t>KX16-MIDOC04_028.jpg:1029-2302</t>
  </si>
  <si>
    <t>KX16-MIDOC04_028.jpg:1216-1816</t>
  </si>
  <si>
    <t>KX16-MIDOC04_032.jpg:1414-2624</t>
  </si>
  <si>
    <t>KX16-MIDOC04_032.jpg:0892-0820</t>
  </si>
  <si>
    <t>KX16-MIDOC04_033.jpg:0702-3136</t>
  </si>
  <si>
    <t>KX16-MIDOC04_033.jpg:0845-2821</t>
  </si>
  <si>
    <t>KX16-MIDOC04_033.jpg:0785-2403</t>
  </si>
  <si>
    <t>KX16-MIDOC04_033.jpg:0779-2093</t>
  </si>
  <si>
    <t>KX16-MIDOC04_033.jpg:0917-3441</t>
  </si>
  <si>
    <t>KX16-MIDOC04_033.jpg:0476-1573</t>
  </si>
  <si>
    <t>KX16-MIDOC04_033.jpg:0506-1145</t>
  </si>
  <si>
    <t>KX16-MIDOC04_033.jpg:0467-1356</t>
  </si>
  <si>
    <t>KX16-MIDOC04_033.jpg:0640-0790</t>
  </si>
  <si>
    <t>KX16-MIDOC04_033.jpg:0554-0561</t>
  </si>
  <si>
    <t>KX16-MIDOC04_033.jpg:2114-2559</t>
  </si>
  <si>
    <t>KX16-MIDOC04_033.jpg:2077-2333</t>
  </si>
  <si>
    <t>KX16-MIDOC04_033.jpg:2115-2156</t>
  </si>
  <si>
    <t>KX16-MIDOC04_033.jpg:2149-1981</t>
  </si>
  <si>
    <t>KX16-MIDOC04_033.jpg:2033-1625</t>
  </si>
  <si>
    <t>KX16-MIDOC04_033.jpg:2048-1441</t>
  </si>
  <si>
    <t>KX16-MIDOC04_033.jpg:2058-1255</t>
  </si>
  <si>
    <t>KX16-MIDOC04_033.jpg:2087-1136</t>
  </si>
  <si>
    <t>KX16-MIDOC04_033.jpg:2074-0955</t>
  </si>
  <si>
    <t>KX16-MIDOC04_039.jpg:1246-0708</t>
  </si>
  <si>
    <t>KX16-MIDOC04_039.jpg:0785-1057</t>
  </si>
  <si>
    <t>KX16-MIDOC04_039.jpg:0652-0828</t>
  </si>
  <si>
    <t>KX16-MIDOC04_039.jpg:0847-1354</t>
  </si>
  <si>
    <t>KX16-MIDOC04_039.jpg:1194-3690</t>
  </si>
  <si>
    <t>KX16-MIDOC04_039.jpg:1515-3167</t>
  </si>
  <si>
    <t>KX16-MIDOC04_039.jpg:0567-2440</t>
  </si>
  <si>
    <t>KX16-MIDOC04_039.jpg:1239-3479</t>
  </si>
  <si>
    <t>KX16-MIDOC04_039.jpg:2229-2513</t>
  </si>
  <si>
    <t>KX16-MIDOC04_039.jpg:1951-2595</t>
  </si>
  <si>
    <t>KX16-MIDOC04_039.jpg:1532-2623</t>
  </si>
  <si>
    <t>Slosarczykovia circumantarctica</t>
  </si>
  <si>
    <t>KX16-MIDOC04_039.jpg:1950-3730</t>
  </si>
  <si>
    <t>KX16-MIDOC04_039.jpg:2063-1029</t>
  </si>
  <si>
    <t>KX16-MIDOC04_039.jpg:2071-0846</t>
  </si>
  <si>
    <t>KX16-MIDOC04_039.jpg:2087-0616</t>
  </si>
  <si>
    <t>KX16-MIDOC04_040.jpg:0720-2239</t>
  </si>
  <si>
    <t>KX16-MIDOC04_040.jpg:0742-3775</t>
  </si>
  <si>
    <t>KX16-MIDOC04_040.jpg:0748-3080</t>
  </si>
  <si>
    <t>KX16-MIDOC04_040.jpg:0622-1249</t>
  </si>
  <si>
    <t>KX16-MIDOC04_040.jpg:0571-0638</t>
  </si>
  <si>
    <t>KX16-MIDOC04_040.jpg:1989-0701</t>
  </si>
  <si>
    <t>KX16-MIDOC04_041.jpg:0989-3680</t>
  </si>
  <si>
    <t>KX16-MIDOC04_041.jpg:1032-3411</t>
  </si>
  <si>
    <t>KX16-MIDOC04_041.jpg:1081-3145</t>
  </si>
  <si>
    <t>KX16-MIDOC04_041.jpg:1029-2852</t>
  </si>
  <si>
    <t>KX16-MIDOC04_041.jpg:0858-2681</t>
  </si>
  <si>
    <t>KX16-MIDOC04_041.jpg:1840-2147</t>
  </si>
  <si>
    <t>KX16-MIDOC04_041.jpg:1880-2378</t>
  </si>
  <si>
    <t>KX16-MIDOC04_041.jpg:2114-3222</t>
  </si>
  <si>
    <t>KX16-MIDOC04_041.jpg:2097-2849</t>
  </si>
  <si>
    <t>KX16-MIDOC04_041.jpg:1922-2510</t>
  </si>
  <si>
    <t>KX16-MIDOC04_041.jpg:0845-0735</t>
  </si>
  <si>
    <t>KX16-MIDOC04_041.jpg:1644-1058</t>
  </si>
  <si>
    <t>KX16-MIDOC04_041.jpg:1410-0852</t>
  </si>
  <si>
    <t>KX16-MIDOC04_041.jpg:0839-0902</t>
  </si>
  <si>
    <t>KX16-MIDOC04_041.jpg:0742-1359</t>
  </si>
  <si>
    <t>KX16-MIDOC04_041.jpg:0718-2418</t>
  </si>
  <si>
    <t>KX16-MIDOC04_041.jpg:0744-1720</t>
  </si>
  <si>
    <t>KX16-MIDOC04_041.jpg:0645-1906</t>
  </si>
  <si>
    <t>KX16-MIDOC04_041.jpg:1155-2283</t>
  </si>
  <si>
    <t>KX16-MIDOC05_006.jpg:1983-2824</t>
  </si>
  <si>
    <t>KX16-MIDOC05_006.jpg:0785-3473</t>
  </si>
  <si>
    <t>KX16-MIDOC05_006.jpg:0892-3143</t>
  </si>
  <si>
    <t>KX16-MIDOC05_006.jpg:1833-1537</t>
  </si>
  <si>
    <t>KX16-MIDOC05_006.jpg:1851-0812</t>
  </si>
  <si>
    <t>KX16-MIDOC05_002_measured.jpg:1550-0799</t>
  </si>
  <si>
    <t>KX16-MIDOC05_002_measured.jpg:1461-1397</t>
  </si>
  <si>
    <t>KX16-MIDOC05_002_measured.jpg:1360-2574</t>
  </si>
  <si>
    <t>KX16-MIDOC05_002_measured.jpg:1384-3553</t>
  </si>
  <si>
    <t>KX16-MIDOC05_002_measured.jpg:0390-3050</t>
  </si>
  <si>
    <t>KX16-MIDOC05_008.jpg:2330-2254</t>
  </si>
  <si>
    <t>KX16-MIDOC05_008.jpg:1078-3522</t>
  </si>
  <si>
    <t>KX16-MIDOC05_008.jpg:1060-3256</t>
  </si>
  <si>
    <t>KX16-MIDOC05_008.jpg:1078-2996</t>
  </si>
  <si>
    <t>KX16-MIDOC05_008.jpg:1976-2750</t>
  </si>
  <si>
    <t>KX16-MIDOC05_008.jpg:1634-3694</t>
  </si>
  <si>
    <t>KX16-MIDOC05_009.jpg:0815-2807</t>
  </si>
  <si>
    <t>KX16-MIDOC05_009.jpg:0813-2995</t>
  </si>
  <si>
    <t>KX16-MIDOC05_009.jpg:1976-1078</t>
  </si>
  <si>
    <t>KX16-MIDOC05_009.jpg:2176-3219</t>
  </si>
  <si>
    <t>KX16-MIDOC05_009.jpg:2045-2482</t>
  </si>
  <si>
    <t>KX16-MIDOC05_009.jpg:2268-3681</t>
  </si>
  <si>
    <t>KX16-MIDOC05_009.jpg:1036-1409</t>
  </si>
  <si>
    <t>KX16-MIDOC05_010.jpg:2240-1906</t>
  </si>
  <si>
    <t>KX16-MIDOC05_010.jpg</t>
  </si>
  <si>
    <t>KX16-MIDOC05_010.jpg:0986-1276</t>
  </si>
  <si>
    <t>KX16-MIDOC05_011.jpg:1907-2424</t>
  </si>
  <si>
    <t>KX16-MIDOC05_011.jpg:1854-2650</t>
  </si>
  <si>
    <t>KX16-MIDOC05_011.jpg:0672-2754</t>
  </si>
  <si>
    <t>KX16-MIDOC05_011.jpg:0659-2686</t>
  </si>
  <si>
    <t>KX16-MIDOC05_011.jpg:0638-3171</t>
  </si>
  <si>
    <t>KX16-MIDOC05_022.jpg:1106-0964</t>
  </si>
  <si>
    <t>KX16-MIDOC05_022.jpg:1163-1313</t>
  </si>
  <si>
    <t>macrouridae</t>
  </si>
  <si>
    <t>KX16-MIDOC05_022.jpg:1286-3638</t>
  </si>
  <si>
    <t>KX16-MIDOC05_022.jpg:2082-1759</t>
  </si>
  <si>
    <t>KX16-MIDOC05_022.jpg:1197-2679</t>
  </si>
  <si>
    <t>KX16-MIDOC05_022.jpg:1987-3061</t>
  </si>
  <si>
    <t>KX16-MIDOC05_022.jpg:1325-1757</t>
  </si>
  <si>
    <t>KX16-MIDOC05_022.jpg:2079-2690</t>
  </si>
  <si>
    <t>KX16-MIDOC05_022.jpg:1072-0825</t>
  </si>
  <si>
    <t>KX16-MIDOC05_022.jpg:1093-0681</t>
  </si>
  <si>
    <t>KX16-MIDOC05_022.jpg:0685-3509</t>
  </si>
  <si>
    <t>KX16-MIDOC05_022.jpg:1161-3351</t>
  </si>
  <si>
    <t>KX16-MIDOC05_027.jpg:2027-0913</t>
  </si>
  <si>
    <t>KX16-MIDOC05_027.jpg:2158-1623</t>
  </si>
  <si>
    <t>KX16-MIDOC05_027.jpg:1188-1708</t>
  </si>
  <si>
    <t>KX16-MIDOC05_027.jpg:0638-3053</t>
  </si>
  <si>
    <t>KX16-MIDOC05_027.jpg:1133-0559</t>
  </si>
  <si>
    <t>KX16-MIDOC05_033.jpg:0418-2224</t>
  </si>
  <si>
    <t>KX16-MIDOC05_035.jpg:0903-1006</t>
  </si>
  <si>
    <t>KX16-MIDOC05_035.jpg:0787-0721</t>
  </si>
  <si>
    <t>KX16-MIDOC05_035.jpg:0671-0495</t>
  </si>
  <si>
    <t>KX16-MIDOC05_035.jpg:0681-0287</t>
  </si>
  <si>
    <t>KX16-MIDOC05_035.jpg:1385-3610</t>
  </si>
  <si>
    <t>KX16-MIDOC05_035.jpg:1334-3348</t>
  </si>
  <si>
    <t>KX16-MIDOC05_035.jpg:1287-3172</t>
  </si>
  <si>
    <t>KX16-MIDOC05_035.jpg:1353-2940</t>
  </si>
  <si>
    <t>KX16-MIDOC05_035.jpg:1230-2641</t>
  </si>
  <si>
    <t>KX16-MIDOC05_035.jpg:1976-0971</t>
  </si>
  <si>
    <t>KX16-MIDOC05_035.jpg:2130-2372</t>
  </si>
  <si>
    <t>KX16-MIDOC05_035.jpg:2051-0519</t>
  </si>
  <si>
    <t>KX16-MIDOC05_035.jpg:2122-3234</t>
  </si>
  <si>
    <t>KX16-MIDOC05_035.jpg:2145-2815</t>
  </si>
  <si>
    <t>KX16-MIDOC05_035.jpg:0824-1723</t>
  </si>
  <si>
    <t>KX16-MIDOC05_035.jpg:0738-1968</t>
  </si>
  <si>
    <t>KX16-MIDOC05_035.jpg:0793-2118</t>
  </si>
  <si>
    <t>KX16-MIDOC05_035.jpg:0665-2340</t>
  </si>
  <si>
    <t>KX16-MIDOC05_035.jpg:0467-2602</t>
  </si>
  <si>
    <t>KX16-MIDOC05_035.jpg:0552-2800</t>
  </si>
  <si>
    <t>KX16-MIDOC05_035.jpg:0558-3194</t>
  </si>
  <si>
    <t>KX16-MIDOC05_035.jpg:0394-2959</t>
  </si>
  <si>
    <t>KX16-MIDOC05_035.jpg:0588-3631</t>
  </si>
  <si>
    <t>KX16-MIDOC05_036.jpg:0963-0595</t>
  </si>
  <si>
    <t>KX16-MIDOC05_036.jpg:1941-2782</t>
  </si>
  <si>
    <t>KX16-MIDOC05_036.jpg:1972-1656</t>
  </si>
  <si>
    <t>KX16-MIDOC05_036.jpg:1961-0765</t>
  </si>
  <si>
    <t>KX16-MIDOC05_036.jpg:0788-2693</t>
  </si>
  <si>
    <t>KX16-MIDOC05_036.jpg:0825-2223</t>
  </si>
  <si>
    <t>KX16-MIDOC05_038.jpg:0724-1056</t>
  </si>
  <si>
    <t>KX16-MIDOC05_038.jpg:1668-1732</t>
  </si>
  <si>
    <t>KX16-MIDOC05_038.jpg:1666-1106</t>
  </si>
  <si>
    <t>KX16-MIDOC05_038.jpg:1622-0843</t>
  </si>
  <si>
    <t>KX16-MIDOC05_038.jpg:1705-0533</t>
  </si>
  <si>
    <t>KX16-MIDOC05_041.jpg:2008-2149</t>
  </si>
  <si>
    <t>KX16-MIDOC05_041.jpg:1899-1510</t>
  </si>
  <si>
    <t>KX16-MIDOC05_041.jpg:1914-1139</t>
  </si>
  <si>
    <t>KX16-MIDOC05_041.jpg:1875-0845</t>
  </si>
  <si>
    <t>KX16-MIDOC05_041.jpg:1883-0625</t>
  </si>
  <si>
    <t>KX16-MIDOC05_041.jpg:0659-1834</t>
  </si>
  <si>
    <t>KX16-MIDOC05_041.jpg:0634-0494</t>
  </si>
  <si>
    <t>KX16-MIDOC05_041.jpg:0597-0931</t>
  </si>
  <si>
    <t>KX16-MIDOC05_041.jpg:0732-1516</t>
  </si>
  <si>
    <t>KX16-MIDOC05_041.jpg:0631-2123</t>
  </si>
  <si>
    <t>KX16-MIDOC05_041.jpg:2252-2389</t>
  </si>
  <si>
    <t>KX16-MIDOC05_041.jpg:2134-2648</t>
  </si>
  <si>
    <t>KX16-MIDOC05_041.jpg:2234-3011</t>
  </si>
  <si>
    <t>KX16-MIDOC05_041.jpg:2277-3188</t>
  </si>
  <si>
    <t>KX16-MIDOC05_041.jpg:2289-3323</t>
  </si>
  <si>
    <t>KX16-MIDOC05_041.jpg:2279-3492</t>
  </si>
  <si>
    <t>KX16-MIDOC05_046.jpg:1822-1814</t>
  </si>
  <si>
    <t xml:space="preserve">Notolepis </t>
  </si>
  <si>
    <t>KX16-MIDOC05_051.jpg</t>
  </si>
  <si>
    <t>KX16-MIDOC06_006.jpg:1132-2380</t>
  </si>
  <si>
    <t>KX16-MIDOC06_006.jpg:1034-3600</t>
  </si>
  <si>
    <t>KX16-MIDOC06_006.jpg:1030-2766</t>
  </si>
  <si>
    <t>KX16-MIDOC06_006.jpg:1982-3086</t>
  </si>
  <si>
    <t>KX16-MIDOC06_006.jpg:2124-1768</t>
  </si>
  <si>
    <t>KX16-MIDOC06_008.jpg:2295-1971</t>
  </si>
  <si>
    <t>KX16-MIDOC06_008.jpg:2050-2036</t>
  </si>
  <si>
    <t>KX16-MIDOC06_008.jpg:1729-2286</t>
  </si>
  <si>
    <t>KX16-MIDOC06_008.jpg:0883-2645</t>
  </si>
  <si>
    <t>KX16-MIDOC06_008.jpg:1240-0867</t>
  </si>
  <si>
    <t>KX16-MIDOC06_008.jpg:0711-3076</t>
  </si>
  <si>
    <t>KX16-MIDOC06_008.jpg:0698-3504</t>
  </si>
  <si>
    <t>KX16-MIDOC06_008.jpg:1583-3557</t>
  </si>
  <si>
    <t>KX16-MIDOC06_008.jpg:1789-3384</t>
  </si>
  <si>
    <t>KX16-MIDOC06_008.jpg:1671-3270</t>
  </si>
  <si>
    <t>gymnoscopelus sp</t>
  </si>
  <si>
    <t>KX16-MIDOC06_012.jpg:0531-1414</t>
  </si>
  <si>
    <t>KX16-MIDOC06_012.jpg:1277-1168</t>
  </si>
  <si>
    <t>KX16-MIDOC06_012.jpg:0571-2807</t>
  </si>
  <si>
    <t>KX16-MIDOC06_012.jpg:1203-1796</t>
  </si>
  <si>
    <t>KX16-MIDOC06_012.jpg:0500-0987</t>
  </si>
  <si>
    <t>KX16-MIDOC06_012.jpg:1684-2550</t>
  </si>
  <si>
    <t>KX16-MIDOC06_012.jpg:1729-2843</t>
  </si>
  <si>
    <t>KX16-MIDOC06_012.jpg:1751-3127</t>
  </si>
  <si>
    <t>KX16-MIDOC06_012.jpg:1610-3344</t>
  </si>
  <si>
    <t>KX16-MIDOC06_012.jpg:1561-3616</t>
  </si>
  <si>
    <t>KX16-MIDOC06_015.jpg:0595-1547</t>
  </si>
  <si>
    <t>KX16-MIDOC06_015.jpg</t>
  </si>
  <si>
    <t>KX16-MIDOC06_021.jpg:1536-2594</t>
  </si>
  <si>
    <t>Oneirodid</t>
  </si>
  <si>
    <t>KX16-MIDOC06_023.jpg:0816-0494</t>
  </si>
  <si>
    <t>KX16-MIDOC06_023.jpg:0888-0714</t>
  </si>
  <si>
    <t>KX16-MIDOC06_023.jpg:0888-0923</t>
  </si>
  <si>
    <t>KX16-MIDOC06_023.jpg:0800-1161</t>
  </si>
  <si>
    <t>KX16-MIDOC06_023.jpg:0860-1368</t>
  </si>
  <si>
    <t>KX16-MIDOC06_023.jpg:1961-3785</t>
  </si>
  <si>
    <t>KX16-MIDOC06_023.jpg:2107-2860</t>
  </si>
  <si>
    <t>KX16-MIDOC06_023.jpg:2109-1409</t>
  </si>
  <si>
    <t>KX16-MIDOC06_023.jpg:2173-1916</t>
  </si>
  <si>
    <t>KX16-MIDOC06_023.jpg:0707-3984</t>
  </si>
  <si>
    <t>KX16-MIDOC06_023.jpg:0794-2868</t>
  </si>
  <si>
    <t>KX16-MIDOC06_023.jpg:0797-2305</t>
  </si>
  <si>
    <t>KX16-MIDOC06_023.jpg:0473-2170</t>
  </si>
  <si>
    <t>KX16-MIDOC06_023.jpg:0888-2489</t>
  </si>
  <si>
    <t>KX16-MIDOC06_023.jpg:0943-1969</t>
  </si>
  <si>
    <t>KX16-MIDOC06_023.jpg:0797-1785</t>
  </si>
  <si>
    <t>KX16-MIDOC06_024.jpg:0601-1394</t>
  </si>
  <si>
    <t>KX16-MIDOC06_024.jpg:0657-2032</t>
  </si>
  <si>
    <t>KX16-MIDOC06_024.jpg:0702-3226</t>
  </si>
  <si>
    <t>KX16-MIDOC06_024.jpg:2017-1329</t>
  </si>
  <si>
    <t>KX16-MIDOC06_024.jpg:0558-0597</t>
  </si>
  <si>
    <t>KX16-MIDOC06_024.jpg:2059-3969</t>
  </si>
  <si>
    <t>KX16-MIDOC06_024.jpg:2079-2024</t>
  </si>
  <si>
    <t>KX16-MIDOC06_024.jpg:2057-2910</t>
  </si>
  <si>
    <t>MIDOC06_CE3_30</t>
  </si>
  <si>
    <t>KX16-MIDOC06_024.jpg:2075-3198</t>
  </si>
  <si>
    <t>KX16-MIDOC06_024.jpg:2064-2454</t>
  </si>
  <si>
    <t>KX16-MIDOC06_025.jpg:1895-0635</t>
  </si>
  <si>
    <t>KX16-MIDOC06_025.jpg:1883-1081</t>
  </si>
  <si>
    <t>KX16-MIDOC06_025.jpg:0649-1513</t>
  </si>
  <si>
    <t>KX16-MIDOC06_025.jpg:0702-3022</t>
  </si>
  <si>
    <t>KX16-MIDOC06_025.jpg:2085-2189</t>
  </si>
  <si>
    <t>KX16-MIDOC06_027.jpg:2555-1164</t>
  </si>
  <si>
    <t>KX16-MIDOC06_027.jpg:1206-2512</t>
  </si>
  <si>
    <t>KX16-MIDOC06_027.jpg</t>
  </si>
  <si>
    <t>Magnisudis</t>
  </si>
  <si>
    <t>KX16-MIDOC06_029.jpg:2274-1173</t>
  </si>
  <si>
    <t>KX16-MIDOC06_029.jpg:2310-2175</t>
  </si>
  <si>
    <t>KX16-MIDOC06_029.jpg:1014-3521</t>
  </si>
  <si>
    <t>KX16-MIDOC06_031.jpg:2131-0714</t>
  </si>
  <si>
    <t>KX16-MIDOC06_031.jpg:0812-2490</t>
  </si>
  <si>
    <t>KX16-MIDOC06_034.jpg:1074-3131</t>
  </si>
  <si>
    <t>KX16-MIDOC06_034.jpg:2127-1553</t>
  </si>
  <si>
    <t>KX16-MIDOC06_034.jpg:0987-1424</t>
  </si>
  <si>
    <t>KX16-MIDOC06_034.jpg:0883-1938</t>
  </si>
  <si>
    <t>KX16-MIDOC06_034.jpg:0980-0858</t>
  </si>
  <si>
    <t>KX16-MIDOC06_034.jpg:2171-2590</t>
  </si>
  <si>
    <t>KX16-MIDOC06_034.jpg:2238-2748</t>
  </si>
  <si>
    <t>KX16-MIDOC06_034.jpg:2287-2911</t>
  </si>
  <si>
    <t>KX16-MIDOC06_034.jpg:2293-3366</t>
  </si>
  <si>
    <t>KX16-MIDOC06_034.jpg:2384-3565</t>
  </si>
  <si>
    <t>KX16-MIDOC06_036.jpg:2336-3403</t>
  </si>
  <si>
    <t>KX16-MIDOC06_036.jpg:2213-3619</t>
  </si>
  <si>
    <t>KX16-MIDOC06_036.jpg:1069-3271</t>
  </si>
  <si>
    <t>KX16-MIDOC06_036.jpg:1099-3684</t>
  </si>
  <si>
    <t>KX16-MIDOC06_036.jpg:2291-1735</t>
  </si>
  <si>
    <t>KX16-MIDOC06_036.jpg:2262-0889</t>
  </si>
  <si>
    <t>KX16-MIDOC06_036.jpg:2256-2616</t>
  </si>
  <si>
    <t>KX16-MIDOC06_036.jpg:1087-2099</t>
  </si>
  <si>
    <t>KX16-MIDOC06_036.jpg:1037-0983</t>
  </si>
  <si>
    <t>KX16-MIDOC06_036.jpg:0770-0554</t>
  </si>
  <si>
    <t>KX16-MIDOC06_036.jpg:1044-0978</t>
  </si>
  <si>
    <t>KX16-MIDOC06_036.jpg:0952-0846</t>
  </si>
  <si>
    <t>KX16-MIDOC06_039.jpg:0920-2783</t>
  </si>
  <si>
    <t>KX16-MIDOC06_039.jpg:2272-2502</t>
  </si>
  <si>
    <t>KX16-MIDOC06_039.jpg:2279-1219</t>
  </si>
  <si>
    <t>KX16-MIDOC06_039.jpg:2008-0871</t>
  </si>
  <si>
    <t>KX16-MIDOC06_039.jpg:0845-3165</t>
  </si>
  <si>
    <t>KX16-MIDOC06_038.jpg:1232-0922</t>
  </si>
  <si>
    <t>KX16-MIDOC06_038.jpg:1267-1124</t>
  </si>
  <si>
    <t>KX16-MIDOC06_038.jpg:2275-0496</t>
  </si>
  <si>
    <t>KX16-MIDOC06_038.jpg:1139-0707</t>
  </si>
  <si>
    <t>KX16-MIDOC06_041.jpg:0965-3544</t>
  </si>
  <si>
    <t>KX16-MIDOC06_041.jpg:2258-1396</t>
  </si>
  <si>
    <t>KX16-MIDOC06_041.jpg:1409-2647</t>
  </si>
  <si>
    <t>KX16-MIDOC06_041.jpg:1454-3552</t>
  </si>
  <si>
    <t>KX16-MIDOC06_041.jpg:1178-2936</t>
  </si>
  <si>
    <t>KX16-MIDOC06_041.jpg:0631-3026</t>
  </si>
  <si>
    <t>KX16-MIDOC06_043.jpg:0903-1357</t>
  </si>
  <si>
    <t>KX16-MIDOC06_043.jpg:0901-1026</t>
  </si>
  <si>
    <t>KX16-MIDOC06_043.jpg:0909-0698</t>
  </si>
  <si>
    <t>KX16-MIDOC06_043.jpg:0904-0454</t>
  </si>
  <si>
    <t>KX16-MIDOC06_043.jpg:0766-1678</t>
  </si>
  <si>
    <t>KX16-MIDOC06_043.jpg:0837-1787</t>
  </si>
  <si>
    <t>KX16-MIDOC06_043.jpg:0885-2765</t>
  </si>
  <si>
    <t>KX16-MIDOC06_043.jpg:2142-1071</t>
  </si>
  <si>
    <t>KX16-MIDOC06_043.jpg:2298-2452</t>
  </si>
  <si>
    <t>KX16-MIDOC06_045.jpg:0943-0681</t>
  </si>
  <si>
    <t>KX16-MIDOC06_045.jpg:1041-0958</t>
  </si>
  <si>
    <t>KX16-MIDOC06_045.jpg:1023-1240</t>
  </si>
  <si>
    <t>KX16-MIDOC06_045.jpg:2537-1935</t>
  </si>
  <si>
    <t>KX16-MIDOC06_045.jpg:2038-2671</t>
  </si>
  <si>
    <t>KX16-MIDOC06_045.jpg:1666-2678</t>
  </si>
  <si>
    <t>KX16-MIDOC06_045.jpg:1800-1539</t>
  </si>
  <si>
    <t>KX16-MIDOC06_045.jpg:1810-1331</t>
  </si>
  <si>
    <t>KX16-MIDOC06_045.jpg:1738-1075</t>
  </si>
  <si>
    <t>KX16-MIDOC06_049.jpg:1787-2438</t>
  </si>
  <si>
    <t>KX16-MIDOC06_049.jpg:1766-0687</t>
  </si>
  <si>
    <t>KX16-MIDOC06_049.jpg:1625-0507</t>
  </si>
  <si>
    <t>KX16-MIDOC06_049.jpg:1794-2971</t>
  </si>
  <si>
    <t>KX16-MIDOC06_049.jpg:0588-3638</t>
  </si>
  <si>
    <t>KX16-MIDOC06_049.jpg:0597-2729</t>
  </si>
  <si>
    <t>KX16-MIDOC06_049.jpg:0527-2975</t>
  </si>
  <si>
    <t>KX16-MIDOC06_049.jpg:0567-3303</t>
  </si>
  <si>
    <t>KX16-MIDOC06_049.jpg:0573-3469</t>
  </si>
  <si>
    <t>KX16-MIDOC06_050.jpg:2274-2381</t>
  </si>
  <si>
    <t>KX16-MIDOC06_050.jpg:2299-0990</t>
  </si>
  <si>
    <t>KX16-MIDOC06_050.jpg:0841-2219</t>
  </si>
  <si>
    <t>KX16-MIDOC06_050.jpg:2298-1710</t>
  </si>
  <si>
    <t>KX16-MIDOC06_050.jpg:1506-3494</t>
  </si>
  <si>
    <t>KX16-MIDOC06_050.jpg:0757-0429</t>
  </si>
  <si>
    <t>KX16-MIDOC06_050.jpg:0812-0687</t>
  </si>
  <si>
    <t>KX16-MIDOC06_050.jpg:0719-1247</t>
  </si>
  <si>
    <t>KX16-MIDOC06_050.jpg:0729-1598</t>
  </si>
  <si>
    <t>KX16-MIDOC06_052.jpg:2546-2628</t>
  </si>
  <si>
    <t>alluroteuthis antarcticus</t>
  </si>
  <si>
    <t>KX16-MIDOC06_052.jpg:1032-3152</t>
  </si>
  <si>
    <t xml:space="preserve">Mastigoteuthis psychrophila </t>
  </si>
  <si>
    <t>KX16-MIDOC06_052.jpg</t>
  </si>
  <si>
    <t>KX16-MIDOC06_053.jpg:2540-1969</t>
  </si>
  <si>
    <t>KX16-MIDOC06_053.jpg:1368-1053</t>
  </si>
  <si>
    <t>KX16-MIDOC06_053.jpg:1472-1102</t>
  </si>
  <si>
    <t>KX16-MIDOC06_053.jpg:1571-1082</t>
  </si>
  <si>
    <t>KX16-MIDOC06_053.jpg:1675-1137</t>
  </si>
  <si>
    <t>KX16-MIDOC06_053.jpg:1848-0971</t>
  </si>
  <si>
    <t>KX16-MIDOC07_005.jpg:1859-0834</t>
  </si>
  <si>
    <t>KX16-MIDOC07_005.jpg:0992-3195</t>
  </si>
  <si>
    <t>KX16-MIDOC07_005.jpg:0641-3084</t>
  </si>
  <si>
    <t>KX16-MIDOC07_005.jpg:1330-3079</t>
  </si>
  <si>
    <t>KX16-MIDOC07_005.jpg:0536-1814</t>
  </si>
  <si>
    <t>KX16-MIDOC07_007.jpg:1539-2371</t>
  </si>
  <si>
    <t>KX16-MIDOC07_007.jpg:2304-1485</t>
  </si>
  <si>
    <t>KX16-MIDOC07_007.jpg:2461-2741</t>
  </si>
  <si>
    <t>KX16-MIDOC07_007.jpg:1892-3547</t>
  </si>
  <si>
    <t>KX16-MIDOC07_007.jpg:0910-3727</t>
  </si>
  <si>
    <t>KX16-MIDOC07_007.jpg:0326-1253</t>
  </si>
  <si>
    <t>KX16-MIDOC07_009.jpg:1919-2388</t>
  </si>
  <si>
    <t>KX16-MIDOC07_009.jpg:1427-2347</t>
  </si>
  <si>
    <t>KX16-MIDOC07_009.jpg:2400-3382</t>
  </si>
  <si>
    <t>KX16-MIDOC07_009.jpg:2039-1391</t>
  </si>
  <si>
    <t>KX16-MIDOC07_009.jpg:0800-3375</t>
  </si>
  <si>
    <t>KX16-MIDOC07_011.jpg:1965-1795</t>
  </si>
  <si>
    <t>KX16-MIDOC07_011.jpg:1935-1589</t>
  </si>
  <si>
    <t>KX16-MIDOC07_011.jpg:0775-3118</t>
  </si>
  <si>
    <t>KX16-MIDOC07_011.jpg:0749-2816</t>
  </si>
  <si>
    <t>KX16-MIDOC07_011.jpg:0787-0852</t>
  </si>
  <si>
    <t>KX16-MIDOC07_013.jpg:1286-3439</t>
  </si>
  <si>
    <t>KX16-MIDOC07_013.jpg:1378-3088</t>
  </si>
  <si>
    <t>KX16-MIDOC07_013.jpg:1343-2745</t>
  </si>
  <si>
    <t>KX16-MIDOC07_013.jpg:1301-2538</t>
  </si>
  <si>
    <t>KX16-MIDOC07_013.jpg:1402-2305</t>
  </si>
  <si>
    <t>KX16-MIDOC07_013.jpg:1409-1849</t>
  </si>
  <si>
    <t>KX16-MIDOC07_013.jpg:1396-1577</t>
  </si>
  <si>
    <t>KX16-MIDOC07_013.jpg:1132-1124</t>
  </si>
  <si>
    <t>KX16-MIDOC07_014.jpg:2116-3632</t>
  </si>
  <si>
    <t>KX16-MIDOC07_014.jpg:2086-0958</t>
  </si>
  <si>
    <t>KX16-MIDOC07_014.jpg:0928-0948</t>
  </si>
  <si>
    <t>KX16-MIDOC07_014.jpg:2012-0766</t>
  </si>
  <si>
    <t>KX16-MIDOC07_015.jpg:2120-2804</t>
  </si>
  <si>
    <t>KX16-MIDOC07_018.jpg</t>
  </si>
  <si>
    <t>KX16-MIDOC07_018.jpg:0643-2812</t>
  </si>
  <si>
    <t>KX16-MIDOC07_018.jpg:0788-2473</t>
  </si>
  <si>
    <t>KX16-MIDOC07_018.jpg:0686-2146</t>
  </si>
  <si>
    <t>KX16-MIDOC07_018.jpg:1467-3313</t>
  </si>
  <si>
    <t>KX16-MIDOC07_018.jpg:0634-3476</t>
  </si>
  <si>
    <t>KX16-MIDOC07_018.jpg:0718-3642</t>
  </si>
  <si>
    <t>KX16-MIDOC07_018.jpg:0597-3045</t>
  </si>
  <si>
    <t>KX16-MIDOC07_018.jpg:0689-1700</t>
  </si>
  <si>
    <t>KX16-MIDOC07_018.jpg:0655-0715</t>
  </si>
  <si>
    <t>KX16-MIDOC07_018.jpg:0611-1024</t>
  </si>
  <si>
    <t>KX16-MIDOC07_020.jpg:1198-1970</t>
  </si>
  <si>
    <t>KX16-MIDOC07_020.jpg:1619-3149</t>
  </si>
  <si>
    <t>KX16-MIDOC07_020.jpg:1531-3558</t>
  </si>
  <si>
    <t>KX16-MIDOC07_026.jpg:1976-0674</t>
  </si>
  <si>
    <t>KX16-MIDOC07_026.jpg:2038-1010</t>
  </si>
  <si>
    <t>KX16-MIDOC07_026.jpg:0576-3648</t>
  </si>
  <si>
    <t>KX16-MIDOC07_026.jpg:1346-1752</t>
  </si>
  <si>
    <t>KX16-MIDOC07_026.jpg:1352-3702</t>
  </si>
  <si>
    <t>KX16-MIDOC07_027.jpg:2039-3146</t>
  </si>
  <si>
    <t>KX16-MIDOC07_027.jpg:2041-2966</t>
  </si>
  <si>
    <t>KX16-MIDOC07_027.jpg:2076-2758</t>
  </si>
  <si>
    <t>KX16-MIDOC07_027.jpg:2112-3335</t>
  </si>
  <si>
    <t>KX16-MIDOC07_027.jpg:2002-3556</t>
  </si>
  <si>
    <t>KX16-MIDOC07_027.jpg:1983-2281</t>
  </si>
  <si>
    <t>KX16-MIDOC07_027.jpg:0620-0675</t>
  </si>
  <si>
    <t>KX16-MIDOC07_027.jpg:0491-3354</t>
  </si>
  <si>
    <t>KX16-MIDOC07_027.jpg:0577-1176</t>
  </si>
  <si>
    <t>KX16-MIDOC07_027.jpg:0591-3059</t>
  </si>
  <si>
    <t>KX16-MIDOC07_027.jpg:0603-1947</t>
  </si>
  <si>
    <t>KX16-MIDOC07_033.jpg:2152-0787</t>
  </si>
  <si>
    <t>KX16-MIDOC07_033.jpg:2214-0910</t>
  </si>
  <si>
    <t>KX16-MIDOC07_033.jpg:0932-2981</t>
  </si>
  <si>
    <t>KX16-MIDOC07_033.jpg:0937-2606</t>
  </si>
  <si>
    <t>KX16-MIDOC07_033.jpg:0989-3631</t>
  </si>
  <si>
    <t>KX16-MIDOC07_034.jpg:0494-1521</t>
  </si>
  <si>
    <t>KX16-MIDOC07_034.jpg:1331-1209</t>
  </si>
  <si>
    <t>KX16-MIDOC07_034.jpg:1094-0781</t>
  </si>
  <si>
    <t>KX16-MIDOC07_034.jpg:1276-2414</t>
  </si>
  <si>
    <t>KX16-MIDOC07_034.jpg:0501-3265</t>
  </si>
  <si>
    <t>KX16-MIDOC07_035.jpg:1145-1507</t>
  </si>
  <si>
    <t>KX16-MIDOC07_035.jpg:1114-1873</t>
  </si>
  <si>
    <t>KX16-MIDOC07_035.jpg:1063-3616</t>
  </si>
  <si>
    <t>KX16-MIDOC07_035.jpg:2287-2030</t>
  </si>
  <si>
    <t>KX16-MIDOC07_035.jpg:1064-3283</t>
  </si>
  <si>
    <t>KX16-MIDOC07_035.jpg:2296-1736</t>
  </si>
  <si>
    <t>KX16-MIDOC07_035.jpg:0929-2073</t>
  </si>
  <si>
    <t>KX16-MIDOC07_035.jpg:1409-1127</t>
  </si>
  <si>
    <t>KX16-MIDOC07_035.jpg</t>
  </si>
  <si>
    <t>KX16-MIDOC07_037.jpg:2125-3587</t>
  </si>
  <si>
    <t>KX16-MIDOC07_037.jpg:0621-1376</t>
  </si>
  <si>
    <t>KX16-MIDOC07_037.jpg:2152-0684</t>
  </si>
  <si>
    <t>KX16-MIDOC07_037.jpg:2216-2405</t>
  </si>
  <si>
    <t>KX16-MIDOC07_038.jpg:2366-0858</t>
  </si>
  <si>
    <t>KX16-MIDOC07_042.jpg:1520-3562</t>
  </si>
  <si>
    <t>KX16-MIDOC07_042.jpg:1528-1778</t>
  </si>
  <si>
    <t>KX16-MIDOC07_042.jpg:1524-2647</t>
  </si>
  <si>
    <t>KX16-MIDOC07_042.jpg:1527-2503</t>
  </si>
  <si>
    <t>KX16-MIDOC07_042.jpg:1551-2330</t>
  </si>
  <si>
    <t>KX16-MIDOC07_042.jpg:1567-2164</t>
  </si>
  <si>
    <t>KX16-MIDOC07_042.jpg:2205-0692</t>
  </si>
  <si>
    <t>KX16-MIDOC07_042.jpg:2177-1003</t>
  </si>
  <si>
    <t>KX16-MIDOC07_042.jpg:2195-1293</t>
  </si>
  <si>
    <t>KX16-MIDOC07_042.jpg:2185-1592</t>
  </si>
  <si>
    <t>KX16-MIDOC07_042.jpg:2208-1464</t>
  </si>
  <si>
    <t>KX16-MIDOC07_042.jpg:0645-2852</t>
  </si>
  <si>
    <t>KX16-MIDOC07_042.jpg:0710-2714</t>
  </si>
  <si>
    <t>KX16-MIDOC07_042.jpg:0695-2568</t>
  </si>
  <si>
    <t>KX16-MIDOC07_042.jpg:0684-2387</t>
  </si>
  <si>
    <t>KX16-MIDOC07_042.jpg:0617-2241</t>
  </si>
  <si>
    <t>KX16-MIDOC07_042.jpg:1526-3278</t>
  </si>
  <si>
    <t>KX16-MIDOC07_043.jpg</t>
  </si>
  <si>
    <t>KX16-MIDOC07_045.jpg:1420-1940</t>
  </si>
  <si>
    <t>KX16-MIDOC07_050.jpg:0735-3489</t>
  </si>
  <si>
    <t>KX16-MIDOC07_050.jpg:0795-2577</t>
  </si>
  <si>
    <t>KX16-MIDOC07_050.jpg:2218-2538</t>
  </si>
  <si>
    <t>KX16-MIDOC07_050.jpg:0905-0634</t>
  </si>
  <si>
    <t>KX16-MIDOC07_050.jpg:2164-2106</t>
  </si>
  <si>
    <t>KX16-MIDOC07_052.jpg:0864-2913</t>
  </si>
  <si>
    <t>KX16-MIDOC07_052.jpg:0987-2686</t>
  </si>
  <si>
    <t>KX16-MIDOC07_052.jpg:0816-2371</t>
  </si>
  <si>
    <t>KX16-MIDOC07_052.jpg:0852-2186</t>
  </si>
  <si>
    <t>KX16-MIDOC07_052.jpg:0860-1920</t>
  </si>
  <si>
    <t>KX16-MIDOC07_052.jpg:0854-1650</t>
  </si>
  <si>
    <t>KX16-MIDOC07_052.jpg:0935-1232</t>
  </si>
  <si>
    <t>KX16-MIDOC07_052.jpg:0931-1056</t>
  </si>
  <si>
    <t>KX16-MIDOC07_052.jpg:0929-0882</t>
  </si>
  <si>
    <t>Unidentified fish larvae</t>
  </si>
  <si>
    <t>KX16-MIDOC07_053.jpg</t>
  </si>
  <si>
    <t>psychroteuthis glacialis larvae; galiteuthis glacialis</t>
  </si>
  <si>
    <t>KX16-MIDOC07_047.jpg:0950-1960</t>
  </si>
  <si>
    <t>scopelarchidae</t>
  </si>
  <si>
    <t>KX16-MIDOC07_047.jpg</t>
  </si>
  <si>
    <t>KX16-MIDOC08_002.jpg</t>
  </si>
  <si>
    <t>KX16-MIDOC09_003.jpg:1671-0773</t>
  </si>
  <si>
    <t>KX16-MIDOC09_003.jpg:1733-1084</t>
  </si>
  <si>
    <t>KX16-MIDOC09_003.jpg:2023-3669</t>
  </si>
  <si>
    <t>KX16-MIDOC09_003.jpg:2146-3378</t>
  </si>
  <si>
    <t>KX16-MIDOC09_003.jpg:2120-2781</t>
  </si>
  <si>
    <t>KX16-MIDOC09_003.jpg:2045-2139</t>
  </si>
  <si>
    <t>KX16-MIDOC09_003.jpg:2148-1854</t>
  </si>
  <si>
    <t>KX16-MIDOC09_003.jpg:2138-1614</t>
  </si>
  <si>
    <t>KX16-MIDOC09_003.jpg:2128-1415</t>
  </si>
  <si>
    <t>KX16-MIDOC09_003.jpg:0819-3786</t>
  </si>
  <si>
    <t>KX16-MIDOC09_003.jpg:0708-2687</t>
  </si>
  <si>
    <t>KX16-MIDOC09_003.jpg:0680-1963</t>
  </si>
  <si>
    <t>KX16-MIDOC09_003.jpg:0674-1708</t>
  </si>
  <si>
    <t>KX16-MIDOC09_003.jpg:0644-1269</t>
  </si>
  <si>
    <t>KX16-MIDOC09_005.jpg:2634-1152</t>
  </si>
  <si>
    <t>KX16-MIDOC09_005.jpg:1226-2950</t>
  </si>
  <si>
    <t>KX16-MIDOC09_007.jpg:2249-2625</t>
  </si>
  <si>
    <t>KX16-MIDOC09_007.jpg:0946-3231</t>
  </si>
  <si>
    <t>KX16-MIDOC09_012.jpg:0821-1035</t>
  </si>
  <si>
    <t>KX16-MIDOC09_012.jpg:0837-1180</t>
  </si>
  <si>
    <t>KX16-MIDOC09_012.jpg:0775-0610</t>
  </si>
  <si>
    <t>KX16-MIDOC09_012.jpg:0788-0800</t>
  </si>
  <si>
    <t>KX16-MIDOC09_012.jpg</t>
  </si>
  <si>
    <t>KX16-MIDOC09_012.jpg:0938-2268</t>
  </si>
  <si>
    <t>KX16-MIDOC09_015.jpg:0604-0906</t>
  </si>
  <si>
    <t>KX16-MIDOC09_015.jpg:0612-1112</t>
  </si>
  <si>
    <t>KX16-MIDOC09_015.jpg:0631-1293</t>
  </si>
  <si>
    <t>KX16-MIDOC09_015.jpg:0668-1504</t>
  </si>
  <si>
    <t>KX16-MIDOC09_015.jpg:0650-1677</t>
  </si>
  <si>
    <t>KX16-MIDOC09_015.jpg:1754-1742</t>
  </si>
  <si>
    <t>KX16-MIDOC09_015.jpg:0730-3675</t>
  </si>
  <si>
    <t>KX16-MIDOC09_015.jpg:1946-2354</t>
  </si>
  <si>
    <t>KX16-MIDOC09_015.jpg:1963-1176</t>
  </si>
  <si>
    <t>KX16-MIDOC09_015.jpg:1911-1347</t>
  </si>
  <si>
    <t>KX16-MIDOC09_016.jpg:1953-1679</t>
  </si>
  <si>
    <t>KX16-MIDOC09_016.jpg:1047-0567</t>
  </si>
  <si>
    <t>KX16-MIDOC09_016.jpg:2050-0552</t>
  </si>
  <si>
    <t>KX16-MIDOC09_016.jpg:1960-0729</t>
  </si>
  <si>
    <t>KX16-MIDOC09_016.jpg:0905-1204</t>
  </si>
  <si>
    <t>KX16-MIDOC09_019.jpg:0910-1149</t>
  </si>
  <si>
    <t>KX16-MIDOC09_019.jpg:2145-2660</t>
  </si>
  <si>
    <t>KX16-MIDOC09_019.jpg:2122-2491</t>
  </si>
  <si>
    <t>KX16-MIDOC09_019.jpg:0888-0851</t>
  </si>
  <si>
    <t>KX16-MIDOC09_020.jpg:1613-1656</t>
  </si>
  <si>
    <t>Paralepididae larvae</t>
  </si>
  <si>
    <t>KX16-MIDOC09_020.jpg:0709-1751</t>
  </si>
  <si>
    <t>KX16-MIDOC09_025.jpg:1981-1862</t>
  </si>
  <si>
    <t>KX16-MIDOC09_025.jpg:1804-3250</t>
  </si>
  <si>
    <t>KX16-MIDOC09_025.jpg:1135-3027</t>
  </si>
  <si>
    <t>KX16-MIDOC09_025.jpg:1360-1146</t>
  </si>
  <si>
    <t>KX16-MIDOC09_025.jpg:0614-0810</t>
  </si>
  <si>
    <t>KX16-MIDOC09_025.jpg:0595-1330</t>
  </si>
  <si>
    <t>KX16-MIDOC09_025.jpg:0484-1527</t>
  </si>
  <si>
    <t>KX16-MIDOC09_025.jpg:0482-0402</t>
  </si>
  <si>
    <t>KX16-MIDOC09_027.jpg:0372-1252</t>
  </si>
  <si>
    <t>KX16-MIDOC09_027.jpg:1632-1204</t>
  </si>
  <si>
    <t>KX16-MIDOC09_029.jpg:0620-2118</t>
  </si>
  <si>
    <t>KX16-MIDOC09_029.jpg:1956-2094</t>
  </si>
  <si>
    <t>KX16-MIDOC09_029.jpg:0780-3366</t>
  </si>
  <si>
    <t>KX16-MIDOC09_030.jpg:0662-3512</t>
  </si>
  <si>
    <t>KX16-MIDOC09_030.jpg:0884-2824</t>
  </si>
  <si>
    <t>KX16-MIDOC09_030.jpg:0748-1150</t>
  </si>
  <si>
    <t>KX16-MIDOC09_030.jpg:0700-1642</t>
  </si>
  <si>
    <t>KX16-MIDOC09_030.jpg:0832-2432</t>
  </si>
  <si>
    <t>KX16-MIDOC09_030.jpg:2068-3744</t>
  </si>
  <si>
    <t>KX16-MIDOC09_030.jpg:2112-3502</t>
  </si>
  <si>
    <t>KX16-MIDOC09_030.jpg:2052-3222</t>
  </si>
  <si>
    <t>KX16-MIDOC09_030.jpg:2088-2914</t>
  </si>
  <si>
    <t>KX16-MIDOC09_030.jpg:2146-2588</t>
  </si>
  <si>
    <t>KX16-MIDOC09_030.jpg:2090-0758</t>
  </si>
  <si>
    <t>KX16-MIDOC09_034.jpg:1840-3384</t>
  </si>
  <si>
    <t>KX16-MIDOC09_034.jpg:1858-1904</t>
  </si>
  <si>
    <t>KX16-MIDOC09_034.jpg:2271-1534</t>
  </si>
  <si>
    <t>KX16-MIDOC09_035.jpg:0666-1810</t>
  </si>
  <si>
    <t>KX16-MIDOC09_035.jpg:2184-3236</t>
  </si>
  <si>
    <t>KX16-MIDOC09_037.jpg:1045-1778</t>
  </si>
  <si>
    <t>KX16-MIDOC09_037.jpg:2290-3213</t>
  </si>
  <si>
    <t>KX16-MIDOC09_039.jpg:1056-3681</t>
  </si>
  <si>
    <t>KX16-MIDOC09_039.jpg:2351-0855</t>
  </si>
  <si>
    <t>KX16-MIDOC09_039.jpg:0894-3002</t>
  </si>
  <si>
    <t>KX16-MIDOC09_042.jpg:1161-3500</t>
  </si>
  <si>
    <t>KX16-MIDOC09_042.jpg:2063-2010</t>
  </si>
  <si>
    <t>KX16-MIDOC09_042.jpg:1074-1809</t>
  </si>
  <si>
    <t>KX16-MIDOC09_042.jpg:0971-2546</t>
  </si>
  <si>
    <t>KX16-MIDOC09_042.jpg:2057-2765</t>
  </si>
  <si>
    <t>KX16-MIDOC09_042.jpg:2231-0564</t>
  </si>
  <si>
    <t>KX16-MIDOC09_042.jpg:2204-0772</t>
  </si>
  <si>
    <t>KX16-MIDOC09_042.jpg:2235-0987</t>
  </si>
  <si>
    <t>KX16-MIDOC09_044.jpg:1578-2032</t>
  </si>
  <si>
    <t>microstomias</t>
  </si>
  <si>
    <t>KX16-MIDOC09_064.jpg:1146-1744</t>
  </si>
  <si>
    <t>oneirodid</t>
  </si>
  <si>
    <t>KX16-MIDOC09_056.jpg:2173-2146</t>
  </si>
  <si>
    <t>KX16-MIDOC09_056.jpg:0665-0999</t>
  </si>
  <si>
    <t>KX16-MIDOC09_056.jpg:0878-0965</t>
  </si>
  <si>
    <t>KX16-MIDOC09_056.jpg:1607-2950</t>
  </si>
  <si>
    <t>KX16-MIDOC09_056.jpg:0729-3021</t>
  </si>
  <si>
    <t>KX16-MIDOC09_056.jpg:0574-3005</t>
  </si>
  <si>
    <t>KX16-MIDOC09_056.jpg:0421-2879</t>
  </si>
  <si>
    <t>KX16-MIDOC09_056.jpg:1155-2926</t>
  </si>
  <si>
    <t>KX16-MIDOC09_058.jpg:1970-2878</t>
  </si>
  <si>
    <t>KX16-MIDOC09_058.jpg:1130-2360</t>
  </si>
  <si>
    <t>KX16-MIDOC09_058.jpg:0656-1616</t>
  </si>
  <si>
    <t>KX16-MIDOC09_058.jpg:1738-3576</t>
  </si>
  <si>
    <t>KX16-MIDOC09_058.jpg:2244-3248</t>
  </si>
  <si>
    <t>KX16-MIDOC09_061.jpg</t>
  </si>
  <si>
    <t>KX_16-MIDOC_10_002.jpg:2277-1539</t>
  </si>
  <si>
    <t>KX_16-MIDOC_10_002.jpg:2261-0592</t>
  </si>
  <si>
    <t>KX_16-MIDOC_10_003.jpg:2126-1529</t>
  </si>
  <si>
    <t>KX_16-MIDOC_10_003.jpg:0843-2219</t>
  </si>
  <si>
    <t>KX_16-MIDOC_10_016.jpg:0940-2056</t>
  </si>
  <si>
    <t>KX_16-MIDOC_10_016.jpg:2259-1288</t>
  </si>
  <si>
    <t>KX_16-MIDOC_10_016.jpg:2378-0663</t>
  </si>
  <si>
    <t>KX_16-MIDOC_10_017.jpg:0764-1925</t>
  </si>
  <si>
    <t>KX_16-MIDOC_10_017.jpg:2118-3130</t>
  </si>
  <si>
    <t>KX_16-MIDOC_10_016.jpg:2323-2867</t>
  </si>
  <si>
    <t>KX_16-MIDOC_10_017.jpg:1577-1818</t>
  </si>
  <si>
    <t>KX_16-MIDOC_10_020.jpg:1509-1799</t>
  </si>
  <si>
    <t>KX_16-MIDOC_10_020.jpg:0756-2589</t>
  </si>
  <si>
    <t>KX_16-MIDOC_10_020.jpg:1574-3149</t>
  </si>
  <si>
    <t>KX_16-MIDOC_10_021.jpg:0524-1866</t>
  </si>
  <si>
    <t>KX_16-MIDOC_10_021.jpg:0595-3021</t>
  </si>
  <si>
    <t>KX_16-MIDOC_10_021.jpg:2124-1559</t>
  </si>
  <si>
    <t>KX_16-MIDOC_10_021.jpg:1840-2376</t>
  </si>
  <si>
    <t>KX_16-MIDOC_10_021.jpg:1983-2709</t>
  </si>
  <si>
    <t>KX_16-MIDOC_10_021.jpg:1898-2954</t>
  </si>
  <si>
    <t>KX_16-MIDOC_10_021.jpg:1874-3290</t>
  </si>
  <si>
    <t>KX_16-MIDOC_10_021.jpg:1904-3503</t>
  </si>
  <si>
    <t>Mesonychoteuthis hamiltoni</t>
  </si>
  <si>
    <t>KX16-MIDOC11_006.jpg:2352-1458</t>
  </si>
  <si>
    <t>KX16-MIDOC11_006.jpg:1492-1046</t>
  </si>
  <si>
    <t>KX16-MIDOC11_008.jpg:0972-2736</t>
  </si>
  <si>
    <t>KX16-MIDOC11_008.jpg:1906-1124</t>
  </si>
  <si>
    <t>KX16-MIDOC11_008.jpg:2072-2616</t>
  </si>
  <si>
    <t>KX16-MIDOC11_008.jpg:2018-1556</t>
  </si>
  <si>
    <t>KX16-MIDOC11_009.jpg:1506-2648</t>
  </si>
  <si>
    <t>KX16-MIDOC11_009.jpg:2004-1874</t>
  </si>
  <si>
    <t>KX16-MIDOC11_009.jpg:1148-3062</t>
  </si>
  <si>
    <t>KX16-MIDOC11_009.jpg:2198-3406</t>
  </si>
  <si>
    <t>KX16-MIDOC11_009.jpg:2328-3184</t>
  </si>
  <si>
    <t>KX16-MIDOC11_009.jpg:2354-3054</t>
  </si>
  <si>
    <t>MIDOC11_2_25</t>
  </si>
  <si>
    <t>KX16-MIDOC11_012.jpg:0871-3473</t>
  </si>
  <si>
    <t>KX16-MIDOC11_012.jpg:0818-3295</t>
  </si>
  <si>
    <t>KX16-MIDOC11_012.jpg:0828-3127</t>
  </si>
  <si>
    <t>KX16-MIDOC11_012.jpg:0846-2929</t>
  </si>
  <si>
    <t>KX16-MIDOC11_012.jpg:0831-2734</t>
  </si>
  <si>
    <t>KX16-MIDOC11_012.jpg:1518-0550</t>
  </si>
  <si>
    <t>KX16-MIDOC11_012.jpg:1387-0809</t>
  </si>
  <si>
    <t>KX16-MIDOC11_012.jpg:1326-1176</t>
  </si>
  <si>
    <t>KX16-MIDOC11_012.jpg:1280-1466</t>
  </si>
  <si>
    <t>KX16-MIDOC11_012.jpg:1486-1711</t>
  </si>
  <si>
    <t>KX16-MIDOC11_012.jpg:2148-2705</t>
  </si>
  <si>
    <t>KX16-MIDOC11_012.jpg:2109-3224</t>
  </si>
  <si>
    <t>KX16-MIDOC11_012.jpg:2142-3038</t>
  </si>
  <si>
    <t>KX16-MIDOC11_012.jpg:2078-3363</t>
  </si>
  <si>
    <t>KX16-MIDOC11_012.jpg:2148-3558</t>
  </si>
  <si>
    <t>KX16-MIDOC11_012.jpg:2082-1980</t>
  </si>
  <si>
    <t>KX16-MIDOC11_012.jpg:0845-2531</t>
  </si>
  <si>
    <t>KX16-MIDOC11_012.jpg:0846-2334</t>
  </si>
  <si>
    <t>KX16-MIDOC11_012.jpg:0805-2090</t>
  </si>
  <si>
    <t>KX16-MIDOC11_012.jpg:1950-2462</t>
  </si>
  <si>
    <t>KX16-MIDOC11_012.jpg:1941-2220</t>
  </si>
  <si>
    <t>KX16-MIDOC11_012.jpg:2133-2888</t>
  </si>
  <si>
    <t>KX16-MIDOC11_012.jpg:2359-1017</t>
  </si>
  <si>
    <t>KX16-MIDOC11_016.jpg:0901-1188</t>
  </si>
  <si>
    <t>KX16-MIDOC11_016.jpg:0888-1498</t>
  </si>
  <si>
    <t>KX16-MIDOC11_016.jpg:0855-2058</t>
  </si>
  <si>
    <t>KX16-MIDOC11_016.jpg:0851-2846</t>
  </si>
  <si>
    <t>KX16-MIDOC11_016.jpg:0886-3220</t>
  </si>
  <si>
    <t>KX16-MIDOC11_016.jpg:2133-0510</t>
  </si>
  <si>
    <t>KX16-MIDOC11_016.jpg:2025-0733</t>
  </si>
  <si>
    <t>KX16-MIDOC11_016.jpg:2176-1215</t>
  </si>
  <si>
    <t>KX16-MIDOC11_016.jpg:2067-2063</t>
  </si>
  <si>
    <t>KX16-MIDOC11_016.jpg:2124-3197</t>
  </si>
  <si>
    <t>KX16-MIDOC11_017.jpg:2650-2515</t>
  </si>
  <si>
    <t>KX16-MIDOC11_017.jpg:2314-2430</t>
  </si>
  <si>
    <t>KX16-MIDOC11_017.jpg:1999-2665</t>
  </si>
  <si>
    <t>KX16-MIDOC11_017.jpg:1699-2430</t>
  </si>
  <si>
    <t>KX16-MIDOC11_017.jpg:1352-2570</t>
  </si>
  <si>
    <t>KX16-MIDOC11_017.jpg:0705-2604</t>
  </si>
  <si>
    <t>KX16-MIDOC11_017.jpg:2075-0980</t>
  </si>
  <si>
    <t>KX16-MIDOC11_017.jpg:0955-2063</t>
  </si>
  <si>
    <t>KX16-MIDOC11_018.jpg</t>
  </si>
  <si>
    <t>KX16-MIDOC11_020.jpg:0547-3506</t>
  </si>
  <si>
    <t>KX16-MIDOC11_020.jpg:0592-2669</t>
  </si>
  <si>
    <t>KX16-MIDOC11_020.jpg:0559-1733</t>
  </si>
  <si>
    <t>KX16-MIDOC11_020.jpg:0710-1042</t>
  </si>
  <si>
    <t>KX16-MIDOC11_020.jpg:0632-0767</t>
  </si>
  <si>
    <t>KX16-MIDOC11_021.jpg:0744-2764</t>
  </si>
  <si>
    <t>KX16-MIDOC11_021.jpg:1593-2639</t>
  </si>
  <si>
    <t>KX16-MIDOC11_021.jpg:0643-1943</t>
  </si>
  <si>
    <t>KX16-MIDOC11_021.jpg:1644-3140</t>
  </si>
  <si>
    <t>KX16-MIDOC11_021.jpg:1606-0739</t>
  </si>
  <si>
    <t>KX16-MIDOC11_023.jpg:1946-0515</t>
  </si>
  <si>
    <t>KX16-MIDOC11_023.jpg:0995-3489</t>
  </si>
  <si>
    <t>KX16-MIDOC11_023.jpg:2047-1280</t>
  </si>
  <si>
    <t>KX16-MIDOC11_023.jpg:1071-1597</t>
  </si>
  <si>
    <t>KX16-MIDOC11_023.jpg:1124-2925</t>
  </si>
  <si>
    <t>KX16-MIDOC11_024.jpg:1041-3513</t>
  </si>
  <si>
    <t>KX16-MIDOC11_024.jpg:0889-1692</t>
  </si>
  <si>
    <t>KX16-MIDOC11_024.jpg:2057-2917</t>
  </si>
  <si>
    <t>KX16-MIDOC11_024.jpg:2066-0298</t>
  </si>
  <si>
    <t>KX16-MIDOC11_024.jpg:0941-2501</t>
  </si>
  <si>
    <t>KX16-MIDOC11_024.jpg:2270-3153</t>
  </si>
  <si>
    <t>KX16-MIDOC11_024.jpg:2207-1152</t>
  </si>
  <si>
    <t>KX16-MIDOC11_024.jpg:2103-2218</t>
  </si>
  <si>
    <t>KX16-MIDOC11_024.jpg:2178-2016</t>
  </si>
  <si>
    <t>KX16-MIDOC11_024.jpg:2302-3316</t>
  </si>
  <si>
    <t>KX16-MIDOC11_028.jpg:1154-3403</t>
  </si>
  <si>
    <t>KX16-MIDOC11_028.jpg:0907-2038</t>
  </si>
  <si>
    <t>KX16-MIDOC11_028.jpg:1659-2546</t>
  </si>
  <si>
    <t>KX16-MIDOC11_028.jpg:2222-1558</t>
  </si>
  <si>
    <t>KX16-MIDOC11_028.jpg:2541-0524</t>
  </si>
  <si>
    <t>KX16-MIDOC11_029.jpg:1912-3711</t>
  </si>
  <si>
    <t>KX16-MIDOC11_029.jpg:1932-3369</t>
  </si>
  <si>
    <t>KX16-MIDOC11_029.jpg:1888-3094</t>
  </si>
  <si>
    <t>KX16-MIDOC11_029.jpg:1920-2788</t>
  </si>
  <si>
    <t>KX16-MIDOC11_029.jpg:1910-2429</t>
  </si>
  <si>
    <t>KX16-MIDOC11_029.jpg:2001-2174</t>
  </si>
  <si>
    <t>KX16-MIDOC11_029.jpg:2038-1932</t>
  </si>
  <si>
    <t>KX16-MIDOC11_029.jpg:2179-1686</t>
  </si>
  <si>
    <t>KX16-MIDOC11_029.jpg:2032-1452</t>
  </si>
  <si>
    <t>KX16-MIDOC11_029.jpg:1883-0923</t>
  </si>
  <si>
    <t>KX16-MIDOC11_029.jpg:0745-0949</t>
  </si>
  <si>
    <t>KX16-MIDOC11_029.jpg:0815-0732</t>
  </si>
  <si>
    <t>KX16-MIDOC11_034.jpg:1094-1117</t>
  </si>
  <si>
    <t>KX16-MIDOC11_034.jpg:1001-1332</t>
  </si>
  <si>
    <t>KX16-MIDOC11_034.jpg:0938-2268</t>
  </si>
  <si>
    <t>KX16-MIDOC11_034.jpg:0849-2463</t>
  </si>
  <si>
    <t>KX16-MIDOC11_034.jpg:0900-2029</t>
  </si>
  <si>
    <t>KX16-MIDOC11_034.jpg:0894-2700</t>
  </si>
  <si>
    <t>KX16-MIDOC11_034.jpg:0857-2889</t>
  </si>
  <si>
    <t>KX16-MIDOC11_034.jpg:1026-3204</t>
  </si>
  <si>
    <t>KX16-MIDOC11_034.jpg:1986-2475</t>
  </si>
  <si>
    <t>KX16-MIDOC11_034.jpg:2033-2317</t>
  </si>
  <si>
    <t>KX16-MIDOC11_034.jpg:2042-2100</t>
  </si>
  <si>
    <t>KX16-MIDOC11_034.jpg:2094-1873</t>
  </si>
  <si>
    <t>KX16-MIDOC11_034.jpg:1933-1476</t>
  </si>
  <si>
    <t>KX16-MIDOC11_034.jpg:2304-1081</t>
  </si>
  <si>
    <t>KX16-MIDOC11_034.jpg:2137-0753</t>
  </si>
  <si>
    <t>KX16-MIDOC11_038.jpg</t>
  </si>
  <si>
    <t>KX16-MIDOC11_041.jpg:1788-0677</t>
  </si>
  <si>
    <t>KX16-MIDOC11_041.jpg:1961-0955</t>
  </si>
  <si>
    <t>KX16-MIDOC11_041.jpg</t>
  </si>
  <si>
    <t>KX16-MIDOC11_042.jpg:0861-2047</t>
  </si>
  <si>
    <t>KX16-MIDOC11_042.jpg:0900-0674</t>
  </si>
  <si>
    <t>KX16-MIDOC11_042.jpg:0886-0512</t>
  </si>
  <si>
    <t>KX16-MIDOC11_042.jpg:1986-3433</t>
  </si>
  <si>
    <t>KX16-MIDOC11_042.jpg:1968-3248</t>
  </si>
  <si>
    <t>KX16-MIDOC11_042.jpg:0794-3565</t>
  </si>
  <si>
    <t>KX16-MIDOC11_042.jpg:0803-3350</t>
  </si>
  <si>
    <t>KX16-MIDOC11_042.jpg:0742-3091</t>
  </si>
  <si>
    <t>KX16-MIDOC11_042.jpg:0748-2876</t>
  </si>
  <si>
    <t>KX16-MIDOC11_042.jpg:0853-1795</t>
  </si>
  <si>
    <t>KX16-MIDOC11_042.jpg:0834-1400</t>
  </si>
  <si>
    <t>KX16-MIDOC11_042.jpg:1969-2341</t>
  </si>
  <si>
    <t>KX16-MIDOC11_042.jpg:2048-1743</t>
  </si>
  <si>
    <t>KX16-MIDOC11_042.jpg:2054-1302</t>
  </si>
  <si>
    <t>KX16-MIDOC11_042.jpg:2161-1039</t>
  </si>
  <si>
    <t>KX16-MIDOC11_042.jpg:2010-2635</t>
  </si>
  <si>
    <t>KX16-MIDOC11_042.jpg:0772-1142</t>
  </si>
  <si>
    <t>KX16-MIDOC11_042.jpg:1002-0845</t>
  </si>
  <si>
    <t>squid, fish and other invertebrates</t>
  </si>
  <si>
    <t>KX16-MIDOC11_045.jpg</t>
  </si>
  <si>
    <t>KX16-MIDOC12_009.jpg:0920-3258</t>
  </si>
  <si>
    <t>KX16-MIDOC12_009.jpg:2160-2270</t>
  </si>
  <si>
    <t>KX16-MIDOC12_009.jpg:1938-3636</t>
  </si>
  <si>
    <t>KX16-MIDOC12_009.jpg:2137-2898</t>
  </si>
  <si>
    <t>KX16-MIDOC12_009.jpg:0960-2408</t>
  </si>
  <si>
    <t>KX16-MIDOC12_010.jpg:0677-2500</t>
  </si>
  <si>
    <t>KX16-MIDOC12_010.jpg:0705-0815</t>
  </si>
  <si>
    <t>KX16-MIDOC12_010.jpg:0619-3002</t>
  </si>
  <si>
    <t>KX16-MIDOC12_010.jpg:0645-1786</t>
  </si>
  <si>
    <t>KX16-MIDOC12_010.jpg:0703-1026</t>
  </si>
  <si>
    <t>KX16-MIDOC12_012.jpg:1039-0995</t>
  </si>
  <si>
    <t>KX16-MIDOC12_012.jpg:1023-1879</t>
  </si>
  <si>
    <t>KX16-MIDOC12_012.jpg:1110-3362</t>
  </si>
  <si>
    <t>KX16-MIDOC12_012.jpg:1018-2173</t>
  </si>
  <si>
    <t>KX16-MIDOC12_012.jpg:0989-3573</t>
  </si>
  <si>
    <t>KX16-MIDOC12_012.jpg:2305-0647</t>
  </si>
  <si>
    <t>KX16-MIDOC12_012.jpg:2335-0848</t>
  </si>
  <si>
    <t>KX16-MIDOC12_012.jpg:2335-1058</t>
  </si>
  <si>
    <t>KX16-MIDOC12_012.jpg:2296-1325</t>
  </si>
  <si>
    <t>KX16-MIDOC12_012.jpg:2267-1545</t>
  </si>
  <si>
    <t>KX16-MIDOC12_013.jpg:0765-1723</t>
  </si>
  <si>
    <t>KX16-MIDOC12_013.jpg:1608-2246</t>
  </si>
  <si>
    <t>galiteuthis glacialis; unidentified squid</t>
  </si>
  <si>
    <t>KX16-MIDOC12_013.jpg:2057-2855</t>
  </si>
  <si>
    <t>KX16-MIDOC12_018.jpg:1074-2952</t>
  </si>
  <si>
    <t>KX16-MIDOC12_018.jpg:2310-2813</t>
  </si>
  <si>
    <t>KX16-MIDOC12_018.jpg:1045-1690</t>
  </si>
  <si>
    <t>KX16-MIDOC12_022.jpg:2230-1670</t>
  </si>
  <si>
    <t>KX16-MIDOC12_022.jpg:0694-2494</t>
  </si>
  <si>
    <t>KX16-MIDOC12_022.jpg:0636-3374</t>
  </si>
  <si>
    <t>KX16-MIDOC12_022.jpg:2240-2852</t>
  </si>
  <si>
    <t>KX16-MIDOC12_022.jpg:0750-1040</t>
  </si>
  <si>
    <t>KX16-MIDOC12_024.jpg:0943-3200</t>
  </si>
  <si>
    <t>KX16-MIDOC12_024.jpg:1919-0917</t>
  </si>
  <si>
    <t>KX16-MIDOC12_024.jpg:1937-2561</t>
  </si>
  <si>
    <t>KX16-MIDOC12_024.jpg:0776-1796</t>
  </si>
  <si>
    <t>KX16-MIDOC12_024.jpg:1800-1412</t>
  </si>
  <si>
    <t>KX16-MIDOC12_029.jpg:2151-1293</t>
  </si>
  <si>
    <t>KX16-MIDOC12_029.jpg:2097-0700</t>
  </si>
  <si>
    <t>KX16-MIDOC12_029.jpg:2094-2158</t>
  </si>
  <si>
    <t>KX16-MIDOC12_029.jpg:2139-2760</t>
  </si>
  <si>
    <t>KX16-MIDOC12_029.jpg:2164-3142</t>
  </si>
  <si>
    <t>KX16-MIDOC12_029.jpg:0944-2115</t>
  </si>
  <si>
    <t>KX16-MIDOC12_029.jpg:0986-2351</t>
  </si>
  <si>
    <t>KX16-MIDOC12_029.jpg:0897-2558</t>
  </si>
  <si>
    <t>KX16-MIDOC12_029.jpg:0856-2785</t>
  </si>
  <si>
    <t>KX16-MIDOC12_029.jpg:0812-2971</t>
  </si>
  <si>
    <t>KX16-MIDOC12_029.jpg:0931-3227</t>
  </si>
  <si>
    <t>KX16-MIDOC12_036.jpg:1757-0811</t>
  </si>
  <si>
    <t>KX16-MIDOC12_036.jpg:1001-0965</t>
  </si>
  <si>
    <t>KX16-MIDOC12_036.jpg:1702-3572</t>
  </si>
  <si>
    <t>KX16-MIDOC12_036.jpg:1669-2374</t>
  </si>
  <si>
    <t>KX16-MIDOC12_036.jpg:0732-1601</t>
  </si>
  <si>
    <t>KX16-MIDOC12_042.jpg:2114-0598</t>
  </si>
  <si>
    <t>KX16-MIDOC12_042.jpg:1404-0547</t>
  </si>
  <si>
    <t>KX16-MIDOC12_042.jpg:0696-1986</t>
  </si>
  <si>
    <t>KX16-MIDOC12_042.jpg:2212-2258</t>
  </si>
  <si>
    <t>KX16-MIDOC12_042.jpg:2119-3437</t>
  </si>
  <si>
    <t>KX16-MIDOC12_044.jpg:2449-3201</t>
  </si>
  <si>
    <t>KX16-MIDOC12_045.jpg:1816-0765</t>
  </si>
  <si>
    <t>KX16-MIDOC12_045.jpg:1968-1114</t>
  </si>
  <si>
    <t>KX16-MIDOC12_045.jpg:2006-1399</t>
  </si>
  <si>
    <t>KX16-MIDOC12_045.jpg:1941-1632</t>
  </si>
  <si>
    <t>KX16-MIDOC12_045.jpg:1928-1905</t>
  </si>
  <si>
    <t>KX16-MIDOC12_045.jpg:1952-2289</t>
  </si>
  <si>
    <t>KX16-MIDOC12_047.jpg:2399-0880</t>
  </si>
  <si>
    <t>KX16-MIDOC12_047.jpg:2302-2895</t>
  </si>
  <si>
    <t>KX16-MIDOC12_047.jpg:1087-0907</t>
  </si>
  <si>
    <t>KX16-MIDOC12_047.jpg:1066-3280</t>
  </si>
  <si>
    <t>KX16-MIDOC12_047.jpg:1006-2655</t>
  </si>
  <si>
    <t>KX16-MIDOC12_048.jpg:2108-2346</t>
  </si>
  <si>
    <t>KX16-MIDOC12_056.jpg</t>
  </si>
  <si>
    <t>KX_16-MIDOC_13_001.jpg:1756-0979</t>
  </si>
  <si>
    <t>KX_16-MIDOC_13_001.jpg:1607-0671</t>
  </si>
  <si>
    <t>KX_16-MIDOC_13_001.jpg:1211-3072</t>
  </si>
  <si>
    <t>KX_16-MIDOC_13_001.jpg:1980-2736</t>
  </si>
  <si>
    <t>KX_16-MIDOC_13_001.jpg:2536-3041</t>
  </si>
  <si>
    <t>KX_16-MIDOC_13_001.jpg:1916-3574</t>
  </si>
  <si>
    <t>KX_16-MIDOC_13_004.jpg:2461-1151</t>
  </si>
  <si>
    <t>KX_16-MIDOC_13_004.jpg:1899-1137</t>
  </si>
  <si>
    <t>psychroteuthis glacialis</t>
  </si>
  <si>
    <t>KX_16-MIDOC_13_004.jpg:1573-0897</t>
  </si>
  <si>
    <t>only 1 measured</t>
  </si>
  <si>
    <t>KX_16-MIDOC_13_007.jpg:2027-3443</t>
  </si>
  <si>
    <t>KX_16-MIDOC_13_007.jpg:2050-2396</t>
  </si>
  <si>
    <t>KX_16-MIDOC_13_007.jpg:0550-1580</t>
  </si>
  <si>
    <t>KX_16-MIDOC_13_007.jpg:2072-0757</t>
  </si>
  <si>
    <t>KX_16-MIDOC_13_007.jpg:0534-3543</t>
  </si>
  <si>
    <t>MIDOC13_6_27</t>
  </si>
  <si>
    <t>KX_16-MIDOC_13_009.jpg:2137-1839</t>
  </si>
  <si>
    <t>KX_16-MIDOC_13_009.jpg:0959-2469</t>
  </si>
  <si>
    <t>KX_16-MIDOC_13_009.jpg:1518-1255</t>
  </si>
  <si>
    <t>KX_16-MIDOC_13_009.jpg:0956-3732</t>
  </si>
  <si>
    <t>KX_16-MIDOC_13_009.jpg:2058-2987</t>
  </si>
  <si>
    <t>KX16-MIDOC14_003.jpg:0530-0968</t>
  </si>
  <si>
    <t>KX16-MIDOC14_003.jpg:0690-1966</t>
  </si>
  <si>
    <t>KX16-MIDOC14_003.jpg:0613-1684</t>
  </si>
  <si>
    <t>KX16-MIDOC14_003.jpg:0540-1224</t>
  </si>
  <si>
    <t>KX16-MIDOC14_003.jpg:0544-2574</t>
  </si>
  <si>
    <t>KX16-MIDOC14_003.jpg:0879-3261</t>
  </si>
  <si>
    <t>KX16-MIDOC14_003.jpg:0938-3501</t>
  </si>
  <si>
    <t>KX16-MIDOC14_003.jpg:0809-3790</t>
  </si>
  <si>
    <t>KX16-MIDOC14_003.jpg:2023-2900</t>
  </si>
  <si>
    <t>KX16-MIDOC14_003.jpg:1790-1586</t>
  </si>
  <si>
    <t>KX16-MIDOC14_003.jpg:1946-2172</t>
  </si>
  <si>
    <t>KX16-MIDOC14_003.jpg:2019-2579</t>
  </si>
  <si>
    <t>KX16-MIDOC14_003.jpg:1855-1268</t>
  </si>
  <si>
    <t>KX16-MIDOC14_003.jpg:1946-2365</t>
  </si>
  <si>
    <t>KX16-MIDOC14_003.jpg:1828-1002</t>
  </si>
  <si>
    <t>KX16-MIDOC14_003.jpg:1938-1950</t>
  </si>
  <si>
    <t>KX16-MIDOC14_006.jpg:0973-3333</t>
  </si>
  <si>
    <t>KX16-MIDOC14_006.jpg:1030-1145</t>
  </si>
  <si>
    <t>KX16-MIDOC14_007.jpg:1044-1053</t>
  </si>
  <si>
    <t>KX16-MIDOC14_007.jpg:1075-3402</t>
  </si>
  <si>
    <t>KX16-MIDOC14_007.jpg:2176-1548</t>
  </si>
  <si>
    <t>KX16-MIDOC14_007.jpg:2233-0925</t>
  </si>
  <si>
    <t>KX16-MIDOC14_009.jpg:1005-3058</t>
  </si>
  <si>
    <t>KX16-MIDOC14_009.jpg:0886-2611</t>
  </si>
  <si>
    <t>KX16-MIDOC14_009.jpg:0941-2821</t>
  </si>
  <si>
    <t>KX16-MIDOC14_009.jpg:2238-2648</t>
  </si>
  <si>
    <t>KX16-MIDOC14_009.jpg:0918-1905</t>
  </si>
  <si>
    <t>KX16-MIDOC14_010.jpg:0530-3491</t>
  </si>
  <si>
    <t>KX16-MIDOC14_010.jpg:0433-3132</t>
  </si>
  <si>
    <t>KX16-MIDOC14_010.jpg:0482-2932</t>
  </si>
  <si>
    <t>KX16-MIDOC14_010.jpg:0473-2515</t>
  </si>
  <si>
    <t>KX16-MIDOC14_010.jpg:0589-2258</t>
  </si>
  <si>
    <t>KX16-MIDOC14_010.jpg:1796-2314</t>
  </si>
  <si>
    <t>KX16-MIDOC14_010.jpg:1888-1091</t>
  </si>
  <si>
    <t>KX16-MIDOC14_010.jpg:1805-3271</t>
  </si>
  <si>
    <t>KX16-MIDOC14_010.jpg:1906-1891</t>
  </si>
  <si>
    <t>KX16-MIDOC14_010.jpg:1697-1629</t>
  </si>
  <si>
    <t>KX16-MIDOC14_011.jpg:1916-1687</t>
  </si>
  <si>
    <t>KX16-MIDOC14_011.jpg:1808-3733</t>
  </si>
  <si>
    <t>KX16-MIDOC14_011.jpg:0510-3156</t>
  </si>
  <si>
    <t>KX16-MIDOC14_013.jpg:0655-1252</t>
  </si>
  <si>
    <t>KX16-MIDOC14_012.jpg:0759-3174</t>
  </si>
  <si>
    <t>KX16-MIDOC14_012.jpg:2219-1970</t>
  </si>
  <si>
    <t>KX16-MIDOC14_012.jpg:2225-3791</t>
  </si>
  <si>
    <t>KX16-MIDOC14_012.jpg:2323-3057</t>
  </si>
  <si>
    <t>KX16-MIDOC14_014.jpg:0834-3672</t>
  </si>
  <si>
    <t>KX16-MIDOC14_014.jpg:0680-0675</t>
  </si>
  <si>
    <t>MIDOC14_4_09</t>
  </si>
  <si>
    <t>KX16-MIDOC14_018.jpg:0539-3148</t>
  </si>
  <si>
    <t>KX16-MIDOC14_018.jpg:0520-1920</t>
  </si>
  <si>
    <t>KX16-MIDOC14_018.jpg:0583-1708</t>
  </si>
  <si>
    <t>crocodile icefish</t>
  </si>
  <si>
    <t>KX16-MIDOC14_018.jpg:1660-2427</t>
  </si>
  <si>
    <t>KX16-MIDOC14_018.jpg:1833-1883</t>
  </si>
  <si>
    <t>KX16-MIDOC14_018.jpg</t>
  </si>
  <si>
    <t>KX16-MIDOC14_020.jpg:0874-2543</t>
  </si>
  <si>
    <t>KX16-MIDOC14_020.jpg:0658-2198</t>
  </si>
  <si>
    <t>KX16-MIDOC14_020.jpg:1650-2995</t>
  </si>
  <si>
    <t>KX16-MIDOC14_020.jpg:1789-2764</t>
  </si>
  <si>
    <t>KX16-MIDOC14_020.jpg:1714-2481</t>
  </si>
  <si>
    <t>KX16-MIDOC14_025.jpg:1006-3709</t>
  </si>
  <si>
    <t>KX16-MIDOC14_025.jpg:1029-3490</t>
  </si>
  <si>
    <t>KX16-MIDOC14_025.jpg:1023-3259</t>
  </si>
  <si>
    <t>KX16-MIDOC14_025.jpg:0940-3082</t>
  </si>
  <si>
    <t>KX16-MIDOC14_025.jpg:0852-2882</t>
  </si>
  <si>
    <t>KX16-MIDOC14_025.jpg:2225-3679</t>
  </si>
  <si>
    <t>KX16-MIDOC14_025.jpg:2208-3458</t>
  </si>
  <si>
    <t>KX16-MIDOC14_025.jpg:2296-3112</t>
  </si>
  <si>
    <t>KX16-MIDOC14_025.jpg:0919-1081</t>
  </si>
  <si>
    <t>KX16-MIDOC14_025.jpg:0940-0828</t>
  </si>
  <si>
    <t>KX16-MIDOC14_025.jpg:2243-1350</t>
  </si>
  <si>
    <t>KX16-MIDOC14_025.jpg:2286-1456</t>
  </si>
  <si>
    <t>KX16-MIDOC14_025.jpg:2268-1213</t>
  </si>
  <si>
    <t>KX16-MIDOC14_025.jpg:2198-1065</t>
  </si>
  <si>
    <t>KX16-MIDOC14_025.jpg:2235-0921</t>
  </si>
  <si>
    <t>KX16-MIDOC14_025.jpg:2281-0773</t>
  </si>
  <si>
    <t>n=2 mantles M. psychrophila</t>
  </si>
  <si>
    <t>KX16-MIDOC14_027.jpg</t>
  </si>
  <si>
    <t>KX16-MIDOC14_028.jpg:2212-1901</t>
  </si>
  <si>
    <t>KX16-MIDOC14_028.jpg:2280-1440</t>
  </si>
  <si>
    <t>KX16-MIDOC14_028.jpg:2106-3541</t>
  </si>
  <si>
    <t>KX16-MIDOC14_028.jpg:2112-3012</t>
  </si>
  <si>
    <t>KX16-MIDOC15_002.jpg:0555-3397</t>
  </si>
  <si>
    <t>KX16-MIDOC15_002.jpg:0555-3097</t>
  </si>
  <si>
    <t>KX16-MIDOC15_002.jpg:1351-2118</t>
  </si>
  <si>
    <t>KX16-MIDOC15_002.jpg:2064-2148</t>
  </si>
  <si>
    <t>KX16-MIDOC15_004.jpg:1636-1755</t>
  </si>
  <si>
    <t>KX16-MIDOC15_014.jpg:0786-3292</t>
  </si>
  <si>
    <t>KX16-MIDOC15_014.jpg:0720-3102</t>
  </si>
  <si>
    <t>KX16-MIDOC15_014.jpg:0706-2912</t>
  </si>
  <si>
    <t>KX16-MIDOC15_014.jpg:1947-3778</t>
  </si>
  <si>
    <t>KX16-MIDOC15_014.jpg:1983-3633</t>
  </si>
  <si>
    <t>KX16-MIDOC15_014.jpg:1806-1735</t>
  </si>
  <si>
    <t>KX16-MIDOC15_014.jpg:0602-1524</t>
  </si>
  <si>
    <t>KX16-MIDOC15_014.jpg:1840-1559</t>
  </si>
  <si>
    <t>KX16-MIDOC15_014.jpg:1947-2871</t>
  </si>
  <si>
    <t>KX16-MIDOC15_016.jpg:2170-3043</t>
  </si>
  <si>
    <t>KX16-MIDOC15_016.jpg:1320-0964</t>
  </si>
  <si>
    <t>KX16-MIDOC15_016.jpg</t>
  </si>
  <si>
    <t>KX16-MIDOC15_018.jpg:0565-1207</t>
  </si>
  <si>
    <t>KX16-MIDOC15_018.jpg:0613-2695</t>
  </si>
  <si>
    <t>KX16-MIDOC15_018.jpg:1418-3651</t>
  </si>
  <si>
    <t>KX16-MIDOC15_018.jpg:1453-0657</t>
  </si>
  <si>
    <t>KX16-MIDOC15_018.jpg:2203-3596</t>
  </si>
  <si>
    <t>KX16-MIDOC15_019.jpg:2479-2788</t>
  </si>
  <si>
    <t>KX16-MIDOC15_019.jpg:2039-2792</t>
  </si>
  <si>
    <t>KX16-MIDOC15_019.jpg:1018-3623</t>
  </si>
  <si>
    <t>KX16-MIDOC15_019.jpg:1840-1045</t>
  </si>
  <si>
    <t>KX16-MIDOC15_019.jpg:0712-1068</t>
  </si>
  <si>
    <t>KX16-MIDOC15_019.jpg:1907-1206</t>
  </si>
  <si>
    <t>KX16-MIDOC15_019.jpg:0801-2797</t>
  </si>
  <si>
    <t>MIDOC15_6_22</t>
  </si>
  <si>
    <t>MIDOC15_6_26</t>
  </si>
  <si>
    <t>KX16-MIDOC15_022.jpg:2185-2983</t>
  </si>
  <si>
    <t>KX16-MIDOC15_022.jpg:1753-2870</t>
  </si>
  <si>
    <t>KX16-MIDOC15_022.jpg:1525-2159</t>
  </si>
  <si>
    <t>KX16-MIDOC15_022.jpg:1256-1901</t>
  </si>
  <si>
    <t>KX16-MIDOC15_022.jpg:0977-2034</t>
  </si>
  <si>
    <t>KX16-MIDOC15_023.jpg:0813-3299</t>
  </si>
  <si>
    <t>KX16-MIDOC15_023.jpg:2099-2628</t>
  </si>
  <si>
    <t>KX16-MIDOC15_023.jpg:1951-3363</t>
  </si>
  <si>
    <t>KX16-MIDOC15_023.jpg:2027-2807</t>
  </si>
  <si>
    <t>KX16-MIDOC15_029.jpg:1250-2573</t>
  </si>
  <si>
    <t>KX16-MIDOC15_029.jpg:1293-3154</t>
  </si>
  <si>
    <t>KX16-MIDOC15_029.jpg:1157-3626</t>
  </si>
  <si>
    <t>KX16-MIDOC15_029.jpg:1400-1737</t>
  </si>
  <si>
    <t>KX16-MIDOC15_029.jpg:1039-2223</t>
  </si>
  <si>
    <t>KX16-MIDOC15_029.jpg:1011-2871</t>
  </si>
  <si>
    <t>KX16-MIDOC15_029.jpg:1103-1452</t>
  </si>
  <si>
    <t>KX16-MIDOC15_029.jpg:1440-1118</t>
  </si>
  <si>
    <t>KX16-MIDOC15_029.jpg:1559-0838</t>
  </si>
  <si>
    <t>KX16-MIDOC15_029.jpg:2143-2177</t>
  </si>
  <si>
    <t>KX16-MIDOC15_030.jpg:1327-1250</t>
  </si>
  <si>
    <t>KX16-MIDOC15_030.jpg:0522-2501</t>
  </si>
  <si>
    <t>KX16-MIDOC15_030.jpg:1357-3705</t>
  </si>
  <si>
    <t>KX16-MIDOC15_030.jpg:2166-3045</t>
  </si>
  <si>
    <t>KX16-MIDOC15_031.jpg:1352-2218</t>
  </si>
  <si>
    <t>KX16-MIDOC15_031.jpg:0504-1744</t>
  </si>
  <si>
    <t>KX16-MIDOC15_057.jpg:1963-2870</t>
  </si>
  <si>
    <t>KX16-MIDOC15_057.jpg:1451-3002</t>
  </si>
  <si>
    <t>KX16-MIDOC15_057.jpg:1724-1448</t>
  </si>
  <si>
    <t>KX16-MIDOC15_057.jpg:1063-2440</t>
  </si>
  <si>
    <t>KX16-MIDOC15_057.jpg:0807-2348</t>
  </si>
  <si>
    <t>KX16-MIDOC15_057.jpg:0592-2391</t>
  </si>
  <si>
    <t>KX16-MIDOC15_057.jpg:1019-3240</t>
  </si>
  <si>
    <t>KX16-MIDOC15_057.jpg:0842-3217</t>
  </si>
  <si>
    <t>KX16-MIDOC15_057.jpg:1429-0885</t>
  </si>
  <si>
    <t>KX16-MIDOC15_057.jpg:1406-1438</t>
  </si>
  <si>
    <t>KX16-MIDOC15_057.jpg:0501-3216</t>
  </si>
  <si>
    <t>KX16-MIDOC15_057.jpg:0687-3226</t>
  </si>
  <si>
    <t>KX16-MIDOC15_058.jpg:1811-0662</t>
  </si>
  <si>
    <t>KX16-MIDOC15_058.jpg:0760-1096</t>
  </si>
  <si>
    <t>KX16-MIDOC15_059.jpg:1730-1730</t>
  </si>
  <si>
    <t>KX16-MIDOC15_061.jpg:2250-2028</t>
  </si>
  <si>
    <t>KX16-MIDOC15_061.jpg:1032-3056</t>
  </si>
  <si>
    <t>KX16-MIDOC15_062.jpg:0839-1650</t>
  </si>
  <si>
    <t>KX16-MIDOC15_062.jpg:0807-1005</t>
  </si>
  <si>
    <t>KX16-MIDOC15_062.jpg:1981-2709</t>
  </si>
  <si>
    <t>KX16-MIDOC15_062.jpg:0870-0705</t>
  </si>
  <si>
    <t>KX16-MIDOC15_062.jpg:0730-3473</t>
  </si>
  <si>
    <t>KX16-MIDOC15_063.jpg:1794-3709</t>
  </si>
  <si>
    <t>KX16-MIDOC15_063.jpg:0771-2993</t>
  </si>
  <si>
    <t>KX16-MIDOC15_063.jpg:1998-2459</t>
  </si>
  <si>
    <t>KX16-MIDOC15_064.jpg:1920-3700</t>
  </si>
  <si>
    <t>KX16-MIDOC15_064.jpg:0776-2420</t>
  </si>
  <si>
    <t>KX16-MIDOC15_069.jpg:0842-3023</t>
  </si>
  <si>
    <t>KX16-MIDOC15_069.jpg:2408-3354</t>
  </si>
  <si>
    <t>KX16-MIDOC15_069.jpg:0926-1335</t>
  </si>
  <si>
    <t>KX16-MIDOC15_069.jpg:1514-0369</t>
  </si>
  <si>
    <t>KX16-MIDOC15_069.jpg:1761-1907</t>
  </si>
  <si>
    <t>KX16-MIDOC15_073.jpg:1724-1442</t>
  </si>
  <si>
    <t>KX16-MIDOC15_073.jpg:1330-1550</t>
  </si>
  <si>
    <t>KX16-MIDOC15_073.jpg:0706-1576</t>
  </si>
  <si>
    <t>KX16-MIDOC15_088.jpg:0678-0433</t>
  </si>
  <si>
    <t>KX16-MIDOC15_088.jpg:0781-0729</t>
  </si>
  <si>
    <t>KX16-MIDOC15_089.jpg:0837-3186</t>
  </si>
  <si>
    <t>KX16-MIDOC15_089.jpg:0879-2935</t>
  </si>
  <si>
    <t>KX16-MIDOC15_089.jpg:0834-2136</t>
  </si>
  <si>
    <t>KX16-MIDOC15_089.jpg:1005-1024</t>
  </si>
  <si>
    <t>KX16-MIDOC15_089.jpg:0999-0454</t>
  </si>
  <si>
    <t>KX16-MIDOC15_093.jpg:0840-2252</t>
  </si>
  <si>
    <t>KX_16-MIDOC_16_003.jpg</t>
  </si>
  <si>
    <t>KX16-MIDOC16_001.jpg:0473-3212</t>
  </si>
  <si>
    <t>KX16-MIDOC16_001.jpg:1904-1589</t>
  </si>
  <si>
    <t>KX16-MIDOC16_001.jpg:1747-2004</t>
  </si>
  <si>
    <t>KX16-MIDOC16_001.jpg:1714-3304</t>
  </si>
  <si>
    <t>KX16-MIDOC16_002.jpg:1016-3492</t>
  </si>
  <si>
    <t>KX16-MIDOC16_005.jpg:1977-1044</t>
  </si>
  <si>
    <t>KX16-MIDOC16_005.jpg:2072-3204</t>
  </si>
  <si>
    <t>KX16-MIDOC16_005.jpg:0683-1953</t>
  </si>
  <si>
    <t>KX16-MIDOC16_005.jpg:2091-1652</t>
  </si>
  <si>
    <t>KX16-MIDOC16_005.jpg:0576-3173</t>
  </si>
  <si>
    <t>KX16-MIDOC16_005.jpg:1990-0761</t>
  </si>
  <si>
    <t>KX16-MIDOC16_005.jpg:0647-2562</t>
  </si>
  <si>
    <t>KX16-MIDOC16_005.jpg:0831-0729</t>
  </si>
  <si>
    <t>KX16-MIDOC16_005.jpg:2080-3669</t>
  </si>
  <si>
    <t>KX16-MIDOC16_005.jpg:1329-1852</t>
  </si>
  <si>
    <t>KX16-MIDOC16_007.jpg:1137-3596</t>
  </si>
  <si>
    <t>KX16-MIDOC16_007.jpg:1037-2274</t>
  </si>
  <si>
    <t>KX16-MIDOC16_007.jpg:0837-0791</t>
  </si>
  <si>
    <t>KX16-MIDOC16_007.jpg:1044-1827</t>
  </si>
  <si>
    <t>KX16-MIDOC16_007.jpg:1137-3347</t>
  </si>
  <si>
    <t>KX16-MIDOC16_007.jpg:2088-2923</t>
  </si>
  <si>
    <t>KX16-MIDOC16_010.jpg:0926-2018</t>
  </si>
  <si>
    <t>KX16-MIDOC16_010.jpg:0785-3070</t>
  </si>
  <si>
    <t>KX16-MIDOC16_010.jpg:0765-3445</t>
  </si>
  <si>
    <t>KX16-MIDOC16_010.jpg:0959-1049</t>
  </si>
  <si>
    <t>KX16-MIDOC16_010.jpg:2072-2665</t>
  </si>
  <si>
    <t>KX16-MIDOC16_010.jpg:2185-1079</t>
  </si>
  <si>
    <t>KX16-MIDOC16_010.jpg:2301-0383</t>
  </si>
  <si>
    <t>KX16-MIDOC16_010.jpg:2338-2466</t>
  </si>
  <si>
    <t>KX16-MIDOC16_010.jpg:2249-2859</t>
  </si>
  <si>
    <t>KX16-MIDOC16_010.jpg:2168-1895</t>
  </si>
  <si>
    <t>KX16-MIDOC16_010.jpg:2298-3424</t>
  </si>
  <si>
    <t>KX16-MIDOC16_010.jpg:2259-3116</t>
  </si>
  <si>
    <t>KX16-MIDOC16_010.jpg:2310-1351</t>
  </si>
  <si>
    <t>KX16-MIDOC16_010.jpg:2200-2234</t>
  </si>
  <si>
    <t>KX16-MIDOC16_011.jpg</t>
  </si>
  <si>
    <t>KX16-MIDOC16_016.jpg:0656-1910</t>
  </si>
  <si>
    <t>KX16-MIDOC16_016.jpg:0677-1735</t>
  </si>
  <si>
    <t>KX16-MIDOC16_019.jpg</t>
  </si>
  <si>
    <t>galiteuthis glacialis; Psychroteuthis glacialis larvae</t>
  </si>
  <si>
    <t>KX16-MIDOC16_020.jpg:1897-2974</t>
  </si>
  <si>
    <t>KX16-MIDOC16_020.jpg:0876-3604</t>
  </si>
  <si>
    <t>KX16-MIDOC16_020.jpg:1999-2730</t>
  </si>
  <si>
    <t>KX16-MIDOC16_020.jpg:0788-2665</t>
  </si>
  <si>
    <t>KX16-MIDOC16_020.jpg:0875-2864</t>
  </si>
  <si>
    <t>KX16-MIDOC16_020.jpg:0828-3248</t>
  </si>
  <si>
    <t>KX16-MIDOC16_020.jpg:0653-1548</t>
  </si>
  <si>
    <t>KX16-MIDOC16_020.jpg:0663-1426</t>
  </si>
  <si>
    <t>KX16-MIDOC16_020.jpg:0709-1290</t>
  </si>
  <si>
    <t>KX16-MIDOC16_020.jpg:2107-0618</t>
  </si>
  <si>
    <t>KX16-MIDOC16_022.jpg</t>
  </si>
  <si>
    <t>KX16-MIDOC16_026.jpg:1729-3666</t>
  </si>
  <si>
    <t>KX16-MIDOC16_026.jpg:1717-3374</t>
  </si>
  <si>
    <t>KX16-MIDOC16_026.jpg:1159-3021</t>
  </si>
  <si>
    <t>KX16-MIDOC16_026.jpg:1100-2718</t>
  </si>
  <si>
    <t>KX16-MIDOC16_026.jpg:1304-0616</t>
  </si>
  <si>
    <t>KX16-MIDOC16_026.jpg:2250-2922</t>
  </si>
  <si>
    <t>KX16-MIDOC16_026.jpg:1865-1456</t>
  </si>
  <si>
    <t>KX16-MIDOC16_026.jpg:1818-1259</t>
  </si>
  <si>
    <t>KX16-MIDOC16_026.jpg:1651-1118</t>
  </si>
  <si>
    <t>KX16-MIDOC16_026.jpg:2338-2056</t>
  </si>
  <si>
    <t>KX16-MIDOC16_026.jpg:2311-1846</t>
  </si>
  <si>
    <t>KX16-MIDOC16_026.jpg:1647-0855</t>
  </si>
  <si>
    <t>KX16-MIDOC16_026.jpg:2272-2498</t>
  </si>
  <si>
    <t>KX16-MIDOC16_026.jpg:2448-1319</t>
  </si>
  <si>
    <t>KX16-MIDOC16_026.jpg:2497-0674</t>
  </si>
  <si>
    <t>KX16-MIDOC16_028.jpg:2024-3393</t>
  </si>
  <si>
    <t>Diaphus sp</t>
  </si>
  <si>
    <t>KX16-MIDOC16_028.jpg:0861-3662</t>
  </si>
  <si>
    <t>KX16-MIDOC16_028.jpg:0815-3351</t>
  </si>
  <si>
    <t>KX16-MIDOC16_028.jpg:0827-3093</t>
  </si>
  <si>
    <t>KX16-MIDOC16_028.jpg:1503-3497</t>
  </si>
  <si>
    <t>KX16-MIDOC16_030.jpg:1066-3222</t>
  </si>
  <si>
    <t>KX16-MIDOC16_030.jpg:1217-3562</t>
  </si>
  <si>
    <t>KX16-MIDOC16_030.jpg:1265-3800</t>
  </si>
  <si>
    <t>KX16-MIDOC16_030.jpg:2153-3766</t>
  </si>
  <si>
    <t>KX16-MIDOC16_030.jpg:2354-2368</t>
  </si>
  <si>
    <t>KX16-MIDOC16_030.jpg:2305-2865</t>
  </si>
  <si>
    <t>KX16-MIDOC16_030.jpg:2339-2996</t>
  </si>
  <si>
    <t>KX16-MIDOC16_030.jpg:2195-3592</t>
  </si>
  <si>
    <t>KX16-MIDOC16_030.jpg:1029-3026</t>
  </si>
  <si>
    <t>KX16-MIDOC16_030.jpg:1405-2739</t>
  </si>
  <si>
    <t>KX16-MIDOC16_030.jpg:1567-1357</t>
  </si>
  <si>
    <t>KX16-MIDOC16_030.jpg:1424-2451</t>
  </si>
  <si>
    <t>KX16-MIDOC16_030.jpg:1540-1824</t>
  </si>
  <si>
    <t>KX16-MIDOC16_030.jpg:2180-2039</t>
  </si>
  <si>
    <t>KX16-MIDOC16_030.jpg:2249-2216</t>
  </si>
  <si>
    <t>KX16-MIDOC16_030.jpg:2225-1909</t>
  </si>
  <si>
    <t>KX16-MIDOC16_030.jpg:1478-2216</t>
  </si>
  <si>
    <t>KX16-MIDOC16_030.jpg:1458-2096</t>
  </si>
  <si>
    <t>KX16-MIDOC16_032.jpg</t>
  </si>
  <si>
    <t>KX_16-MIDOC_17_007.jpg</t>
  </si>
  <si>
    <t>KX_16-MIDOC_17_008.jpg:0952-0547</t>
  </si>
  <si>
    <t>KX_16-MIDOC_17_008.jpg:0956-1360</t>
  </si>
  <si>
    <t>KX_16-MIDOC_17_008.jpg:0847-2475</t>
  </si>
  <si>
    <t>KX_16-MIDOC_17_008.jpg:0433-1552</t>
  </si>
  <si>
    <t>KX_16-MIDOC_17_011.jpg:2121-2075</t>
  </si>
  <si>
    <t>KX_16-MIDOC_17_014.jpg:1094-2221</t>
  </si>
  <si>
    <t>KX_16-MIDOC_17_014.jpg:2616-2730</t>
  </si>
  <si>
    <t>KX_16-MIDOC_17_014.jpg:2304-0669</t>
  </si>
  <si>
    <t>KX_16-MIDOC_17_014.jpg:1006-0592</t>
  </si>
  <si>
    <t>KX_16-MIDOC_17_014.jpg:0910-0996</t>
  </si>
  <si>
    <t>KX_16-MIDOC_17_015.jpg:1111-2969</t>
  </si>
  <si>
    <t>KX_16-MIDOC_17_015.jpg:1059-3253</t>
  </si>
  <si>
    <t>KX_16-MIDOC_17_015.jpg:2464-0541</t>
  </si>
  <si>
    <t>KX_16-MIDOC_17_015.jpg:2347-2210</t>
  </si>
  <si>
    <t>KX_16-MIDOC_17_015.jpg:1001-1074</t>
  </si>
  <si>
    <t>KX_16-MIDOC_17_018.jpg:1992-3360</t>
  </si>
  <si>
    <t>KX_16-MIDOC_17_018.jpg:1998-3648</t>
  </si>
  <si>
    <t>KX_16-MIDOC_17_018.jpg:2088-3160</t>
  </si>
  <si>
    <t>KX_16-MIDOC_17_018.jpg:2104-3036</t>
  </si>
  <si>
    <t>KX_16-MIDOC_17_018.jpg:2036-2852</t>
  </si>
  <si>
    <t>KX_16-MIDOC_17_018.jpg:2409-0784</t>
  </si>
  <si>
    <t>KX_16-MIDOC_17_018.jpg:2344-0625</t>
  </si>
  <si>
    <t>KX_16-MIDOC_17_018.jpg:0680-3407</t>
  </si>
  <si>
    <t>KX_16-MIDOC_17_018.jpg:0765-2718</t>
  </si>
  <si>
    <t>KX_16-MIDOC_17_018.jpg:0874-2026</t>
  </si>
  <si>
    <t>KX_16-MIDOC_17_018.jpg:0830-1283</t>
  </si>
  <si>
    <t>KX_16-MIDOC_17_018.jpg:1017-0629</t>
  </si>
  <si>
    <t>KX_16-MIDOC_17_022.jpg:1944-1011</t>
  </si>
  <si>
    <t>KX_16-MIDOC_17_022.jpg:2203-2076</t>
  </si>
  <si>
    <t>KX_16-MIDOC_17_022.jpg:2231-1898</t>
  </si>
  <si>
    <t>KX_16-MIDOC_17_022.jpg:2274-1437</t>
  </si>
  <si>
    <t>KX_16-MIDOC_17_022.jpg:2278-1292</t>
  </si>
  <si>
    <t>KX_16-MIDOC_17_022.jpg:2222-1677</t>
  </si>
  <si>
    <t>KX_16-MIDOC_17_022.jpg:0562-2648</t>
  </si>
  <si>
    <t>KX_16-MIDOC_17_022.jpg:2272-2700</t>
  </si>
  <si>
    <t>KX_16-MIDOC_17_022.jpg:1218-2929</t>
  </si>
  <si>
    <t>KX_16-MIDOC_17_022.jpg:0597-3307</t>
  </si>
  <si>
    <t>KX_16-MIDOC_17_022.jpg:2185-3706</t>
  </si>
  <si>
    <t>KX_16-MIDOC_17_022.jpg:0586-1876</t>
  </si>
  <si>
    <t>KX_16-MIDOC_17_022.jpg:0629-1417</t>
  </si>
  <si>
    <t>KX_16-MIDOC_17_024.jpg:2292-3380</t>
  </si>
  <si>
    <t>KX_16-MIDOC_17_025.jpg:1036-0947</t>
  </si>
  <si>
    <t>KX_16-MIDOC_17_025.jpg:1004-0521</t>
  </si>
  <si>
    <t>KX_16-MIDOC_17_025.jpg:1022-3412</t>
  </si>
  <si>
    <t>KX_16-MIDOC_17_025.jpg:0760-3088</t>
  </si>
  <si>
    <t>KX_16-MIDOC_17_025.jpg:0742-2822</t>
  </si>
  <si>
    <t>KX_16-MIDOC_17_025.jpg:0776-2629</t>
  </si>
  <si>
    <t>KX_16-MIDOC_17_025.jpg:2137-3433</t>
  </si>
  <si>
    <t>KX_16-MIDOC_17_025.jpg:0800-2226</t>
  </si>
  <si>
    <t>KX_16-MIDOC_17_025.jpg:0886-1732</t>
  </si>
  <si>
    <t>KX_16-MIDOC_17_025.jpg:0871-1570</t>
  </si>
  <si>
    <t>KX_16-MIDOC_17_025.jpg:0902-1347</t>
  </si>
  <si>
    <t>KX_16-MIDOC_17_025.jpg:2191-2942</t>
  </si>
  <si>
    <t>KX_16-MIDOC_17_025.jpg:2111-2651</t>
  </si>
  <si>
    <t>KX_16-MIDOC_17_025.jpg:2173-2450</t>
  </si>
  <si>
    <t>KX_16-MIDOC_17_025.jpg:2173-2165</t>
  </si>
  <si>
    <t>KX_16-MIDOC_17_025.jpg:2101-1984</t>
  </si>
  <si>
    <t>protomyctophum sp</t>
  </si>
  <si>
    <t>KX_16-MIDOC_17_029.jpg</t>
  </si>
  <si>
    <t>KX_16-MIDOC_17_029.jpg:1776-2564</t>
  </si>
  <si>
    <t>n=1 B. abyssicola</t>
  </si>
  <si>
    <t>KX_16-MIDOC_17_030.jpg:1078-3414</t>
  </si>
  <si>
    <t>KX_16-MIDOC_17_030.jpg:1039-2417</t>
  </si>
  <si>
    <t>KX_16-MIDOC_17_030.jpg:0665-2914</t>
  </si>
  <si>
    <t>MIDOC_17_C6_45</t>
  </si>
  <si>
    <t>KX_16-MIDOC_17_032.jpg:0926-2519</t>
  </si>
  <si>
    <t>KX_16-MIDOC_17_032.jpg:0864-2261</t>
  </si>
  <si>
    <t>KX_16-MIDOC_17_032.jpg:2201-1006</t>
  </si>
  <si>
    <t>KX_16-MIDOC_17_032.jpg:2243-0797</t>
  </si>
  <si>
    <t>KX_16-MIDOC_17_032.jpg:1950-3414</t>
  </si>
  <si>
    <t>KX_16-MIDOC_17_032.jpg:2082-2033</t>
  </si>
  <si>
    <t>KX_16-MIDOC_17_032.jpg:2136-1848</t>
  </si>
  <si>
    <t>KX_16-MIDOC_17_032.jpg:1963-3344</t>
  </si>
  <si>
    <t>KX_16-MIDOC_17_032.jpg:2128-3042</t>
  </si>
  <si>
    <t>KX_16-MIDOC_17_032.jpg:0931-0976</t>
  </si>
  <si>
    <t>KX_16-MIDOC_17_032.jpg:0867-1332</t>
  </si>
  <si>
    <t>KX_16-MIDOC_17_032.jpg:0938-0665</t>
  </si>
  <si>
    <t>KX_16-MIDOC_17_032.jpg:0949-1837</t>
  </si>
  <si>
    <t>KX_16-MIDOC_17_032.jpg:0909-1984</t>
  </si>
  <si>
    <t>KX_16-MIDOC_17_035.jpg:1958-2406</t>
  </si>
  <si>
    <t>KX_16-MIDOC_17_039.jpg</t>
  </si>
  <si>
    <t>multiple species</t>
  </si>
  <si>
    <t>KX_16-MIDOC_18_003.jpg:0813-1960</t>
  </si>
  <si>
    <t>KX_16-MIDOC_18_003.jpg:1995-2760</t>
  </si>
  <si>
    <t>KX_16-MIDOC_18_003.jpg:1063-3262</t>
  </si>
  <si>
    <t>KX_16-MIDOC_18_004.jpg:0858-2550</t>
  </si>
  <si>
    <t>KX_16-MIDOC_18_004.jpg:1874-1212</t>
  </si>
  <si>
    <t>KX_16-MIDOC_18_005.jpg:0956-1800</t>
  </si>
  <si>
    <t>KX_16-MIDOC_18_005.jpg:0785-2693</t>
  </si>
  <si>
    <t>KX_16-MIDOC_18_005.jpg:0814-3688</t>
  </si>
  <si>
    <t>KX_16-MIDOC_18_005.jpg:1593-2839</t>
  </si>
  <si>
    <t>KX_16-MIDOC_18_005.jpg:0849-2929</t>
  </si>
  <si>
    <t>KX_16-MIDOC_18_010.jpg:0541-2302</t>
  </si>
  <si>
    <t>KX_16-MIDOC_18_010.jpg:1143-2626</t>
  </si>
  <si>
    <t>KX_16-MIDOC_18_010.jpg:0955-2240</t>
  </si>
  <si>
    <t>KX_16-MIDOC_18_010.jpg:1949-3491</t>
  </si>
  <si>
    <t>KX_16-MIDOC_18_010.jpg:1934-3293</t>
  </si>
  <si>
    <t>KX_16-MIDOC_18_010.jpg:2061-3075</t>
  </si>
  <si>
    <t>KX_16-MIDOC_18_010.jpg:2253-2448</t>
  </si>
  <si>
    <t>KX_16-MIDOC_18_010.jpg:1782-0851</t>
  </si>
  <si>
    <t>KX_16-MIDOC_18_010.jpg:1807-0515</t>
  </si>
  <si>
    <t>KX_16-MIDOC_18_010.jpg:2188-1255</t>
  </si>
  <si>
    <t>KX_16-MIDOC_18_011.jpg</t>
  </si>
  <si>
    <t>KX_16-MIDOC_18_013.jpg:0954-1346</t>
  </si>
  <si>
    <t>KX_16-MIDOC_18_013.jpg:2030-1078</t>
  </si>
  <si>
    <t>KX_16-MIDOC_18_013.jpg:2093-1402</t>
  </si>
  <si>
    <t>KX_16-MIDOC_18_013.jpg:2108-1261</t>
  </si>
  <si>
    <t>KX_16-MIDOC_18_013.jpg:2063-0815</t>
  </si>
  <si>
    <t>KX_16-MIDOC_18_013.jpg:2145-0531</t>
  </si>
  <si>
    <t>KX_16-MIDOC_18_013.jpg:2253-2622</t>
  </si>
  <si>
    <t>KX_16-MIDOC_18_013.jpg:2225-2525</t>
  </si>
  <si>
    <t>KX_16-MIDOC_18_013.jpg:2188-2376</t>
  </si>
  <si>
    <t>KX_16-MIDOC_18_013.jpg:2185-2250</t>
  </si>
  <si>
    <t>KX_16-MIDOC_18_014.jpg:2211-1518</t>
  </si>
  <si>
    <t>KX_16-MIDOC_18_014.jpg:2262-0463</t>
  </si>
  <si>
    <t>KX_16-MIDOC_18_014.jpg:1054-0778</t>
  </si>
  <si>
    <t>KX_16-MIDOC_18_014.jpg:0956-3556</t>
  </si>
  <si>
    <t>KX_16-MIDOC_18_016.jpg:0820-0886</t>
  </si>
  <si>
    <t>KX_16-MIDOC_18_016.jpg:0797-1613</t>
  </si>
  <si>
    <t>KX_16-MIDOC_18_016.jpg:1042-2047</t>
  </si>
  <si>
    <t>KX_16-MIDOC_18_016.jpg:1035-2482</t>
  </si>
  <si>
    <t>KX_16-MIDOC_18_016.jpg:2118-1851</t>
  </si>
  <si>
    <t>KX_16-MIDOC_18_017.jpg</t>
  </si>
  <si>
    <t>KX_16-MIDOC_18_020.jpg:1616-3513</t>
  </si>
  <si>
    <t>KX_16-MIDOC_18_020.jpg:1503-3197</t>
  </si>
  <si>
    <t>KX_16-MIDOC_18_020.jpg:1614-2859</t>
  </si>
  <si>
    <t>KX_16-MIDOC_18_021.jpg:2368-0794</t>
  </si>
  <si>
    <t>KX_16-MIDOC_18_022.jpg:1853-0816</t>
  </si>
  <si>
    <t>KX_16-MIDOC_18_022.jpg:2286-1100</t>
  </si>
  <si>
    <t>KX_16-MIDOC_18_022.jpg:2226-1338</t>
  </si>
  <si>
    <t>KX_16-MIDOC_18_022.jpg:2228-1602</t>
  </si>
  <si>
    <t>KX_16-MIDOC_18_022.jpg:2171-1938</t>
  </si>
  <si>
    <t>KX_16-MIDOC_18_022.jpg:2143-2189</t>
  </si>
  <si>
    <t>KX_16-MIDOC_18_022.jpg:2088-2473</t>
  </si>
  <si>
    <t>KX_16-MIDOC_18_022.jpg:2213-2799</t>
  </si>
  <si>
    <t>KX_16-MIDOC_18_022.jpg:2246-3017</t>
  </si>
  <si>
    <t>KX_16-MIDOC_18_022.jpg</t>
  </si>
  <si>
    <t>KX_16-MIDOC_18_023.jpg</t>
  </si>
  <si>
    <t>KX_16-MIDOC_18_025.jpg</t>
  </si>
  <si>
    <t>KX_16-MIDOC_18_025.jpg:2442-3393</t>
  </si>
  <si>
    <t>KX_16-MIDOC_18_025.jpg:2380-3064</t>
  </si>
  <si>
    <t>KX_16-MIDOC_18_025.jpg:2359-3247</t>
  </si>
  <si>
    <t>KX_16-MIDOC_18_025.jpg:2458-3590</t>
  </si>
  <si>
    <t>KX_16-MIDOC_18_026.jpg</t>
  </si>
  <si>
    <t>KX_16-MIDOC_18_026.jpg:0837-2703</t>
  </si>
  <si>
    <t>KX_16-MIDOC_18_026.jpg:1547-1897</t>
  </si>
  <si>
    <t>KX_16-MIDOC_18_030.jpg:1906-0614</t>
  </si>
  <si>
    <t>KX_16-MIDOC_18_030.jpg:2112-1237</t>
  </si>
  <si>
    <t>KX_16-MIDOC_18_030.jpg:2225-1771</t>
  </si>
  <si>
    <t>KX_16-MIDOC_18_030.jpg:2241-2267</t>
  </si>
  <si>
    <t>KX_16-MIDOC_18_030.jpg:2049-0937</t>
  </si>
  <si>
    <t>KX_16-MIDOC_18_030.jpg:2252-2889</t>
  </si>
  <si>
    <t>KX_16-MIDOC_18_030.jpg:1791-3623</t>
  </si>
  <si>
    <t>KX_16-MIDOC_18_030.jpg:0833-1176</t>
  </si>
  <si>
    <t>KX_16-MIDOC_18_030.jpg:0823-1525</t>
  </si>
  <si>
    <t>KX_16-MIDOC_18_030.jpg:0809-2079</t>
  </si>
  <si>
    <t>KX_16-MIDOC_18_030.jpg:0803-2380</t>
  </si>
  <si>
    <t>KX_16-MIDOC_18_030.jpg:0757-2859</t>
  </si>
  <si>
    <t>KX_16-MIDOC_18_030.jpg:0806-1356</t>
  </si>
  <si>
    <t>KX_16-MIDOC_18_031.jpg:1442-2322</t>
  </si>
  <si>
    <t>KX_16-MIDOC_18_031.jpg:2289-1735</t>
  </si>
  <si>
    <t>KX_16-MIDOC_18_031.jpg:2032-2519</t>
  </si>
  <si>
    <t>KX16-MIDOC19_001.jpg:1824-1435</t>
  </si>
  <si>
    <t>KX16-MIDOC19_001.jpg:0821-1081</t>
  </si>
  <si>
    <t>KX16-MIDOC19_001.jpg:1062-0714</t>
  </si>
  <si>
    <t>KX16-MIDOC19_001.jpg:2030-0617</t>
  </si>
  <si>
    <t>KX16-MIDOC19_001.jpg:0803-2635</t>
  </si>
  <si>
    <t>KX16-MIDOC19_001.jpg:2013-3418</t>
  </si>
  <si>
    <t>KX16-MIDOC19_006.jpg</t>
  </si>
  <si>
    <t>KX16-MIDOC19_010.jpg:0965-2968</t>
  </si>
  <si>
    <t>KX16-MIDOC19_010.jpg:1925-3038</t>
  </si>
  <si>
    <t>KX16-MIDOC19_010.jpg:0993-0518</t>
  </si>
  <si>
    <t>KX16-MIDOC19_010.jpg:0992-2163</t>
  </si>
  <si>
    <t>KX16-MIDOC19_013.jpg:2014-3176</t>
  </si>
  <si>
    <t>KX16-MIDOC19_013.jpg:2191-3552</t>
  </si>
  <si>
    <t>KX16-MIDOC19_013.jpg:2119-3397</t>
  </si>
  <si>
    <t>KX16-MIDOC19_013.jpg:2017-2386</t>
  </si>
  <si>
    <t>KX16-MIDOC19_013.jpg:2113-0791</t>
  </si>
  <si>
    <t>KX16-MIDOC19_013.jpg:1524-0921</t>
  </si>
  <si>
    <t>KX16-MIDOC19_013.jpg:1443-1993</t>
  </si>
  <si>
    <t>KX16-MIDOC19_013.jpg:1433-3079</t>
  </si>
  <si>
    <t>KX16-MIDOC19_013.jpg:1163-3041</t>
  </si>
  <si>
    <t>KX16-MIDOC19_013.jpg:0763-1197</t>
  </si>
  <si>
    <t>KX16-MIDOC19_013.jpg:0711-0515</t>
  </si>
  <si>
    <t>KX16-MIDOC19_013.jpg:0784-0824</t>
  </si>
  <si>
    <t>KX16-MIDOC19_013.jpg:0689-2026</t>
  </si>
  <si>
    <t>KX16-MIDOC19_013.jpg:0551-3458</t>
  </si>
  <si>
    <t>KX16-MIDOC19_015.jpg:0653-3736</t>
  </si>
  <si>
    <t>KX16-MIDOC19_015.jpg:0555-1717</t>
  </si>
  <si>
    <t>KX16-MIDOC19_015.jpg:1417-0749</t>
  </si>
  <si>
    <t>KX16-MIDOC19_015.jpg:1442-3200</t>
  </si>
  <si>
    <t>KX16-MIDOC19_015.jpg:2170-0683</t>
  </si>
  <si>
    <t>KX16-MIDOC19_017.jpg:1972-0507</t>
  </si>
  <si>
    <t>KX16-MIDOC19_017.jpg:0641-1070</t>
  </si>
  <si>
    <t>KX16-MIDOC19_017.jpg:1965-2363</t>
  </si>
  <si>
    <t>KX16-MIDOC19_017.jpg:0655-2769</t>
  </si>
  <si>
    <t>KX16-MIDOC19_017.jpg:1962-1779</t>
  </si>
  <si>
    <t>KX16-MIDOC19_017.jpg:1326-3059</t>
  </si>
  <si>
    <t>KX16-MIDOC19_017.jpg:1307-3644</t>
  </si>
  <si>
    <t>KX16-MIDOC19_020.jpg</t>
  </si>
  <si>
    <t>KX16-MIDOC19_020.jpg:1564-2122</t>
  </si>
  <si>
    <t>KX16-MIDOC19_020.jpg:1592-2369</t>
  </si>
  <si>
    <t>KX16-MIDOC19_020.jpg:1556-2732</t>
  </si>
  <si>
    <t>KX16-MIDOC19_020.jpg:1549-2870</t>
  </si>
  <si>
    <t>KX16-MIDOC19_020.jpg:1493-3003</t>
  </si>
  <si>
    <t>KX16-MIDOC19_020.jpg:1449-3167</t>
  </si>
  <si>
    <t>KX16-MIDOC19_020.jpg:1485-3292</t>
  </si>
  <si>
    <t>KX16-MIDOC19_020.jpg:1522-3479</t>
  </si>
  <si>
    <t>KX16-MIDOC19_020.jpg:1545-3663</t>
  </si>
  <si>
    <t>KX16-MIDOC19_020.jpg:0842-3088</t>
  </si>
  <si>
    <t>KX16-MIDOC19_021.jpg:0741-1950</t>
  </si>
  <si>
    <t>KX16-MIDOC19_026.jpg:0811-0716</t>
  </si>
  <si>
    <t>KX16-MIDOC19_026.jpg:1160-3773</t>
  </si>
  <si>
    <t>KX16-MIDOC19_026.jpg:1072-3469</t>
  </si>
  <si>
    <t>KX16-MIDOC19_026.jpg:1090-3150</t>
  </si>
  <si>
    <t>KX16-MIDOC19_026.jpg:0806-2809</t>
  </si>
  <si>
    <t>KX16-MIDOC19_026.jpg:0812-2424</t>
  </si>
  <si>
    <t>KX16-MIDOC19_026.jpg:0784-2188</t>
  </si>
  <si>
    <t>KX16-MIDOC19_026.jpg:0767-1918</t>
  </si>
  <si>
    <t>KX16-MIDOC19_026.jpg:0720-1754</t>
  </si>
  <si>
    <t>KX16-MIDOC19_026.jpg:2041-2850</t>
  </si>
  <si>
    <t>KX16-MIDOC19_026.jpg:2001-2409</t>
  </si>
  <si>
    <t>KX16-MIDOC19_026.jpg:2056-2207</t>
  </si>
  <si>
    <t>KX16-MIDOC19_026.jpg:2159-1263</t>
  </si>
  <si>
    <t>KX16-MIDOC19_026.jpg:1849-0522</t>
  </si>
  <si>
    <t>KX16-MIDOC19_030.jpg</t>
  </si>
  <si>
    <t>KX16-MIDOC19_030.jpg:0920-3581</t>
  </si>
  <si>
    <t>KX16-MIDOC19_030.jpg:0987-3124</t>
  </si>
  <si>
    <t>KX16-MIDOC19_030.jpg:0555-2157</t>
  </si>
  <si>
    <t>KX16-MIDOC19_030.jpg:0616-2617</t>
  </si>
  <si>
    <t>Stomias sp</t>
  </si>
  <si>
    <t>KX16-MIDOC19_032.jpg:1992-3437</t>
  </si>
  <si>
    <t>KX16-MIDOC19_032.jpg:1946-3210</t>
  </si>
  <si>
    <t>KX16-MIDOC19_032.jpg:1340-2984</t>
  </si>
  <si>
    <t>KX16-MIDOC19_032.jpg:1981-2605</t>
  </si>
  <si>
    <t>KX16-MIDOC19_032.jpg:1595-2274</t>
  </si>
  <si>
    <t>KX16-MIDOC19_032.jpg:2226-1980</t>
  </si>
  <si>
    <t>KX16-MIDOC19_032.jpg:2093-1769</t>
  </si>
  <si>
    <t>KX16-MIDOC19_032.jpg:2044-1311</t>
  </si>
  <si>
    <t>KX16-MIDOC19_032.jpg:0932-1821</t>
  </si>
  <si>
    <t>KX16-MIDOC19_032.jpg:2220-0469</t>
  </si>
  <si>
    <t>KX16-MIDOC19_032.jpg:2295-0625</t>
  </si>
  <si>
    <t>KX16-MIDOC19_032.jpg:2276-0752</t>
  </si>
  <si>
    <t>KX16-MIDOC19_032.jpg:0636-0846</t>
  </si>
  <si>
    <t>KX16-MIDOC19_032.jpg</t>
  </si>
  <si>
    <t>KX16-MIDOC19_032.jpg:1044-1570</t>
  </si>
  <si>
    <t>KX16-MIDOC19_032.jpg:1028-1409</t>
  </si>
  <si>
    <t>KX16-MIDOC19_032.jpg:1149-1274</t>
  </si>
  <si>
    <t>KX16-MIDOC19_032.jpg:1116-1167</t>
  </si>
  <si>
    <t>KX16-MIDOC19_032.jpg:0843-2856</t>
  </si>
  <si>
    <t>n=1 measured</t>
  </si>
  <si>
    <t>KX16-MIDOC19_033.jpg</t>
  </si>
  <si>
    <t>Psychroteuthis glacialis larvae</t>
  </si>
  <si>
    <t>KX16-MIDOC19_033.jpg:1761-3170</t>
  </si>
  <si>
    <t>KX16-MIDOC19_033.jpg:2256-0920</t>
  </si>
  <si>
    <t>KX16-MIDOC19_036.jpg</t>
  </si>
  <si>
    <t>KX16-MIDOC19_037.jpg</t>
  </si>
  <si>
    <t>galiteuthis glacialis; alluroteuthis antarcticus</t>
  </si>
  <si>
    <t>KX16-MIDOC20_002.jpg:1922-1100</t>
  </si>
  <si>
    <t>KX16-MIDOC20_010.jpg:2121-3056</t>
  </si>
  <si>
    <t>KX16-MIDOC20_010.jpg:2109-1974</t>
  </si>
  <si>
    <t>KX16-MIDOC20_010.jpg:2085-1400</t>
  </si>
  <si>
    <t>KX16-MIDOC20_010.jpg:2187-2227</t>
  </si>
  <si>
    <t>KX16-MIDOC20_010.jpg:2145-2761</t>
  </si>
  <si>
    <t>KX16-MIDOC20_014.jpg:1922-3390</t>
  </si>
  <si>
    <t>KX16-MIDOC20_014.jpg:1782-3654</t>
  </si>
  <si>
    <t>KX16-MIDOC20_014.jpg:1980-3073</t>
  </si>
  <si>
    <t>KX16-MIDOC20_014.jpg:1865-1045</t>
  </si>
  <si>
    <t>KX16-MIDOC20_014.jpg:1843-1228</t>
  </si>
  <si>
    <t>KX16-MIDOC20_014.jpg:1901-1359</t>
  </si>
  <si>
    <t>KX16-MIDOC20_014.jpg:2120-2031</t>
  </si>
  <si>
    <t>KX16-MIDOC20_014.jpg:2102-2284</t>
  </si>
  <si>
    <t>KX16-MIDOC20_014.jpg:2013-2476</t>
  </si>
  <si>
    <t>KX16-MIDOC20_014.jpg:2050-2653</t>
  </si>
  <si>
    <t>KX16-MIDOC20_014.jpg:2183-1822</t>
  </si>
  <si>
    <t>KX16-MIDOC20_014.jpg:2123-1714</t>
  </si>
  <si>
    <t>KX16-MIDOC20_014.jpg:2155-1625</t>
  </si>
  <si>
    <t>KX16-MIDOC20_014.jpg:2155-1509</t>
  </si>
  <si>
    <t>KX16-MIDOC20_014.jpg:0657-2574</t>
  </si>
  <si>
    <t>KX16-MIDOC20_014.jpg:0561-2097</t>
  </si>
  <si>
    <t>KX16-MIDOC20_014.jpg:0585-1702</t>
  </si>
  <si>
    <t>KX16-MIDOC20_014.jpg:0717-1099</t>
  </si>
  <si>
    <t>KX16-MIDOC20_014.jpg:0522-3433</t>
  </si>
  <si>
    <t>KX16-MIDOC20_014.jpg:1856-0598</t>
  </si>
  <si>
    <t>KX16-MIDOC20_014.jpg:1873-0831</t>
  </si>
  <si>
    <t>KX16-MIDOC20_016.jpg</t>
  </si>
  <si>
    <t>KX16-MIDOC20_016.jpg:2423-3539</t>
  </si>
  <si>
    <t>KX16-MIDOC20_022.jpg:0901-3669</t>
  </si>
  <si>
    <t>KX16-MIDOC20_022.jpg:0929-1980</t>
  </si>
  <si>
    <t>KX16-MIDOC20_022.jpg:0870-1378</t>
  </si>
  <si>
    <t>KX16-MIDOC20_022.jpg:0791-0812</t>
  </si>
  <si>
    <t>KX16-MIDOC20_022.jpg:0744-0568</t>
  </si>
  <si>
    <t>KX16-MIDOC20_022.jpg:2128-3464</t>
  </si>
  <si>
    <t>KX16-MIDOC20_022.jpg:2098-2575</t>
  </si>
  <si>
    <t>KX16-MIDOC20_022.jpg:2127-2155</t>
  </si>
  <si>
    <t>KX16-MIDOC20_022.jpg:2093-1213</t>
  </si>
  <si>
    <t>KX16-MIDOC20_022.jpg:2146-0950</t>
  </si>
  <si>
    <t>KX16-MIDOC20_022.jpg:2166-0723</t>
  </si>
  <si>
    <t>KX16-MIDOC20_026.jpg:0662-1163</t>
  </si>
  <si>
    <t>KX16-MIDOC20_026.jpg:0650-0800</t>
  </si>
  <si>
    <t>KX16-MIDOC20_028.jpg:0612-3293</t>
  </si>
  <si>
    <t>KX16-MIDOC20_028.jpg:0582-2709</t>
  </si>
  <si>
    <t>KX16-MIDOC20_028.jpg:0632-1850</t>
  </si>
  <si>
    <t>KX16-MIDOC20_028.jpg:0720-1023</t>
  </si>
  <si>
    <t>KX16-MIDOC20_028.jpg:0635-0828</t>
  </si>
  <si>
    <t>KX16-MIDOC20_028.jpg:2029-2001</t>
  </si>
  <si>
    <t>KX16-MIDOC20_028.jpg:2007-1919</t>
  </si>
  <si>
    <t>KX16-MIDOC20_028.jpg:1973-3482</t>
  </si>
  <si>
    <t>KX16-MIDOC20_028.jpg:2038-3235</t>
  </si>
  <si>
    <t>KX16-MIDOC20_028.jpg:1917-3009</t>
  </si>
  <si>
    <t>KX16-MIDOC20_028.jpg:2017-2861</t>
  </si>
  <si>
    <t>KX16-MIDOC20_028.jpg:2039-2708</t>
  </si>
  <si>
    <t>KX16-MIDOC20_028.jpg:2087-2580</t>
  </si>
  <si>
    <t>KX16-MIDOC20_029.jpg:0878-1718</t>
  </si>
  <si>
    <t>KX16-MIDOC20_029.jpg:1776-2176</t>
  </si>
  <si>
    <t>KX16-MIDOC20_029.jpg:0736-1010</t>
  </si>
  <si>
    <t>KX16-MIDOC20_029.jpg:1994-1238</t>
  </si>
  <si>
    <t>KX16-MIDOC20_029.jpg:0974-3282</t>
  </si>
  <si>
    <t>KX16-MIDOC20_030.jpg</t>
  </si>
  <si>
    <t>KX16-MIDOC20_034.jpg:1038-3249</t>
  </si>
  <si>
    <t>KX16-MIDOC20_034.jpg:0972-2396</t>
  </si>
  <si>
    <t>KX16-MIDOC20_034.jpg:0948-1032</t>
  </si>
  <si>
    <t>KX16-MIDOC20_034.jpg:2411-3373</t>
  </si>
  <si>
    <t>KX16-MIDOC20_034.jpg:1865-3622</t>
  </si>
  <si>
    <t>KX16-MIDOC20_034.jpg:2039-2837</t>
  </si>
  <si>
    <t>KX16-MIDOC20_034.jpg:2005-2647</t>
  </si>
  <si>
    <t>KX16-MIDOC20_034.jpg:1965-2509</t>
  </si>
  <si>
    <t>KX16-MIDOC20_034.jpg:1986-2386</t>
  </si>
  <si>
    <t>KX16-MIDOC20_034.jpg:1975-2219</t>
  </si>
  <si>
    <t>KX16-MIDOC20_034.jpg:1910-1831</t>
  </si>
  <si>
    <t>KX16-MIDOC20_034.jpg:2188-0710</t>
  </si>
  <si>
    <t>KX16-MIDOC20_036.jpg:1739-3815</t>
  </si>
  <si>
    <t>KX16-MIDOC20_036.jpg:1926-3328</t>
  </si>
  <si>
    <t>KX16-MIDOC20_036.jpg:0612-3073</t>
  </si>
  <si>
    <t>KX16-MIDOC20_036.jpg</t>
  </si>
  <si>
    <t>KX16-MIDOC20_036.jpg:2372-2130</t>
  </si>
  <si>
    <t>KX16-MIDOC20_036.jpg:2391-2327</t>
  </si>
  <si>
    <t>KX16-MIDOC20_036.jpg:2301-2617</t>
  </si>
  <si>
    <t>KX16-MIDOC20_036.jpg:2327-2454</t>
  </si>
  <si>
    <t>KX16-MIDOC20_036.jpg:2361-2805</t>
  </si>
  <si>
    <t>KX16-MIDOC20_039.jpg:1141-0573</t>
  </si>
  <si>
    <t>KX16-MIDOC20_039.jpg:0987-1149</t>
  </si>
  <si>
    <t>KX16-MIDOC20_039.jpg:2173-1790</t>
  </si>
  <si>
    <t>KX16-MIDOC20_039.jpg:2130-1283</t>
  </si>
  <si>
    <t>KX16-MIDOC20_039.jpg:0926-3458</t>
  </si>
  <si>
    <t>KX16-MIDOC20_042.jpg:0944-2262</t>
  </si>
  <si>
    <t>KX16-MIDOC20_042.jpg:2010-1241</t>
  </si>
  <si>
    <t>KX16-MIDOC20_044.jpg:1168-3593</t>
  </si>
  <si>
    <t>KX16-MIDOC20_044.jpg:0962-2898</t>
  </si>
  <si>
    <t>KX16-MIDOC20_044.jpg:1002-2032</t>
  </si>
  <si>
    <t>KX16-MIDOC20_045.jpg:0727-3627</t>
  </si>
  <si>
    <t>KX16-MIDOC20_045.jpg:0751-3281</t>
  </si>
  <si>
    <t>KX16-MIDOC20_045.jpg:0696-2280</t>
  </si>
  <si>
    <t>KX16-MIDOC20_045.jpg:0718-1992</t>
  </si>
  <si>
    <t>KX16-MIDOC20_045.jpg:0593-1706</t>
  </si>
  <si>
    <t>KX16-MIDOC20_045.jpg:1895-3403</t>
  </si>
  <si>
    <t>KX16-MIDOC20_045.jpg:1923-3177</t>
  </si>
  <si>
    <t>KX16-MIDOC20_045.jpg:1993-2509</t>
  </si>
  <si>
    <t>KX16-MIDOC20_045.jpg:2051-1925</t>
  </si>
  <si>
    <t>KX16-MIDOC20_045.jpg:2047-1730</t>
  </si>
  <si>
    <t>KX16-MIDOC20_048.jpg:1907-3712</t>
  </si>
  <si>
    <t>KX16-MIDOC20_048.jpg:1898-3461</t>
  </si>
  <si>
    <t>KX16-MIDOC20_048.jpg:1898-3247</t>
  </si>
  <si>
    <t>KX16-MIDOC20_048.jpg:1860-2680</t>
  </si>
  <si>
    <t>KX16-MIDOC20_048.jpg:1684-1280</t>
  </si>
  <si>
    <t>KX16-MIDOC20_048.jpg:1723-1048</t>
  </si>
  <si>
    <t>KX16-MIDOC20_048.jpg:1708-0813</t>
  </si>
  <si>
    <t>KX16-MIDOC20_048.jpg:1733-0666</t>
  </si>
  <si>
    <t>KX16-MIDOC20_048.jpg:0542-2819</t>
  </si>
  <si>
    <t>KX16-MIDOC20_048.jpg:0604-3327</t>
  </si>
  <si>
    <t>KX16-MIDOC20_048.jpg:0561-1290</t>
  </si>
  <si>
    <t>KX16-MIDOC20_048.jpg:0604-2131</t>
  </si>
  <si>
    <t>KX16-MIDOC20_048.jpg:0617-2522</t>
  </si>
  <si>
    <t>KX16-MIDOC20_050.jpg:2133-0625</t>
  </si>
  <si>
    <t xml:space="preserve">Alluroteuthis antarcticus </t>
  </si>
  <si>
    <t>KX16-MIDOC20_052.jpg:1516-3267</t>
  </si>
  <si>
    <t>KX16-MIDOC20_052.jpg:0705-1492</t>
  </si>
  <si>
    <t>KX16-MIDOC20_052.jpg:0712-1002</t>
  </si>
  <si>
    <t>KX16-MIDOC20_052.jpg:0727-3309</t>
  </si>
  <si>
    <t>KX16-MIDOC20_052.jpg:2247-0800</t>
  </si>
  <si>
    <t>KX16-MIDOC20_056.jpg:0430-2292</t>
  </si>
  <si>
    <t>KX16-MIDOC20_056.jpg:0839-1643</t>
  </si>
  <si>
    <t>KX16-MIDOC20_056.jpg:0925-2873</t>
  </si>
  <si>
    <t>KX16-MIDOC20_056.jpg:1142-2907</t>
  </si>
  <si>
    <t>KX16-MIDOC20_056.jpg:2058-2256</t>
  </si>
  <si>
    <t>KX16-MIDOC20_056.jpg:1640-2620</t>
  </si>
  <si>
    <t>KX16-MIDOC20_056.jpg</t>
  </si>
  <si>
    <t>KX16-MIDOC20_064.jpg:0815-3568</t>
  </si>
  <si>
    <t>KX16-MIDOC20_064.jpg:0687-2630</t>
  </si>
  <si>
    <t>KX16-MIDOC20_064.jpg:0669-1876</t>
  </si>
  <si>
    <t>KX16-MIDOC20_064.jpg:0757-0411</t>
  </si>
  <si>
    <t>KX16-MIDOC20_064.jpg:0690-1424</t>
  </si>
  <si>
    <t>KX16-MIDOC20_064.jpg:2007-1874</t>
  </si>
  <si>
    <t>KX16-MIDOC20_064.jpg:2069-0761</t>
  </si>
  <si>
    <t>KX16-MIDOC20_064.jpg:2027-1042</t>
  </si>
  <si>
    <t>KX16-MIDOC20_064.jpg:1993-2087</t>
  </si>
  <si>
    <t>KX16-MIDOC20_064.jpg:1908-2546</t>
  </si>
  <si>
    <t>KX16-MIDOC20_065.jpg:2122-3650</t>
  </si>
  <si>
    <t>KX16-MIDOC20_065.jpg:2160-3209</t>
  </si>
  <si>
    <t>KX16-MIDOC20_065.jpg:2259-2851</t>
  </si>
  <si>
    <t>KX16-MIDOC20_065.jpg:2213-2068</t>
  </si>
  <si>
    <t>KX16-MIDOC20_065.jpg:2124-3445</t>
  </si>
  <si>
    <t>KX16-MIDOC20_066.jpg:2392-3360</t>
  </si>
  <si>
    <t>KX16-MIDOC20_066.jpg:2479-1741</t>
  </si>
  <si>
    <t>KX16-MIDOC20_071.jpg:2353-1001</t>
  </si>
  <si>
    <t>KX16-MIDOC20_071.jpg:2017-3515</t>
  </si>
  <si>
    <t>KX16-MIDOC20_071.jpg:1033-2801</t>
  </si>
  <si>
    <t>KX16-MIDOC20_076.jpg:0683-1289</t>
  </si>
  <si>
    <t>KX16-MIDOC20_080.jpg:1646-2252</t>
  </si>
  <si>
    <t>KX16-MIDOC21_005.jpg:1069-2532</t>
  </si>
  <si>
    <t>KX16-MIDOC21_005.jpg:1954-0491</t>
  </si>
  <si>
    <t>KX16-MIDOC21_005.jpg:2058-1088</t>
  </si>
  <si>
    <t>KX16-MIDOC21_005.jpg:2016-3097</t>
  </si>
  <si>
    <t>KX16-MIDOC21_005.jpg:2036-3548</t>
  </si>
  <si>
    <t>KX16-MIDOC21_002.jpg:0813-0541</t>
  </si>
  <si>
    <t>KX16-MIDOC21_002.jpg:0919-1720</t>
  </si>
  <si>
    <t>KX16-MIDOC21_002.jpg:0846-3143</t>
  </si>
  <si>
    <t>KX16-MIDOC21_002.jpg:2201-0901</t>
  </si>
  <si>
    <t>KX16-MIDOC21_002.jpg:2220-1520</t>
  </si>
  <si>
    <t>KX16-MIDOC21_002.jpg:1951-3604</t>
  </si>
  <si>
    <t>KX16-MIDOC21_003.jpg:0838-1176</t>
  </si>
  <si>
    <t>KX16-MIDOC21_003.jpg:0805-1392</t>
  </si>
  <si>
    <t>KX16-MIDOC21_003.jpg:0839-1625</t>
  </si>
  <si>
    <t>KX16-MIDOC21_003.jpg:0789-2859</t>
  </si>
  <si>
    <t>KX16-MIDOC21_003.jpg:0948-3619</t>
  </si>
  <si>
    <t>KX16-MIDOC21_003.jpg:1940-0595</t>
  </si>
  <si>
    <t>KX16-MIDOC21_003.jpg:2066-0999</t>
  </si>
  <si>
    <t>KX16-MIDOC21_003.jpg:2122-1526</t>
  </si>
  <si>
    <t>KX16-MIDOC21_003.jpg:2162-2196</t>
  </si>
  <si>
    <t>KX16-MIDOC21_003.jpg:2143-3150</t>
  </si>
  <si>
    <t>KX16-MIDOC21_007.jpg</t>
  </si>
  <si>
    <t>KX16-MIDOC21_009.jpg:0936-1565</t>
  </si>
  <si>
    <t>KX16-MIDOC21_009.jpg:1243-1876</t>
  </si>
  <si>
    <t>KX16-MIDOC21_009.jpg:0807-2478</t>
  </si>
  <si>
    <t>KX16-MIDOC21_009.jpg:0855-2217</t>
  </si>
  <si>
    <t>Paraliparis</t>
  </si>
  <si>
    <t>KX16-MIDOC21_009.jpg:1914-1649</t>
  </si>
  <si>
    <t>KX16-MIDOC21_011.jpg:0670-0876</t>
  </si>
  <si>
    <t>KX16-MIDOC21_011.jpg:0775-1612</t>
  </si>
  <si>
    <t>KX16-MIDOC21_011.jpg:0752-2267</t>
  </si>
  <si>
    <t>KX16-MIDOC21_011.jpg:0875-2685</t>
  </si>
  <si>
    <t>KX16-MIDOC21_011.jpg:0928-3081</t>
  </si>
  <si>
    <t>KX16-MIDOC21_011.jpg:1007-3558</t>
  </si>
  <si>
    <t>KX16-MIDOC21_012.jpg:0660-0465</t>
  </si>
  <si>
    <t>KX16-MIDOC21_012.jpg:0733-2540</t>
  </si>
  <si>
    <t>KX16-MIDOC21_012.jpg</t>
  </si>
  <si>
    <t>KX16-MIDOC21_012.jpg:1295-1453</t>
  </si>
  <si>
    <t>KX16-MIDOC21_012.jpg:1528-2957</t>
  </si>
  <si>
    <t>KX16-MIDOC21_012.jpg:2167-0618</t>
  </si>
  <si>
    <t>KX16-MIDOC21_012.jpg:2198-0849</t>
  </si>
  <si>
    <t>KX16-MIDOC21_012.jpg:2142-1051</t>
  </si>
  <si>
    <t>KX16-MIDOC21_012.jpg:2190-1253</t>
  </si>
  <si>
    <t>KX16-MIDOC21_012.jpg:2160-1480</t>
  </si>
  <si>
    <t>KX16-MIDOC21_017.jpg:0952-0700</t>
  </si>
  <si>
    <t>KX16-MIDOC21_017.jpg:0859-1254</t>
  </si>
  <si>
    <t>KX16-MIDOC21_017.jpg:0601-1735</t>
  </si>
  <si>
    <t>KX16-MIDOC21_017.jpg:0813-1967</t>
  </si>
  <si>
    <t>KX16-MIDOC21_017.jpg:0812-2134</t>
  </si>
  <si>
    <t>KX16-MIDOC21_017.jpg:0762-2356</t>
  </si>
  <si>
    <t>KX16-MIDOC21_017.jpg:1927-0738</t>
  </si>
  <si>
    <t>KX16-MIDOC21_017.jpg:2186-1156</t>
  </si>
  <si>
    <t>KX16-MIDOC21_017.jpg:1988-1778</t>
  </si>
  <si>
    <t>KX16-MIDOC21_017.jpg:1833-2249</t>
  </si>
  <si>
    <t>KX16-MIDOC21_017.jpg:2010-2505</t>
  </si>
  <si>
    <t>KX16-MIDOC21_017.jpg:1957-2675</t>
  </si>
  <si>
    <t>KX16-MIDOC21_017.jpg:2057-2827</t>
  </si>
  <si>
    <t>KX16-MIDOC21_017.jpg:1845-3023</t>
  </si>
  <si>
    <t>KX16-MIDOC21_017.jpg:1845-3215</t>
  </si>
  <si>
    <t>KX16-MIDOC21_017.jpg:1784-3433</t>
  </si>
  <si>
    <t>KX16-MIDOC21_017.jpg:2409-3098</t>
  </si>
  <si>
    <t>KX16-MIDOC21_017.jpg:2369-3355</t>
  </si>
  <si>
    <t>KX16-MIDOC21_017.jpg:2253-3495</t>
  </si>
  <si>
    <t>KX16-MIDOC21_017.jpg:1909-3702</t>
  </si>
  <si>
    <t>KX16-MIDOC21_017_measured.jpg:2223-1531</t>
  </si>
  <si>
    <t>KX16-MIDOC21_018.jpg:1953-0910</t>
  </si>
  <si>
    <t>KX16-MIDOC21_018.jpg:1899-1393</t>
  </si>
  <si>
    <t>KX16-MIDOC21_018.jpg:1990-1747</t>
  </si>
  <si>
    <t>KX16-MIDOC21_018.jpg:1979-1961</t>
  </si>
  <si>
    <t>KX16-MIDOC21_018.jpg:1935-2182</t>
  </si>
  <si>
    <t>KX16-MIDOC21_018.jpg:1951-2373</t>
  </si>
  <si>
    <t>KX16-MIDOC21_018.jpg:1950-2612</t>
  </si>
  <si>
    <t>KX16-MIDOC21_018.jpg:0752-1292</t>
  </si>
  <si>
    <t>KX16-MIDOC21_018.jpg:0739-1119</t>
  </si>
  <si>
    <t>KX16-MIDOC21_018.jpg:0799-0944</t>
  </si>
  <si>
    <t>KX16-MIDOC21_019.jpg:2210-1780</t>
  </si>
  <si>
    <t>KX16-MIDOC21_019.jpg</t>
  </si>
  <si>
    <t>MIDOC21_5_02</t>
  </si>
  <si>
    <t>MIDOC21_5_03</t>
  </si>
  <si>
    <t>MIDOC21_5_04</t>
  </si>
  <si>
    <t>MIDOC21_5_11</t>
  </si>
  <si>
    <t>MIDOC21_5_10</t>
  </si>
  <si>
    <t>MIDOC21_5_09</t>
  </si>
  <si>
    <t>MIDOC21_5_08</t>
  </si>
  <si>
    <t>MIDOC21_5_07</t>
  </si>
  <si>
    <t>MIDOC21_5_06</t>
  </si>
  <si>
    <t>MIDOC21_5_05</t>
  </si>
  <si>
    <t>KX16-MIDOC21_020.jpg:1012-2671</t>
  </si>
  <si>
    <t>KX16-MIDOC21_020.jpg:0877-2954</t>
  </si>
  <si>
    <t>KX16-MIDOC21_020.jpg:2079-3384</t>
  </si>
  <si>
    <t>KX16-MIDOC21_020.jpg:2108-3081</t>
  </si>
  <si>
    <t>KX16-MIDOC21_020.jpg:2088-3212</t>
  </si>
  <si>
    <t>KX16-MIDOC21_020.jpg</t>
  </si>
  <si>
    <t>KX16-MIDOC22_023.jpg:0947-0412</t>
  </si>
  <si>
    <t>KX16-MIDOC22_023.jpg:0934-0769</t>
  </si>
  <si>
    <t>KX16-MIDOC22_023.jpg:0988-1218</t>
  </si>
  <si>
    <t>KX16-MIDOC22_023.jpg:1062-1482</t>
  </si>
  <si>
    <t>KX16-MIDOC22_023.jpg:0983-1920</t>
  </si>
  <si>
    <t>KX16-MIDOC22_023.jpg</t>
  </si>
  <si>
    <t>KX16-MIDOC22_023.jpg:1280-3118</t>
  </si>
  <si>
    <t>KX16-MIDOC22_023.jpg:1352-3586</t>
  </si>
  <si>
    <t>KX16-MIDOC22_003.jpg:0575-0605</t>
  </si>
  <si>
    <t>KX16-MIDOC22_003.jpg:0620-1472</t>
  </si>
  <si>
    <t>KX16-MIDOC22_003.jpg:0683-1893</t>
  </si>
  <si>
    <t>KX16-MIDOC22_003.jpg:0870-2124</t>
  </si>
  <si>
    <t>nannobrachium achirus</t>
  </si>
  <si>
    <t>KX16-MIDOC22_003.jpg:0988-3148</t>
  </si>
  <si>
    <t>KX16-MIDOC22_003.jpg:0993-3425</t>
  </si>
  <si>
    <t>KX16-MIDOC22_003.jpg:1315-3715</t>
  </si>
  <si>
    <t>KX16-MIDOC22_003.jpg:1831-1470</t>
  </si>
  <si>
    <t>KX16-MIDOC22_006.jpg:0691-2834</t>
  </si>
  <si>
    <t>KX16-MIDOC22_006.jpg:0886-3626</t>
  </si>
  <si>
    <t>KX16-MIDOC22_006.jpg:2123-0609</t>
  </si>
  <si>
    <t>KX16-MIDOC22_006.jpg:2092-1342</t>
  </si>
  <si>
    <t>KX16-MIDOC22_008.jpg:0480-1701</t>
  </si>
  <si>
    <t>KX16-MIDOC22_008.jpg:0398-2401</t>
  </si>
  <si>
    <t>KX16-MIDOC22_008.jpg:0625-3612</t>
  </si>
  <si>
    <t>KX16-MIDOC22_008.jpg:1368-0779</t>
  </si>
  <si>
    <t>KX16-MIDOC22_008.jpg:2162-2825</t>
  </si>
  <si>
    <t>KX16-MIDOC22_011.jpg:0627-0343</t>
  </si>
  <si>
    <t>KX16-MIDOC22_011.jpg:0747-0571</t>
  </si>
  <si>
    <t>KX16-MIDOC22_011.jpg:0584-0900</t>
  </si>
  <si>
    <t>KX16-MIDOC22_011.jpg:0606-1076</t>
  </si>
  <si>
    <t>KX16-MIDOC22_011.jpg:0533-1717</t>
  </si>
  <si>
    <t>KX16-MIDOC22_011.jpg:1401-3334</t>
  </si>
  <si>
    <t>KX16-MIDOC22_011.jpg:1384-3717</t>
  </si>
  <si>
    <t>KX16-MIDOC22_011.jpg:2268-0533</t>
  </si>
  <si>
    <t>KX16-MIDOC22_011.jpg:2232-0663</t>
  </si>
  <si>
    <t>paralepididae</t>
  </si>
  <si>
    <t>KX16-MIDOC22_011.jpg:2117-1490</t>
  </si>
  <si>
    <t>KX16-MIDOC22_013.jpg</t>
  </si>
  <si>
    <t>KX16-MIDOC22_015.jpg</t>
  </si>
  <si>
    <t>KX16-MIDOC22_017.jpg:2054-0514</t>
  </si>
  <si>
    <t>KX16-MIDOC22_017.jpg:1388-2131</t>
  </si>
  <si>
    <t>KX16-MIDOC22_017.jpg:0932-2515</t>
  </si>
  <si>
    <t>KX16-MIDOC22_017.jpg:1779-2610</t>
  </si>
  <si>
    <t>KX16-MIDOC22_017.jpg:1729-2832</t>
  </si>
  <si>
    <t>KX16-MIDOC22_017.jpg:0890-2735</t>
  </si>
  <si>
    <t>KX16-MIDOC22_017.jpg:0890-2954</t>
  </si>
  <si>
    <t>KX16-MIDOC22_017.jpg:2488-3140</t>
  </si>
  <si>
    <t>KX16-MIDOC22_017.jpg:2418-3331</t>
  </si>
  <si>
    <t>KX16-MIDOC22_017.jpg:2292-3587</t>
  </si>
  <si>
    <t>KX16-MIDOC22_019.jpg</t>
  </si>
  <si>
    <t xml:space="preserve">galiteuthis glacialis; psychroteuthis glacialis </t>
  </si>
  <si>
    <t>KX16-MIDOC22_021.jpg:0723-0358</t>
  </si>
  <si>
    <t>KX16-MIDOC22_021.jpg:0701-0478</t>
  </si>
  <si>
    <t>KX16-MIDOC22_021.jpg:0612-0640</t>
  </si>
  <si>
    <t>KX16-MIDOC22_021.jpg:0564-0733</t>
  </si>
  <si>
    <t>KX16-MIDOC22_021.jpg:0551-0855</t>
  </si>
  <si>
    <t>KX16-MIDOC22_021.jpg:0991-1873</t>
  </si>
  <si>
    <t>KX16-MIDOC22_021.jpg:0885-2450</t>
  </si>
  <si>
    <t>KX16-MIDOC22_021.jpg:1035-2897</t>
  </si>
  <si>
    <t>KX16-MIDOC22_021.jpg:0883-3308</t>
  </si>
  <si>
    <t>KX16-MIDOC22_021.jpg:1948-0581</t>
  </si>
  <si>
    <t>unknown flat fish</t>
  </si>
  <si>
    <t>KX16-MIDOC22_021.jpg:0978-2620</t>
  </si>
  <si>
    <t>KX16-MIDOC22_021.jpg:1990-1305</t>
  </si>
  <si>
    <t>KX16-MIDOC22_021.jpg:2086-1729</t>
  </si>
  <si>
    <t>KX16-MIDOC22_021.jpg:1972-2134</t>
  </si>
  <si>
    <t>KX16-MIDOC22_021.jpg:2027-2361</t>
  </si>
  <si>
    <t>KX16-MIDOC22_021.jpg:2243-2706</t>
  </si>
  <si>
    <t>KX16-MIDOC22_021.jpg:2205-2845</t>
  </si>
  <si>
    <t>KX16-MIDOC22_021.jpg:2232-2989</t>
  </si>
  <si>
    <t>KX16-MIDOC22_021.jpg:2266-3204</t>
  </si>
  <si>
    <t>KX16-MIDOC22_021.jpg:2259-3376</t>
  </si>
  <si>
    <t>KX16-MIDOC22_021.jpg:2234-3570</t>
  </si>
  <si>
    <t>5Feb2016_RTrebilco_041.jpg:5Feb2016Rtrebilco_041</t>
  </si>
  <si>
    <t>5Feb2016_RTrebilco_042.jpg</t>
  </si>
  <si>
    <t>5Feb2016_RTrebilco_042.jpg:0923-1591</t>
  </si>
  <si>
    <t>5Feb2016_RTrebilco_042.jpg:1006-3570</t>
  </si>
  <si>
    <t>5Feb2016_RTrebilco_042.jpg:1613-0549</t>
  </si>
  <si>
    <t>5Feb2016_RTrebilco_042.jpg:1553-0935</t>
  </si>
  <si>
    <t>5Feb2016_RTrebilco_042.jpg:1867-1335</t>
  </si>
  <si>
    <t>5Feb2016_RTrebilco_042.jpg:1951-1721</t>
  </si>
  <si>
    <t>5Feb2016_RTrebilco_042.jpg:1841-1961</t>
  </si>
  <si>
    <t>5Feb2016_RTrebilco_045.jpg:1069-1338</t>
  </si>
  <si>
    <t>5Feb2016_RTrebilco_045.jpg</t>
  </si>
  <si>
    <t>5Feb2016_RTrebilco_045.jpg:1993-0393</t>
  </si>
  <si>
    <t>5Feb2016_RTrebilco_045.jpg:2044-1795</t>
  </si>
  <si>
    <t>5Feb2016_RTrebilco_045.jpg:2044-3494</t>
  </si>
  <si>
    <t>melamphaes sp</t>
  </si>
  <si>
    <t>KX16-MIDOC23_003.jpg:1356-2353</t>
  </si>
  <si>
    <t>KX16-MIDOC23_003.jpg:0664-2579</t>
  </si>
  <si>
    <t>KX16-MIDOC23_004.jpg:1165-0810</t>
  </si>
  <si>
    <t>KX16-MIDOC23_004.jpg:0358-0814</t>
  </si>
  <si>
    <t>KX16-MIDOC23_004.jpg:0421-0993</t>
  </si>
  <si>
    <t>KX16-MIDOC23_004.jpg:0529-1984</t>
  </si>
  <si>
    <t>KX16-MIDOC23_004.jpg:0554-2570</t>
  </si>
  <si>
    <t>KX16-MIDOC23_004.jpg:0808-3145</t>
  </si>
  <si>
    <t>KX16-MIDOC23_005.jpg</t>
  </si>
  <si>
    <t>n=18 G. glacialis</t>
  </si>
  <si>
    <t>KX16-MIDOC23_006.jpg:0897-0830</t>
  </si>
  <si>
    <t>KX16-MIDOC23_006.jpg:0956-1106</t>
  </si>
  <si>
    <t>KX16-MIDOC23_006.jpg:0954-1317</t>
  </si>
  <si>
    <t>KX16-MIDOC23_006.jpg:0857-1549</t>
  </si>
  <si>
    <t>KX16-MIDOC23_006.jpg:0903-1920</t>
  </si>
  <si>
    <t>KX16-MIDOC23_006.jpg:1017-2336</t>
  </si>
  <si>
    <t>KX16-MIDOC23_006.jpg:0833-2654</t>
  </si>
  <si>
    <t>KX16-MIDOC23_006.jpg:0954-2838</t>
  </si>
  <si>
    <t>KX16-MIDOC23_006.jpg:0960-3036</t>
  </si>
  <si>
    <t>KX16-MIDOC23_006.jpg:0959-3193</t>
  </si>
  <si>
    <t>KX16-MIDOC23_006.jpg:0915-3465</t>
  </si>
  <si>
    <t>KX16-MIDOC23_006.jpg:1929-0823</t>
  </si>
  <si>
    <t>KX16-MIDOC23_006.jpg:1927-1145</t>
  </si>
  <si>
    <t>KX16-MIDOC23_006.jpg:1889-1585</t>
  </si>
  <si>
    <t>KX16-MIDOC23_006.jpg:1921-2107</t>
  </si>
  <si>
    <t>KX16-MIDOC23_006.jpg:1909-2636</t>
  </si>
  <si>
    <t>KX16-MIDOC23_006.jpg:1746-3407</t>
  </si>
  <si>
    <t>KX16-MIDOC23_006.jpg:1771-3596</t>
  </si>
  <si>
    <t>KX16-MIDOC23_021.jpg</t>
  </si>
  <si>
    <t>KX16-MIDOC23_010.jpg</t>
  </si>
  <si>
    <t>KX16-MIDOC23_007.jpg:0917-2028</t>
  </si>
  <si>
    <t>KX16-MIDOC23_007.jpg:0854-2185</t>
  </si>
  <si>
    <t>KX16-MIDOC23_007.jpg:0968-2783</t>
  </si>
  <si>
    <t>KX16-MIDOC23_007.jpg:0894-3037</t>
  </si>
  <si>
    <t>KX16-MIDOC23_007.jpg:0980-3472</t>
  </si>
  <si>
    <t>KX16-MIDOC23_007.jpg:2210-2925</t>
  </si>
  <si>
    <t>KX16-MIDOC23_007.jpg:2106-2188</t>
  </si>
  <si>
    <t>KX16-MIDOC23_007.jpg:2125-2001</t>
  </si>
  <si>
    <t>KX16-MIDOC23_007.jpg:2029-1834</t>
  </si>
  <si>
    <t>KX16-MIDOC23_007.jpg:1944-1327</t>
  </si>
  <si>
    <t>KX16-MIDOC23_007.jpg:1997-1124</t>
  </si>
  <si>
    <t>Sio sp</t>
  </si>
  <si>
    <t>mastigoteuthis psychrophila; galiteuthis glacialis; mesoonychoteuthis hamiltoni</t>
  </si>
  <si>
    <t>MIDOC24_6_38</t>
  </si>
  <si>
    <t>KX16-Midoc 24_027.jpg</t>
  </si>
  <si>
    <t>KX16-Midoc 26_027.jpg:1470-2720</t>
  </si>
  <si>
    <t>galiteuthis glacialis; Slosarczykovia circumantarctica</t>
  </si>
  <si>
    <t>KX16-Midoc 27_035.jpg</t>
  </si>
  <si>
    <t>KX16-Midoc 28_018.jpg</t>
  </si>
  <si>
    <t>Nannobranchium achirus</t>
  </si>
  <si>
    <t>nanobranchium achirus</t>
  </si>
  <si>
    <t>gymnoscopelus hintonoides</t>
  </si>
  <si>
    <t>electrona antarctica larvae</t>
  </si>
  <si>
    <t xml:space="preserve">electrona antarctica </t>
  </si>
  <si>
    <t>Neopagetopsis ionah</t>
  </si>
  <si>
    <t>Electrona</t>
  </si>
  <si>
    <t>galiteuthis glacialis; Mesonychoteuthis hamiltoni</t>
  </si>
  <si>
    <t>Icichtys australis</t>
  </si>
  <si>
    <t>slosarczykovia circumantarctica; galiteuthis glacialis</t>
  </si>
  <si>
    <t>Psychroteuthis glacialis larvae; Mastigoteuthis psychrophila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</si>
</sst>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8" x14ac:knownFonts="1">
    <font>
      <sz val="12"/>
      <color theme="1"/>
      <name val="Calibri"/>
      <family val="2"/>
      <scheme val="minor"/>
    </font>
    <font>
      <sz val="12"/>
      <color rgb="FF33333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4"/>
      <color rgb="FF000000"/>
      <name val="Times New Roman"/>
      <family val="1"/>
    </font>
    <font>
      <b/>
      <sz val="12"/>
      <color theme="1"/>
      <name val="Calibri"/>
      <family val="2"/>
      <scheme val="minor"/>
    </font>
    <font>
      <b/>
      <sz val="12"/>
      <color rgb="FF333333"/>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CD5B4"/>
        <bgColor rgb="FF000000"/>
      </patternFill>
    </fill>
    <fill>
      <patternFill patternType="solid">
        <fgColor rgb="FFFABF8F"/>
        <bgColor rgb="FF000000"/>
      </patternFill>
    </fill>
  </fills>
  <borders count="1">
    <border>
      <left/>
      <right/>
      <top/>
      <bottom/>
      <diagonal/>
    </border>
  </borders>
  <cellStyleXfs count="2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0" xfId="0" applyFont="1"/>
    <xf numFmtId="0" fontId="0" fillId="0" borderId="0" xfId="0" applyFont="1"/>
    <xf numFmtId="16" fontId="0" fillId="0" borderId="0" xfId="0" applyNumberFormat="1"/>
    <xf numFmtId="21" fontId="0" fillId="0" borderId="0" xfId="0" applyNumberFormat="1" applyFont="1"/>
    <xf numFmtId="2" fontId="0" fillId="0" borderId="0" xfId="0" applyNumberFormat="1" applyFont="1"/>
    <xf numFmtId="0" fontId="4" fillId="0" borderId="0" xfId="0" applyFont="1"/>
    <xf numFmtId="20" fontId="0" fillId="0" borderId="0" xfId="0" applyNumberFormat="1" applyFont="1"/>
    <xf numFmtId="0" fontId="0" fillId="0" borderId="0" xfId="0" quotePrefix="1"/>
    <xf numFmtId="2" fontId="0" fillId="0" borderId="0" xfId="0" applyNumberFormat="1" applyFont="1" applyAlignment="1">
      <alignment wrapText="1"/>
    </xf>
    <xf numFmtId="0" fontId="0" fillId="0" borderId="0" xfId="0" applyFont="1" applyAlignment="1">
      <alignment wrapText="1"/>
    </xf>
    <xf numFmtId="0" fontId="0" fillId="0" borderId="0" xfId="0" applyAlignment="1">
      <alignment wrapText="1"/>
    </xf>
    <xf numFmtId="0" fontId="0" fillId="0" borderId="0" xfId="0" applyFill="1"/>
    <xf numFmtId="0" fontId="4" fillId="0" borderId="0" xfId="0" applyFont="1" applyFill="1"/>
    <xf numFmtId="0" fontId="5" fillId="0" borderId="0" xfId="0" applyFont="1"/>
    <xf numFmtId="0" fontId="0" fillId="2" borderId="0" xfId="0" applyFill="1"/>
    <xf numFmtId="0" fontId="0" fillId="3" borderId="0" xfId="0" applyFill="1"/>
    <xf numFmtId="0" fontId="0" fillId="4" borderId="0" xfId="0" applyFill="1"/>
    <xf numFmtId="0" fontId="0" fillId="2" borderId="0" xfId="0" applyFont="1" applyFill="1"/>
    <xf numFmtId="22" fontId="0" fillId="0" borderId="0" xfId="0" applyNumberFormat="1"/>
    <xf numFmtId="0" fontId="6" fillId="0" borderId="0" xfId="0" applyFont="1"/>
    <xf numFmtId="0" fontId="7" fillId="0" borderId="0" xfId="0" applyFont="1"/>
    <xf numFmtId="0" fontId="7" fillId="0" borderId="0" xfId="0" applyFont="1" applyAlignment="1">
      <alignment wrapText="1"/>
    </xf>
    <xf numFmtId="22" fontId="4" fillId="0" borderId="0" xfId="0" applyNumberFormat="1" applyFont="1"/>
    <xf numFmtId="0" fontId="4" fillId="0" borderId="0" xfId="0" quotePrefix="1" applyFont="1"/>
    <xf numFmtId="164" fontId="0" fillId="0" borderId="0" xfId="0" applyNumberFormat="1" applyFont="1"/>
    <xf numFmtId="22" fontId="0" fillId="0" borderId="0" xfId="0" applyNumberFormat="1" applyFont="1"/>
    <xf numFmtId="164" fontId="1" fillId="0" borderId="0" xfId="0" applyNumberFormat="1" applyFont="1"/>
    <xf numFmtId="22" fontId="1" fillId="0" borderId="0" xfId="0" applyNumberFormat="1" applyFont="1"/>
    <xf numFmtId="164" fontId="0" fillId="2" borderId="0" xfId="0" quotePrefix="1" applyNumberFormat="1" applyFill="1"/>
    <xf numFmtId="20" fontId="0" fillId="2" borderId="0" xfId="0" quotePrefix="1" applyNumberFormat="1" applyFill="1"/>
    <xf numFmtId="0" fontId="0" fillId="2" borderId="0" xfId="0" applyFill="1" applyAlignment="1">
      <alignment wrapText="1"/>
    </xf>
    <xf numFmtId="164" fontId="0" fillId="0" borderId="0" xfId="0" quotePrefix="1" applyNumberFormat="1"/>
    <xf numFmtId="164" fontId="0" fillId="0" borderId="0" xfId="0" applyNumberFormat="1"/>
    <xf numFmtId="22" fontId="0" fillId="0" borderId="0" xfId="0" quotePrefix="1" applyNumberFormat="1"/>
    <xf numFmtId="164" fontId="4" fillId="0" borderId="0" xfId="0" applyNumberFormat="1" applyFont="1"/>
    <xf numFmtId="22" fontId="4" fillId="0" borderId="0" xfId="0" quotePrefix="1" applyNumberFormat="1" applyFont="1"/>
    <xf numFmtId="0" fontId="4" fillId="5" borderId="0" xfId="0" applyFont="1" applyFill="1"/>
    <xf numFmtId="0" fontId="4" fillId="6" borderId="0" xfId="0" applyFont="1" applyFill="1"/>
    <xf numFmtId="0" fontId="4" fillId="2" borderId="0" xfId="0" applyFont="1" applyFill="1"/>
    <xf numFmtId="0" fontId="0" fillId="0" borderId="0" xfId="0" applyBorder="1"/>
    <xf numFmtId="0" fontId="4" fillId="0" borderId="0" xfId="0" applyFont="1" applyBorder="1"/>
    <xf numFmtId="0" fontId="0" fillId="0" borderId="0" xfId="0" applyFont="1" applyBorder="1"/>
    <xf numFmtId="0" fontId="0" fillId="0" borderId="0" xfId="0" quotePrefix="1" applyFill="1"/>
  </cellXfs>
  <cellStyles count="2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2"/>
  <sheetViews>
    <sheetView workbookViewId="0">
      <pane ySplit="1" topLeftCell="A17" activePane="bottomLeft" state="frozenSplit"/>
      <selection pane="bottomLeft" activeCell="D37" sqref="D37"/>
    </sheetView>
  </sheetViews>
  <sheetFormatPr baseColWidth="10" defaultColWidth="11" defaultRowHeight="16" x14ac:dyDescent="0.2"/>
  <cols>
    <col min="2" max="2" width="15.1640625" bestFit="1" customWidth="1"/>
    <col min="4" max="4" width="10.33203125" bestFit="1" customWidth="1"/>
    <col min="5" max="5" width="14.1640625" customWidth="1"/>
    <col min="6" max="6" width="18.83203125" customWidth="1"/>
    <col min="7" max="7" width="12" customWidth="1"/>
    <col min="8" max="8" width="12.6640625" customWidth="1"/>
    <col min="9" max="9" width="8" bestFit="1" customWidth="1"/>
    <col min="10" max="11" width="16.33203125" customWidth="1"/>
    <col min="12" max="12" width="15.6640625" customWidth="1"/>
    <col min="13" max="13" width="17.33203125" customWidth="1"/>
    <col min="14" max="14" width="15.5" customWidth="1"/>
    <col min="15" max="15" width="16.6640625" customWidth="1"/>
    <col min="16" max="16" width="18.1640625" customWidth="1"/>
    <col min="17" max="17" width="16.83203125" customWidth="1"/>
    <col min="18" max="18" width="11.1640625" bestFit="1" customWidth="1"/>
    <col min="19" max="19" width="11.1640625" customWidth="1"/>
    <col min="20" max="20" width="9.5" bestFit="1" customWidth="1"/>
    <col min="21" max="21" width="11.6640625" bestFit="1" customWidth="1"/>
    <col min="22" max="22" width="9.6640625" bestFit="1" customWidth="1"/>
    <col min="24" max="24" width="54.1640625" style="11" customWidth="1"/>
  </cols>
  <sheetData>
    <row r="1" spans="1:26" x14ac:dyDescent="0.2">
      <c r="A1" s="20" t="s">
        <v>749</v>
      </c>
      <c r="B1" s="21" t="s">
        <v>311</v>
      </c>
      <c r="C1" s="21" t="s">
        <v>310</v>
      </c>
      <c r="D1" s="21" t="s">
        <v>0</v>
      </c>
      <c r="E1" s="21" t="s">
        <v>13</v>
      </c>
      <c r="F1" s="21" t="s">
        <v>12</v>
      </c>
      <c r="G1" s="21" t="s">
        <v>14</v>
      </c>
      <c r="H1" s="21" t="s">
        <v>15</v>
      </c>
      <c r="I1" s="21" t="s">
        <v>1991</v>
      </c>
      <c r="J1" s="21" t="s">
        <v>3445</v>
      </c>
      <c r="K1" s="21" t="s">
        <v>1992</v>
      </c>
      <c r="L1" s="21" t="s">
        <v>1993</v>
      </c>
      <c r="M1" s="21" t="s">
        <v>1</v>
      </c>
      <c r="N1" s="21" t="s">
        <v>312</v>
      </c>
      <c r="O1" s="21" t="s">
        <v>313</v>
      </c>
      <c r="P1" s="21" t="s">
        <v>1995</v>
      </c>
      <c r="Q1" s="21" t="s">
        <v>1994</v>
      </c>
      <c r="R1" s="21" t="s">
        <v>1996</v>
      </c>
      <c r="S1" s="21" t="s">
        <v>1043</v>
      </c>
      <c r="T1" s="21" t="s">
        <v>8</v>
      </c>
      <c r="U1" s="21" t="s">
        <v>16</v>
      </c>
      <c r="V1" s="21" t="s">
        <v>17</v>
      </c>
      <c r="W1" s="21" t="s">
        <v>21</v>
      </c>
      <c r="X1" s="22" t="s">
        <v>22</v>
      </c>
      <c r="Y1" s="21" t="s">
        <v>3450</v>
      </c>
      <c r="Z1" s="21" t="s">
        <v>958</v>
      </c>
    </row>
    <row r="2" spans="1:26" ht="96" x14ac:dyDescent="0.2">
      <c r="B2" s="2"/>
      <c r="C2" s="2" t="s">
        <v>103</v>
      </c>
      <c r="D2" s="2" t="s">
        <v>1277</v>
      </c>
      <c r="E2" s="2">
        <v>139.4205</v>
      </c>
      <c r="F2" s="2">
        <v>-48.231580000000001</v>
      </c>
      <c r="G2" s="2">
        <v>139.43870000000001</v>
      </c>
      <c r="H2" s="2">
        <v>-48.401350000000001</v>
      </c>
      <c r="I2" s="2" t="s">
        <v>96</v>
      </c>
      <c r="J2" s="2" t="s">
        <v>5791</v>
      </c>
      <c r="K2" s="25" t="s">
        <v>5393</v>
      </c>
      <c r="L2" s="25" t="s">
        <v>5394</v>
      </c>
      <c r="M2" s="26" t="s">
        <v>5395</v>
      </c>
      <c r="N2" s="26" t="s">
        <v>5396</v>
      </c>
      <c r="O2" s="26" t="s">
        <v>5397</v>
      </c>
      <c r="P2" s="4" t="s">
        <v>5394</v>
      </c>
      <c r="Q2" s="26" t="s">
        <v>5398</v>
      </c>
      <c r="R2" s="5">
        <v>3.4409999999999998</v>
      </c>
      <c r="S2" s="5">
        <v>3.3000000000000002E-2</v>
      </c>
      <c r="T2" s="5" t="s">
        <v>98</v>
      </c>
      <c r="U2" s="5" t="s">
        <v>99</v>
      </c>
      <c r="V2" s="5" t="s">
        <v>42</v>
      </c>
      <c r="W2" s="5" t="s">
        <v>100</v>
      </c>
      <c r="X2" s="9" t="s">
        <v>101</v>
      </c>
    </row>
    <row r="3" spans="1:26" ht="64" x14ac:dyDescent="0.2">
      <c r="B3" s="2"/>
      <c r="C3" s="2" t="s">
        <v>461</v>
      </c>
      <c r="D3" s="2" t="s">
        <v>445</v>
      </c>
      <c r="E3">
        <f>93+(30.242/60)</f>
        <v>93.504033333333339</v>
      </c>
      <c r="F3" s="2">
        <f>-(61+(22.484/60))</f>
        <v>-61.374733333333332</v>
      </c>
      <c r="G3" s="2">
        <f>93+(32.906/60)</f>
        <v>93.548433333333335</v>
      </c>
      <c r="H3" s="2">
        <f>-(61+(11.751/60))</f>
        <v>-61.19585</v>
      </c>
      <c r="I3" s="1" t="s">
        <v>446</v>
      </c>
      <c r="J3" s="2" t="s">
        <v>5791</v>
      </c>
      <c r="K3" s="27" t="s">
        <v>5399</v>
      </c>
      <c r="L3" s="27" t="s">
        <v>5394</v>
      </c>
      <c r="M3" s="28" t="s">
        <v>5400</v>
      </c>
      <c r="N3" s="28" t="s">
        <v>5400</v>
      </c>
      <c r="O3" s="26" t="s">
        <v>5401</v>
      </c>
      <c r="P3" s="7" t="s">
        <v>5394</v>
      </c>
      <c r="Q3" s="26" t="s">
        <v>5402</v>
      </c>
      <c r="R3" s="2">
        <f>12.9+2.1+2.8+2.8+1.4+11.7</f>
        <v>33.700000000000003</v>
      </c>
      <c r="S3" s="2">
        <v>0.27</v>
      </c>
      <c r="T3" s="5" t="s">
        <v>447</v>
      </c>
      <c r="U3" s="2" t="s">
        <v>315</v>
      </c>
      <c r="V3" s="2" t="s">
        <v>448</v>
      </c>
      <c r="W3" s="2" t="s">
        <v>449</v>
      </c>
      <c r="X3" s="10" t="s">
        <v>450</v>
      </c>
    </row>
    <row r="4" spans="1:26" ht="64" x14ac:dyDescent="0.2">
      <c r="B4" s="2"/>
      <c r="C4" s="2" t="s">
        <v>709</v>
      </c>
      <c r="D4" s="2" t="s">
        <v>451</v>
      </c>
      <c r="E4" s="2">
        <f>92+(46.86/60)</f>
        <v>92.781000000000006</v>
      </c>
      <c r="F4" s="2">
        <f>-(61+48.8/60)</f>
        <v>-61.813333333333333</v>
      </c>
      <c r="G4" s="2">
        <f>92+28.319/60</f>
        <v>92.471983333333327</v>
      </c>
      <c r="H4">
        <f>-(61+57.369/60)</f>
        <v>-61.956150000000001</v>
      </c>
      <c r="I4" s="2" t="s">
        <v>446</v>
      </c>
      <c r="J4" s="2" t="s">
        <v>5791</v>
      </c>
      <c r="K4" s="25" t="s">
        <v>5403</v>
      </c>
      <c r="L4" s="25" t="s">
        <v>5394</v>
      </c>
      <c r="M4" s="26" t="s">
        <v>5404</v>
      </c>
      <c r="N4" s="26" t="s">
        <v>5404</v>
      </c>
      <c r="O4" s="26" t="s">
        <v>5405</v>
      </c>
      <c r="P4" s="7" t="s">
        <v>5394</v>
      </c>
      <c r="Q4" s="26" t="s">
        <v>5406</v>
      </c>
      <c r="R4" s="2">
        <f>2.6+1.2+0.7+4.3+1.2+1.8</f>
        <v>11.8</v>
      </c>
      <c r="S4" s="2">
        <f>0.051</f>
        <v>5.0999999999999997E-2</v>
      </c>
      <c r="T4" s="2" t="s">
        <v>447</v>
      </c>
      <c r="U4" s="2" t="s">
        <v>315</v>
      </c>
      <c r="V4" s="2" t="s">
        <v>448</v>
      </c>
      <c r="W4" s="2" t="s">
        <v>452</v>
      </c>
      <c r="X4" s="10" t="s">
        <v>453</v>
      </c>
    </row>
    <row r="5" spans="1:26" ht="80" x14ac:dyDescent="0.2">
      <c r="A5" t="s">
        <v>750</v>
      </c>
      <c r="B5" s="2"/>
      <c r="C5" s="2" t="s">
        <v>710</v>
      </c>
      <c r="D5" s="2" t="s">
        <v>451</v>
      </c>
      <c r="E5">
        <f>91+(59.967/60)</f>
        <v>91.999449999999996</v>
      </c>
      <c r="F5" s="2">
        <f>-62-(8.092/60)</f>
        <v>-62.134866666666667</v>
      </c>
      <c r="G5" s="2"/>
      <c r="H5" s="2"/>
      <c r="I5" s="2" t="s">
        <v>446</v>
      </c>
      <c r="J5" s="2" t="s">
        <v>5791</v>
      </c>
      <c r="K5" s="25" t="s">
        <v>5407</v>
      </c>
      <c r="L5" s="25" t="s">
        <v>5394</v>
      </c>
      <c r="M5" s="26" t="s">
        <v>5408</v>
      </c>
      <c r="N5" s="26" t="s">
        <v>5408</v>
      </c>
      <c r="O5" s="2" t="s">
        <v>5394</v>
      </c>
      <c r="P5" s="2" t="s">
        <v>5394</v>
      </c>
      <c r="Q5" s="26" t="s">
        <v>5409</v>
      </c>
      <c r="R5">
        <v>61.283999999999999</v>
      </c>
      <c r="S5" s="2">
        <f>0.573-0.524</f>
        <v>4.8999999999999932E-2</v>
      </c>
      <c r="T5" t="s">
        <v>1270</v>
      </c>
      <c r="U5" s="2" t="s">
        <v>315</v>
      </c>
      <c r="V5" s="2" t="s">
        <v>448</v>
      </c>
      <c r="W5" s="2"/>
      <c r="X5" s="10" t="s">
        <v>1271</v>
      </c>
    </row>
    <row r="6" spans="1:26" x14ac:dyDescent="0.2">
      <c r="A6" t="s">
        <v>1269</v>
      </c>
      <c r="B6" s="2"/>
      <c r="C6" s="2" t="s">
        <v>711</v>
      </c>
      <c r="D6" s="2" t="s">
        <v>1000</v>
      </c>
      <c r="E6" s="2"/>
      <c r="F6" s="2"/>
      <c r="G6" s="2">
        <f>87+(45.779/60)</f>
        <v>87.762983333333338</v>
      </c>
      <c r="H6" s="2">
        <f>-62+(23.6285/60)</f>
        <v>-61.606191666666668</v>
      </c>
      <c r="I6" s="2" t="s">
        <v>446</v>
      </c>
      <c r="J6" s="2" t="s">
        <v>5791</v>
      </c>
      <c r="K6" s="25" t="s">
        <v>5410</v>
      </c>
      <c r="L6" s="25" t="s">
        <v>5394</v>
      </c>
      <c r="M6" s="26" t="s">
        <v>5411</v>
      </c>
      <c r="N6" s="26" t="s">
        <v>5411</v>
      </c>
      <c r="O6" s="26" t="s">
        <v>5412</v>
      </c>
      <c r="P6" s="4" t="s">
        <v>5394</v>
      </c>
      <c r="Q6" s="26" t="s">
        <v>5413</v>
      </c>
      <c r="R6">
        <v>62.802</v>
      </c>
      <c r="S6" s="2">
        <v>1.1000000000000001</v>
      </c>
      <c r="T6" t="s">
        <v>1270</v>
      </c>
      <c r="U6" s="2" t="s">
        <v>315</v>
      </c>
      <c r="V6" s="2" t="s">
        <v>448</v>
      </c>
      <c r="W6" s="2"/>
      <c r="X6" s="10"/>
    </row>
    <row r="7" spans="1:26" ht="64" x14ac:dyDescent="0.2">
      <c r="A7" s="15"/>
      <c r="B7" s="15"/>
      <c r="C7" s="18" t="s">
        <v>1268</v>
      </c>
      <c r="D7" s="15"/>
      <c r="E7" s="15" t="s">
        <v>2016</v>
      </c>
      <c r="F7" s="15" t="s">
        <v>2016</v>
      </c>
      <c r="G7" s="15">
        <f>87+47.772/60</f>
        <v>87.796199999999999</v>
      </c>
      <c r="H7" s="15">
        <f>-62-28.086/60</f>
        <v>-62.4681</v>
      </c>
      <c r="I7" s="18" t="s">
        <v>446</v>
      </c>
      <c r="J7" s="2" t="s">
        <v>5791</v>
      </c>
      <c r="K7" s="29" t="s">
        <v>5414</v>
      </c>
      <c r="L7" s="29" t="s">
        <v>5415</v>
      </c>
      <c r="M7" s="15" t="s">
        <v>5394</v>
      </c>
      <c r="N7" s="30" t="s">
        <v>5416</v>
      </c>
      <c r="O7" s="30" t="s">
        <v>5417</v>
      </c>
      <c r="P7" s="15" t="s">
        <v>5394</v>
      </c>
      <c r="Q7" s="30" t="s">
        <v>5418</v>
      </c>
      <c r="R7" s="15">
        <v>95.488</v>
      </c>
      <c r="S7" s="15"/>
      <c r="T7" s="15" t="s">
        <v>1270</v>
      </c>
      <c r="U7" s="18" t="s">
        <v>315</v>
      </c>
      <c r="V7" s="18" t="s">
        <v>448</v>
      </c>
      <c r="W7" s="15"/>
      <c r="X7" s="31" t="s">
        <v>2017</v>
      </c>
      <c r="Y7" s="15"/>
    </row>
    <row r="8" spans="1:26" x14ac:dyDescent="0.2">
      <c r="C8" s="2" t="s">
        <v>1496</v>
      </c>
      <c r="D8" t="s">
        <v>1497</v>
      </c>
      <c r="E8" t="s">
        <v>2016</v>
      </c>
      <c r="F8" t="s">
        <v>2016</v>
      </c>
      <c r="G8">
        <f>82+(28.517/60)</f>
        <v>82.475283333333337</v>
      </c>
      <c r="H8">
        <f>-62-21.916/60</f>
        <v>-62.365266666666663</v>
      </c>
      <c r="I8" s="2" t="s">
        <v>446</v>
      </c>
      <c r="J8" s="2" t="s">
        <v>5791</v>
      </c>
      <c r="K8" s="32" t="s">
        <v>5419</v>
      </c>
      <c r="L8" s="33" t="s">
        <v>5420</v>
      </c>
      <c r="M8" s="19" t="s">
        <v>5421</v>
      </c>
      <c r="N8" s="19" t="s">
        <v>5422</v>
      </c>
      <c r="O8" s="19" t="s">
        <v>5423</v>
      </c>
      <c r="P8" t="s">
        <v>5394</v>
      </c>
      <c r="Q8" s="19" t="s">
        <v>5424</v>
      </c>
      <c r="R8">
        <v>59.483999999999995</v>
      </c>
      <c r="T8" t="s">
        <v>1270</v>
      </c>
      <c r="U8" s="2" t="s">
        <v>315</v>
      </c>
      <c r="V8" s="2" t="s">
        <v>448</v>
      </c>
      <c r="X8" s="11" t="s">
        <v>5425</v>
      </c>
    </row>
    <row r="9" spans="1:26" ht="32" x14ac:dyDescent="0.2">
      <c r="A9" t="s">
        <v>2014</v>
      </c>
      <c r="C9" s="2" t="s">
        <v>1556</v>
      </c>
      <c r="D9" t="s">
        <v>1568</v>
      </c>
      <c r="E9">
        <f>82+(0.497/60)</f>
        <v>82.008283333333338</v>
      </c>
      <c r="F9">
        <f>-63-(2.336/60)</f>
        <v>-63.038933333333333</v>
      </c>
      <c r="G9">
        <f>81+(47.806/60)</f>
        <v>81.79676666666667</v>
      </c>
      <c r="H9">
        <f>-62-(22.803/60)</f>
        <v>-62.380049999999997</v>
      </c>
      <c r="I9" s="2" t="s">
        <v>446</v>
      </c>
      <c r="J9" s="32" t="s">
        <v>5426</v>
      </c>
      <c r="K9" s="33" t="s">
        <v>5427</v>
      </c>
      <c r="L9" s="32" t="s">
        <v>5428</v>
      </c>
      <c r="M9" t="s">
        <v>5394</v>
      </c>
      <c r="N9" s="19" t="s">
        <v>5429</v>
      </c>
      <c r="O9" s="19" t="s">
        <v>5430</v>
      </c>
      <c r="P9" s="19" t="s">
        <v>5431</v>
      </c>
      <c r="Q9" s="19" t="s">
        <v>5432</v>
      </c>
      <c r="R9">
        <v>130.01400000000001</v>
      </c>
      <c r="T9" t="s">
        <v>1270</v>
      </c>
      <c r="U9" t="s">
        <v>315</v>
      </c>
      <c r="V9" t="s">
        <v>448</v>
      </c>
      <c r="X9" s="11" t="s">
        <v>2015</v>
      </c>
    </row>
    <row r="10" spans="1:26" ht="80" x14ac:dyDescent="0.2">
      <c r="A10" t="s">
        <v>1597</v>
      </c>
      <c r="B10" t="s">
        <v>1989</v>
      </c>
      <c r="C10" s="2" t="s">
        <v>1557</v>
      </c>
      <c r="D10" s="2" t="s">
        <v>1990</v>
      </c>
      <c r="E10">
        <f>82+(48.729/60)</f>
        <v>82.812150000000003</v>
      </c>
      <c r="F10">
        <f>-(63+45.566/60)</f>
        <v>-63.759433333333334</v>
      </c>
      <c r="G10">
        <f>83+(5.859/60)</f>
        <v>83.097650000000002</v>
      </c>
      <c r="H10">
        <f>-(63+55.324/60)</f>
        <v>-63.922066666666666</v>
      </c>
      <c r="I10" s="2" t="s">
        <v>446</v>
      </c>
      <c r="J10" s="18"/>
      <c r="K10" s="33" t="s">
        <v>5433</v>
      </c>
      <c r="L10" s="33" t="s">
        <v>5434</v>
      </c>
      <c r="M10" s="19" t="s">
        <v>5435</v>
      </c>
      <c r="N10" s="19" t="s">
        <v>5435</v>
      </c>
      <c r="O10" s="19" t="s">
        <v>5436</v>
      </c>
      <c r="P10" s="19" t="s">
        <v>5436</v>
      </c>
      <c r="Q10" s="19" t="s">
        <v>5437</v>
      </c>
      <c r="R10">
        <v>342.50699999999995</v>
      </c>
      <c r="S10" t="s">
        <v>1997</v>
      </c>
      <c r="T10" t="s">
        <v>1270</v>
      </c>
      <c r="U10" t="s">
        <v>315</v>
      </c>
      <c r="V10" t="s">
        <v>448</v>
      </c>
      <c r="W10" t="s">
        <v>1998</v>
      </c>
      <c r="X10" s="11" t="s">
        <v>2001</v>
      </c>
    </row>
    <row r="11" spans="1:26" ht="48" x14ac:dyDescent="0.2">
      <c r="A11" t="s">
        <v>1597</v>
      </c>
      <c r="B11" t="s">
        <v>1989</v>
      </c>
      <c r="C11" s="2" t="s">
        <v>1558</v>
      </c>
      <c r="D11" s="2" t="s">
        <v>1990</v>
      </c>
      <c r="E11" s="2">
        <f>82+(48.055/60)</f>
        <v>82.800916666666666</v>
      </c>
      <c r="F11">
        <f>-63-(45.104/60)</f>
        <v>-63.751733333333334</v>
      </c>
      <c r="G11">
        <f>83+4.741/60</f>
        <v>83.079016666666661</v>
      </c>
      <c r="H11">
        <f>-63-53.377/60</f>
        <v>-63.889616666666669</v>
      </c>
      <c r="I11" s="2" t="s">
        <v>446</v>
      </c>
      <c r="J11" s="2" t="s">
        <v>5791</v>
      </c>
      <c r="K11" s="33" t="s">
        <v>5438</v>
      </c>
      <c r="L11" s="32" t="s">
        <v>5439</v>
      </c>
      <c r="M11" t="s">
        <v>5394</v>
      </c>
      <c r="N11" t="s">
        <v>5394</v>
      </c>
      <c r="O11" t="s">
        <v>5394</v>
      </c>
      <c r="P11" s="19" t="s">
        <v>5440</v>
      </c>
      <c r="Q11" s="8" t="s">
        <v>5441</v>
      </c>
      <c r="R11">
        <v>150.44799999999998</v>
      </c>
      <c r="S11">
        <v>2.1360000000000001</v>
      </c>
      <c r="T11" t="s">
        <v>1270</v>
      </c>
      <c r="U11" t="s">
        <v>315</v>
      </c>
      <c r="V11" t="s">
        <v>448</v>
      </c>
      <c r="X11" s="11" t="s">
        <v>5442</v>
      </c>
    </row>
    <row r="12" spans="1:26" ht="64" x14ac:dyDescent="0.2">
      <c r="A12" t="s">
        <v>1597</v>
      </c>
      <c r="B12" t="s">
        <v>1989</v>
      </c>
      <c r="C12" s="2" t="s">
        <v>2196</v>
      </c>
      <c r="D12" s="2" t="s">
        <v>1990</v>
      </c>
      <c r="E12">
        <f>83+7.33/60</f>
        <v>83.122166666666672</v>
      </c>
      <c r="F12">
        <f>-63-56.31/60</f>
        <v>-63.938499999999998</v>
      </c>
      <c r="G12">
        <f>82+10.8/60</f>
        <v>82.18</v>
      </c>
      <c r="H12">
        <f>-63-59.2/60</f>
        <v>-63.986666666666665</v>
      </c>
      <c r="I12" s="2" t="s">
        <v>446</v>
      </c>
      <c r="J12" s="2" t="s">
        <v>5791</v>
      </c>
      <c r="K12" s="32" t="s">
        <v>5443</v>
      </c>
      <c r="L12" s="33" t="s">
        <v>5394</v>
      </c>
      <c r="M12" t="s">
        <v>5394</v>
      </c>
      <c r="N12" t="s">
        <v>5394</v>
      </c>
      <c r="O12" t="s">
        <v>5394</v>
      </c>
      <c r="P12" t="s">
        <v>5394</v>
      </c>
      <c r="Q12" s="19" t="s">
        <v>5444</v>
      </c>
      <c r="R12">
        <v>11.679999999999996</v>
      </c>
      <c r="T12" t="s">
        <v>2228</v>
      </c>
      <c r="U12" t="s">
        <v>315</v>
      </c>
      <c r="V12" t="s">
        <v>448</v>
      </c>
      <c r="X12" s="11" t="s">
        <v>2227</v>
      </c>
    </row>
    <row r="13" spans="1:26" ht="32" x14ac:dyDescent="0.2">
      <c r="A13" t="s">
        <v>2229</v>
      </c>
      <c r="B13" t="s">
        <v>2201</v>
      </c>
      <c r="C13" s="2" t="s">
        <v>2199</v>
      </c>
      <c r="D13" s="2" t="s">
        <v>1990</v>
      </c>
      <c r="E13" s="2">
        <f>83+21.719/60</f>
        <v>83.361983333333328</v>
      </c>
      <c r="F13" s="12">
        <f>-64-10.77/604</f>
        <v>-64.017831125827811</v>
      </c>
      <c r="G13">
        <f>83+41.155/60</f>
        <v>83.685916666666671</v>
      </c>
      <c r="H13">
        <f>-64-15.261/60</f>
        <v>-64.254350000000002</v>
      </c>
      <c r="I13" s="2" t="s">
        <v>446</v>
      </c>
      <c r="J13" s="2" t="s">
        <v>5791</v>
      </c>
      <c r="K13" s="33" t="s">
        <v>5445</v>
      </c>
      <c r="L13" s="32" t="s">
        <v>5446</v>
      </c>
      <c r="M13" t="s">
        <v>5394</v>
      </c>
      <c r="N13" s="19" t="s">
        <v>5447</v>
      </c>
      <c r="O13" s="19" t="s">
        <v>5448</v>
      </c>
      <c r="P13" t="s">
        <v>5394</v>
      </c>
      <c r="Q13" s="19" t="s">
        <v>5449</v>
      </c>
      <c r="T13" t="s">
        <v>1270</v>
      </c>
      <c r="U13" t="s">
        <v>315</v>
      </c>
      <c r="V13" t="s">
        <v>448</v>
      </c>
      <c r="W13" t="s">
        <v>2230</v>
      </c>
      <c r="X13" s="11" t="s">
        <v>2231</v>
      </c>
    </row>
    <row r="14" spans="1:26" ht="32" x14ac:dyDescent="0.2">
      <c r="A14" t="s">
        <v>2483</v>
      </c>
      <c r="B14" t="s">
        <v>2484</v>
      </c>
      <c r="C14" s="2" t="s">
        <v>2485</v>
      </c>
      <c r="D14" s="2" t="s">
        <v>2200</v>
      </c>
      <c r="E14" t="s">
        <v>2016</v>
      </c>
      <c r="F14" t="s">
        <v>2016</v>
      </c>
      <c r="G14">
        <f>84+23.094/60</f>
        <v>84.384900000000002</v>
      </c>
      <c r="H14">
        <f>-64-27.792/60</f>
        <v>-64.463200000000001</v>
      </c>
      <c r="I14" s="2" t="s">
        <v>446</v>
      </c>
      <c r="J14" s="2" t="s">
        <v>5791</v>
      </c>
      <c r="K14" s="32" t="s">
        <v>5450</v>
      </c>
      <c r="L14" s="32" t="s">
        <v>5451</v>
      </c>
      <c r="M14" s="32" t="s">
        <v>5452</v>
      </c>
      <c r="N14" s="32" t="s">
        <v>5452</v>
      </c>
      <c r="O14" s="32" t="s">
        <v>5453</v>
      </c>
      <c r="P14" s="32" t="s">
        <v>5454</v>
      </c>
      <c r="Q14" s="32" t="s">
        <v>5455</v>
      </c>
      <c r="X14" s="11" t="s">
        <v>5456</v>
      </c>
    </row>
    <row r="15" spans="1:26" ht="64" x14ac:dyDescent="0.2">
      <c r="A15" t="s">
        <v>2483</v>
      </c>
      <c r="B15" t="s">
        <v>2484</v>
      </c>
      <c r="C15" s="2" t="s">
        <v>2486</v>
      </c>
      <c r="D15" s="2" t="s">
        <v>2200</v>
      </c>
      <c r="E15" s="2">
        <f>84+(21.8/60)</f>
        <v>84.36333333333333</v>
      </c>
      <c r="F15">
        <f>-64-(20.61/60)</f>
        <v>-64.343500000000006</v>
      </c>
      <c r="G15">
        <f>84+(19.46/60)</f>
        <v>84.324333333333328</v>
      </c>
      <c r="H15">
        <f>-64-(24.68/60)</f>
        <v>-64.411333333333332</v>
      </c>
      <c r="I15" s="2" t="s">
        <v>446</v>
      </c>
      <c r="J15" s="2" t="s">
        <v>5791</v>
      </c>
      <c r="K15" s="32" t="s">
        <v>5457</v>
      </c>
      <c r="L15" s="33" t="s">
        <v>5394</v>
      </c>
      <c r="M15" t="s">
        <v>5394</v>
      </c>
      <c r="N15" t="s">
        <v>5394</v>
      </c>
      <c r="O15" t="s">
        <v>5394</v>
      </c>
      <c r="P15" t="s">
        <v>5394</v>
      </c>
      <c r="Q15" s="19" t="s">
        <v>5458</v>
      </c>
      <c r="R15">
        <f>32-1.8</f>
        <v>30.2</v>
      </c>
      <c r="U15" t="s">
        <v>315</v>
      </c>
      <c r="W15" t="s">
        <v>2230</v>
      </c>
      <c r="X15" s="11" t="s">
        <v>2822</v>
      </c>
    </row>
    <row r="16" spans="1:26" ht="32" x14ac:dyDescent="0.2">
      <c r="A16" t="s">
        <v>2823</v>
      </c>
      <c r="B16" t="s">
        <v>2686</v>
      </c>
      <c r="C16" s="2" t="s">
        <v>2687</v>
      </c>
      <c r="D16" s="2" t="s">
        <v>2688</v>
      </c>
      <c r="E16" s="2">
        <f>85+(46.146/60)</f>
        <v>85.769099999999995</v>
      </c>
      <c r="F16">
        <f>-64-(56.662/60)</f>
        <v>-64.944366666666667</v>
      </c>
      <c r="G16">
        <f>85+(34.015/60)</f>
        <v>85.566916666666671</v>
      </c>
      <c r="H16">
        <f>-65-(7.529/60)</f>
        <v>-65.125483333333335</v>
      </c>
      <c r="I16" s="2" t="s">
        <v>446</v>
      </c>
      <c r="J16" s="32" t="s">
        <v>5459</v>
      </c>
      <c r="K16" s="33" t="s">
        <v>5460</v>
      </c>
      <c r="L16" s="33" t="s">
        <v>5461</v>
      </c>
      <c r="M16" s="19" t="s">
        <v>5462</v>
      </c>
      <c r="N16" s="19" t="s">
        <v>5462</v>
      </c>
      <c r="O16" t="s">
        <v>5394</v>
      </c>
      <c r="P16" s="19" t="s">
        <v>5463</v>
      </c>
      <c r="Q16" s="19" t="s">
        <v>5464</v>
      </c>
      <c r="R16">
        <f>24.7-0.227-2.8+1.1-0.201+4-0.245+3.7-0.234+4.5-0.241+9.6-0.245</f>
        <v>43.406999999999996</v>
      </c>
      <c r="S16">
        <f>2.272-0.587</f>
        <v>1.6849999999999998</v>
      </c>
      <c r="T16" t="s">
        <v>2824</v>
      </c>
      <c r="U16" t="s">
        <v>315</v>
      </c>
      <c r="V16" t="s">
        <v>448</v>
      </c>
      <c r="W16" t="s">
        <v>2825</v>
      </c>
      <c r="X16" s="11" t="s">
        <v>2826</v>
      </c>
    </row>
    <row r="17" spans="1:25" ht="80" x14ac:dyDescent="0.2">
      <c r="A17" t="s">
        <v>2869</v>
      </c>
      <c r="B17" t="s">
        <v>2827</v>
      </c>
      <c r="C17" s="2" t="s">
        <v>2828</v>
      </c>
      <c r="D17" s="2" t="s">
        <v>2839</v>
      </c>
      <c r="E17">
        <f>85+(26/60)</f>
        <v>85.433333333333337</v>
      </c>
      <c r="F17">
        <f>-(65+(10.032/60))</f>
        <v>-65.167199999999994</v>
      </c>
      <c r="G17" t="s">
        <v>4896</v>
      </c>
      <c r="H17" t="s">
        <v>4896</v>
      </c>
      <c r="I17" s="2" t="s">
        <v>446</v>
      </c>
      <c r="J17" s="32" t="s">
        <v>5465</v>
      </c>
      <c r="K17" s="33" t="s">
        <v>5466</v>
      </c>
      <c r="L17" s="32" t="s">
        <v>5467</v>
      </c>
      <c r="M17" t="s">
        <v>5394</v>
      </c>
      <c r="N17" t="s">
        <v>5394</v>
      </c>
      <c r="O17" s="19" t="s">
        <v>5468</v>
      </c>
      <c r="P17" s="19" t="s">
        <v>5469</v>
      </c>
      <c r="Q17" s="19" t="s">
        <v>5470</v>
      </c>
      <c r="R17">
        <v>51.57</v>
      </c>
      <c r="S17">
        <f>0.528-0.424+0.518-0.4</f>
        <v>0.22200000000000009</v>
      </c>
      <c r="T17" t="s">
        <v>2824</v>
      </c>
      <c r="U17" t="s">
        <v>315</v>
      </c>
      <c r="V17" t="s">
        <v>448</v>
      </c>
      <c r="W17" t="s">
        <v>2870</v>
      </c>
      <c r="X17" s="11" t="s">
        <v>2905</v>
      </c>
    </row>
    <row r="18" spans="1:25" ht="80" x14ac:dyDescent="0.2">
      <c r="A18" t="s">
        <v>3059</v>
      </c>
      <c r="B18" t="s">
        <v>3028</v>
      </c>
      <c r="C18" s="2" t="s">
        <v>3027</v>
      </c>
      <c r="D18" s="2" t="s">
        <v>3060</v>
      </c>
      <c r="E18">
        <f>90+(12.417/60)</f>
        <v>90.206950000000006</v>
      </c>
      <c r="F18">
        <f>-(64+(29.488/60))</f>
        <v>-64.491466666666668</v>
      </c>
      <c r="G18" t="s">
        <v>4896</v>
      </c>
      <c r="H18" t="s">
        <v>4896</v>
      </c>
      <c r="I18" s="2" t="s">
        <v>446</v>
      </c>
      <c r="J18" s="32" t="s">
        <v>5471</v>
      </c>
      <c r="K18" s="33" t="s">
        <v>5472</v>
      </c>
      <c r="L18" s="33" t="s">
        <v>5473</v>
      </c>
      <c r="M18" s="19" t="s">
        <v>5474</v>
      </c>
      <c r="N18" t="s">
        <v>5394</v>
      </c>
      <c r="O18" s="19" t="s">
        <v>5475</v>
      </c>
      <c r="P18" s="19" t="s">
        <v>5476</v>
      </c>
      <c r="Q18" s="19" t="s">
        <v>5477</v>
      </c>
      <c r="R18">
        <f>37.8-2.8-0.249+7.4-1.8-0.2+5.5-1.8-0.195+11.7-1.7-0.208+8.8-1.8+5.4-1.8-0.2</f>
        <v>63.847999999999999</v>
      </c>
      <c r="T18" t="s">
        <v>2824</v>
      </c>
      <c r="U18" t="s">
        <v>315</v>
      </c>
      <c r="V18" t="s">
        <v>448</v>
      </c>
      <c r="W18" t="s">
        <v>3061</v>
      </c>
      <c r="X18" s="11" t="s">
        <v>3062</v>
      </c>
      <c r="Y18" t="s">
        <v>3451</v>
      </c>
    </row>
    <row r="19" spans="1:25" ht="64" x14ac:dyDescent="0.2">
      <c r="A19" t="s">
        <v>3448</v>
      </c>
      <c r="C19" s="2" t="s">
        <v>3096</v>
      </c>
      <c r="D19" s="2" t="s">
        <v>3060</v>
      </c>
      <c r="E19" s="2">
        <f>88+35.488/60</f>
        <v>88.591466666666662</v>
      </c>
      <c r="F19">
        <f>-(63+45.9/60)</f>
        <v>-63.765000000000001</v>
      </c>
      <c r="G19">
        <f>88+6.946/60</f>
        <v>88.115766666666673</v>
      </c>
      <c r="H19">
        <f>-(63+36.929/60)</f>
        <v>-63.61548333333333</v>
      </c>
      <c r="I19" s="2" t="s">
        <v>446</v>
      </c>
      <c r="J19" s="19" t="s">
        <v>5478</v>
      </c>
      <c r="K19" s="33" t="s">
        <v>5479</v>
      </c>
      <c r="L19" s="33" t="s">
        <v>5480</v>
      </c>
      <c r="M19" s="19" t="s">
        <v>5481</v>
      </c>
      <c r="N19" s="19" t="s">
        <v>5481</v>
      </c>
      <c r="O19" s="19" t="s">
        <v>5482</v>
      </c>
      <c r="P19" s="19" t="s">
        <v>5483</v>
      </c>
      <c r="Q19" s="34" t="s">
        <v>5484</v>
      </c>
      <c r="S19">
        <f>0.473-0.261</f>
        <v>0.21199999999999997</v>
      </c>
      <c r="T19" t="s">
        <v>2824</v>
      </c>
      <c r="U19" t="s">
        <v>315</v>
      </c>
      <c r="V19" t="s">
        <v>448</v>
      </c>
      <c r="W19" t="s">
        <v>3449</v>
      </c>
      <c r="X19" s="11" t="s">
        <v>4897</v>
      </c>
      <c r="Y19" t="s">
        <v>3451</v>
      </c>
    </row>
    <row r="20" spans="1:25" x14ac:dyDescent="0.2">
      <c r="A20" t="s">
        <v>4898</v>
      </c>
      <c r="C20" s="2" t="s">
        <v>3446</v>
      </c>
      <c r="D20" s="2" t="s">
        <v>3462</v>
      </c>
      <c r="E20">
        <f>87+38.049/60</f>
        <v>87.634150000000005</v>
      </c>
      <c r="F20">
        <f>-63-18.13/60</f>
        <v>-63.302166666666665</v>
      </c>
      <c r="G20" t="s">
        <v>4896</v>
      </c>
      <c r="H20" t="s">
        <v>4896</v>
      </c>
      <c r="I20" s="2" t="s">
        <v>446</v>
      </c>
      <c r="J20" s="19" t="s">
        <v>5485</v>
      </c>
      <c r="K20" s="33" t="s">
        <v>5486</v>
      </c>
      <c r="L20" s="33" t="s">
        <v>5394</v>
      </c>
      <c r="M20" s="23" t="s">
        <v>5487</v>
      </c>
      <c r="N20" s="23" t="s">
        <v>5487</v>
      </c>
      <c r="O20" s="23" t="s">
        <v>5488</v>
      </c>
      <c r="P20" s="23" t="s">
        <v>5489</v>
      </c>
      <c r="Q20" s="23" t="s">
        <v>5490</v>
      </c>
      <c r="T20" t="s">
        <v>2824</v>
      </c>
      <c r="U20" t="s">
        <v>315</v>
      </c>
      <c r="V20" t="s">
        <v>448</v>
      </c>
      <c r="W20" t="s">
        <v>4899</v>
      </c>
      <c r="X20" s="11" t="s">
        <v>4900</v>
      </c>
    </row>
    <row r="21" spans="1:25" x14ac:dyDescent="0.2">
      <c r="A21" t="s">
        <v>4901</v>
      </c>
      <c r="C21" s="2" t="s">
        <v>3447</v>
      </c>
      <c r="D21" s="2" t="s">
        <v>3480</v>
      </c>
      <c r="E21" s="2">
        <f>85+25.041/60</f>
        <v>85.417349999999999</v>
      </c>
      <c r="F21">
        <f>-62-6.846/60</f>
        <v>-62.114100000000001</v>
      </c>
      <c r="G21">
        <f>85+10.15/60</f>
        <v>85.169166666666669</v>
      </c>
      <c r="H21">
        <f>-61-56.776/60</f>
        <v>-61.946266666666666</v>
      </c>
      <c r="I21" s="2" t="s">
        <v>446</v>
      </c>
      <c r="J21" s="19" t="s">
        <v>5491</v>
      </c>
      <c r="K21" s="33" t="s">
        <v>5492</v>
      </c>
      <c r="L21" s="35" t="s">
        <v>5493</v>
      </c>
      <c r="M21" s="19" t="s">
        <v>5494</v>
      </c>
      <c r="N21" s="19" t="s">
        <v>5494</v>
      </c>
      <c r="O21" s="19" t="s">
        <v>5495</v>
      </c>
      <c r="P21" t="s">
        <v>5394</v>
      </c>
      <c r="Q21" s="23" t="s">
        <v>5496</v>
      </c>
      <c r="T21" t="s">
        <v>2824</v>
      </c>
      <c r="U21" t="s">
        <v>315</v>
      </c>
      <c r="V21" t="s">
        <v>448</v>
      </c>
      <c r="W21" t="s">
        <v>4902</v>
      </c>
      <c r="X21" s="11" t="s">
        <v>4903</v>
      </c>
    </row>
    <row r="22" spans="1:25" x14ac:dyDescent="0.2">
      <c r="A22" t="s">
        <v>4904</v>
      </c>
      <c r="C22" s="2" t="s">
        <v>3862</v>
      </c>
      <c r="D22" s="2" t="s">
        <v>3480</v>
      </c>
      <c r="E22">
        <f>84+11.989/60</f>
        <v>84.199816666666663</v>
      </c>
      <c r="F22">
        <f>-61-23.8/60</f>
        <v>-61.396666666666668</v>
      </c>
      <c r="G22">
        <f>83+56.351/60</f>
        <v>83.939183333333332</v>
      </c>
      <c r="H22">
        <f>-61-14.482/60</f>
        <v>-61.241366666666664</v>
      </c>
      <c r="I22" s="2" t="s">
        <v>446</v>
      </c>
      <c r="J22" s="19" t="s">
        <v>5497</v>
      </c>
      <c r="K22" s="35" t="s">
        <v>5498</v>
      </c>
      <c r="L22" s="35" t="s">
        <v>5499</v>
      </c>
      <c r="M22" s="23" t="s">
        <v>5500</v>
      </c>
      <c r="N22" s="23" t="s">
        <v>5500</v>
      </c>
      <c r="O22" s="23" t="s">
        <v>5501</v>
      </c>
      <c r="P22" s="23" t="s">
        <v>5502</v>
      </c>
      <c r="Q22" s="36" t="s">
        <v>5503</v>
      </c>
      <c r="S22">
        <f>0.449-0.357</f>
        <v>9.2000000000000026E-2</v>
      </c>
      <c r="T22" t="s">
        <v>2824</v>
      </c>
      <c r="U22" t="s">
        <v>300</v>
      </c>
      <c r="V22" t="s">
        <v>448</v>
      </c>
      <c r="W22" t="s">
        <v>4905</v>
      </c>
      <c r="X22" s="11" t="s">
        <v>4906</v>
      </c>
      <c r="Y22" t="s">
        <v>3451</v>
      </c>
    </row>
    <row r="23" spans="1:25" x14ac:dyDescent="0.2">
      <c r="A23" t="s">
        <v>4907</v>
      </c>
      <c r="C23" s="2" t="s">
        <v>3893</v>
      </c>
      <c r="D23" s="2" t="s">
        <v>3894</v>
      </c>
      <c r="E23" s="2">
        <f>82+50.944/60</f>
        <v>82.849066666666673</v>
      </c>
      <c r="F23">
        <f>-60-33.52/60</f>
        <v>-60.558666666666667</v>
      </c>
      <c r="G23" t="s">
        <v>4896</v>
      </c>
      <c r="H23" t="s">
        <v>4896</v>
      </c>
      <c r="I23" s="2" t="s">
        <v>446</v>
      </c>
      <c r="J23" s="19" t="s">
        <v>5504</v>
      </c>
      <c r="K23" s="33" t="s">
        <v>5505</v>
      </c>
      <c r="L23" s="35" t="s">
        <v>5506</v>
      </c>
      <c r="M23" s="19" t="s">
        <v>5507</v>
      </c>
      <c r="N23" s="19" t="s">
        <v>5507</v>
      </c>
      <c r="O23" s="19" t="s">
        <v>5508</v>
      </c>
      <c r="P23" s="19" t="s">
        <v>5508</v>
      </c>
      <c r="Q23" s="19" t="s">
        <v>5509</v>
      </c>
      <c r="T23" t="s">
        <v>2824</v>
      </c>
      <c r="U23" t="s">
        <v>300</v>
      </c>
      <c r="V23" t="s">
        <v>448</v>
      </c>
      <c r="W23" t="s">
        <v>4908</v>
      </c>
      <c r="X23" s="11" t="s">
        <v>4909</v>
      </c>
    </row>
    <row r="24" spans="1:25" ht="96" x14ac:dyDescent="0.2">
      <c r="A24" t="s">
        <v>4910</v>
      </c>
      <c r="C24" s="2" t="s">
        <v>3912</v>
      </c>
      <c r="D24" s="2" t="s">
        <v>3894</v>
      </c>
      <c r="E24">
        <f>81+22.479/60</f>
        <v>81.374650000000003</v>
      </c>
      <c r="F24">
        <f>-59-34.27/60</f>
        <v>-59.57116666666667</v>
      </c>
      <c r="G24" t="s">
        <v>4896</v>
      </c>
      <c r="H24" t="s">
        <v>4896</v>
      </c>
      <c r="I24" s="2" t="s">
        <v>446</v>
      </c>
      <c r="J24" s="19" t="s">
        <v>5510</v>
      </c>
      <c r="K24" s="33" t="s">
        <v>5511</v>
      </c>
      <c r="L24" s="35" t="s">
        <v>5511</v>
      </c>
      <c r="M24" s="23" t="s">
        <v>5512</v>
      </c>
      <c r="N24" s="23" t="s">
        <v>5512</v>
      </c>
      <c r="O24" s="19" t="s">
        <v>5513</v>
      </c>
      <c r="P24" s="19" t="s">
        <v>5514</v>
      </c>
      <c r="Q24" s="23" t="s">
        <v>5515</v>
      </c>
      <c r="T24" t="s">
        <v>2824</v>
      </c>
      <c r="U24" t="s">
        <v>300</v>
      </c>
      <c r="V24" t="s">
        <v>448</v>
      </c>
      <c r="W24" t="s">
        <v>4911</v>
      </c>
      <c r="X24" s="11" t="s">
        <v>4916</v>
      </c>
      <c r="Y24" t="s">
        <v>4912</v>
      </c>
    </row>
    <row r="25" spans="1:25" x14ac:dyDescent="0.2">
      <c r="A25" t="s">
        <v>4913</v>
      </c>
      <c r="B25" t="s">
        <v>3915</v>
      </c>
      <c r="C25" s="2" t="s">
        <v>3916</v>
      </c>
      <c r="D25" s="2" t="s">
        <v>3942</v>
      </c>
      <c r="E25">
        <f>80+(24.321/60)</f>
        <v>80.405349999999999</v>
      </c>
      <c r="F25">
        <f>-58-(51.915/60)</f>
        <v>-58.865250000000003</v>
      </c>
      <c r="G25">
        <f>80+(12.81/60)</f>
        <v>80.213499999999996</v>
      </c>
      <c r="H25">
        <f>-58-(41.597/60)</f>
        <v>-58.693283333333333</v>
      </c>
      <c r="I25" s="2" t="s">
        <v>446</v>
      </c>
      <c r="J25" s="19" t="s">
        <v>5516</v>
      </c>
      <c r="K25" s="33" t="s">
        <v>5517</v>
      </c>
      <c r="L25" s="33" t="s">
        <v>5518</v>
      </c>
      <c r="M25" s="19" t="s">
        <v>5519</v>
      </c>
      <c r="N25" s="19" t="s">
        <v>5519</v>
      </c>
      <c r="O25" s="19" t="s">
        <v>5520</v>
      </c>
      <c r="P25" s="19" t="s">
        <v>5521</v>
      </c>
      <c r="Q25" s="19" t="s">
        <v>5522</v>
      </c>
      <c r="R25">
        <f>35.2-2.8-0.227+8.8-0.201+6.1-0.245+10.6-0.234+1.4-0.191+4.6-0.245</f>
        <v>62.557000000000016</v>
      </c>
      <c r="T25" t="s">
        <v>2824</v>
      </c>
      <c r="U25" t="s">
        <v>315</v>
      </c>
      <c r="V25" t="s">
        <v>448</v>
      </c>
      <c r="W25" t="s">
        <v>4914</v>
      </c>
      <c r="X25" s="11" t="s">
        <v>4915</v>
      </c>
    </row>
    <row r="26" spans="1:25" ht="48" x14ac:dyDescent="0.2">
      <c r="A26" t="s">
        <v>4917</v>
      </c>
      <c r="B26" t="s">
        <v>4820</v>
      </c>
      <c r="C26" s="2" t="s">
        <v>4821</v>
      </c>
      <c r="D26" s="2" t="s">
        <v>4822</v>
      </c>
      <c r="E26">
        <f>81+(29.658/60)</f>
        <v>81.494299999999996</v>
      </c>
      <c r="F26">
        <f>-58-(15.437/60)</f>
        <v>-58.257283333333334</v>
      </c>
      <c r="G26">
        <f>81+(52.903/60)</f>
        <v>81.881716666666662</v>
      </c>
      <c r="H26">
        <f>-58-(13.365/60)</f>
        <v>-58.222749999999998</v>
      </c>
      <c r="I26" s="2" t="s">
        <v>446</v>
      </c>
      <c r="J26" s="19" t="s">
        <v>5523</v>
      </c>
      <c r="K26" s="32" t="s">
        <v>5856</v>
      </c>
      <c r="L26" s="33" t="s">
        <v>5524</v>
      </c>
      <c r="M26" t="s">
        <v>5394</v>
      </c>
      <c r="N26" t="s">
        <v>5394</v>
      </c>
      <c r="O26" t="s">
        <v>5394</v>
      </c>
      <c r="P26" s="19" t="s">
        <v>5525</v>
      </c>
      <c r="Q26" s="19" t="s">
        <v>5526</v>
      </c>
      <c r="R26">
        <f>23.7-1.8-0.227+35.3-1.8+1.9-0.201+17.7-1.8-0.195+2-0.208+21.9-1.7-0.191+22.5-1.8-0.245</f>
        <v>114.833</v>
      </c>
      <c r="T26" t="s">
        <v>1270</v>
      </c>
      <c r="U26" t="s">
        <v>315</v>
      </c>
      <c r="V26" s="6" t="s">
        <v>5792</v>
      </c>
      <c r="W26" t="s">
        <v>4918</v>
      </c>
      <c r="X26" s="11" t="s">
        <v>4919</v>
      </c>
    </row>
    <row r="27" spans="1:25" x14ac:dyDescent="0.2">
      <c r="A27" t="s">
        <v>4920</v>
      </c>
      <c r="B27" t="s">
        <v>4921</v>
      </c>
      <c r="C27" s="2" t="s">
        <v>4890</v>
      </c>
      <c r="D27" s="2" t="s">
        <v>4822</v>
      </c>
      <c r="E27">
        <f>82+(55.085/60)</f>
        <v>82.918083333333328</v>
      </c>
      <c r="F27">
        <f>-58-+(0.646/60)</f>
        <v>-58.010766666666669</v>
      </c>
      <c r="G27">
        <f>83+(12.887/60)</f>
        <v>83.21478333333333</v>
      </c>
      <c r="H27">
        <f>-57-(57.004/60)</f>
        <v>-57.950066666666665</v>
      </c>
      <c r="I27" s="2" t="s">
        <v>446</v>
      </c>
      <c r="J27" s="19" t="s">
        <v>5527</v>
      </c>
      <c r="K27" s="33" t="s">
        <v>5528</v>
      </c>
      <c r="L27" s="33" t="s">
        <v>5529</v>
      </c>
      <c r="M27" t="s">
        <v>5394</v>
      </c>
      <c r="N27" t="s">
        <v>5394</v>
      </c>
      <c r="O27" t="s">
        <v>5394</v>
      </c>
      <c r="P27" s="19" t="s">
        <v>5530</v>
      </c>
      <c r="Q27" s="19" t="s">
        <v>5531</v>
      </c>
      <c r="R27">
        <f>36.8-2.8-0.227+0.6-0.201+8.6-0.195+10.7-0.208+2.6-0.191+7.4-0.245</f>
        <v>62.633000000000003</v>
      </c>
      <c r="T27" t="s">
        <v>2824</v>
      </c>
      <c r="U27" t="s">
        <v>315</v>
      </c>
      <c r="V27" s="6" t="s">
        <v>5792</v>
      </c>
      <c r="W27" t="s">
        <v>4922</v>
      </c>
    </row>
    <row r="28" spans="1:25" x14ac:dyDescent="0.2">
      <c r="A28" t="s">
        <v>4923</v>
      </c>
      <c r="B28" t="s">
        <v>4924</v>
      </c>
      <c r="C28" s="2" t="s">
        <v>4891</v>
      </c>
      <c r="D28" s="2" t="s">
        <v>4925</v>
      </c>
      <c r="E28">
        <f>84+(10.386/60)</f>
        <v>84.173100000000005</v>
      </c>
      <c r="F28">
        <f>-57-(40.862/60)</f>
        <v>-57.681033333333332</v>
      </c>
      <c r="G28">
        <f>84+(31.544/60)</f>
        <v>84.525733333333335</v>
      </c>
      <c r="H28">
        <f>-57-(34.73/60)</f>
        <v>-57.578833333333336</v>
      </c>
      <c r="I28" s="2" t="s">
        <v>446</v>
      </c>
      <c r="J28" s="19" t="s">
        <v>5532</v>
      </c>
      <c r="K28" s="33" t="s">
        <v>5533</v>
      </c>
      <c r="L28" s="33" t="s">
        <v>5534</v>
      </c>
      <c r="M28" s="19" t="s">
        <v>5394</v>
      </c>
      <c r="N28" s="19" t="s">
        <v>5394</v>
      </c>
      <c r="O28" s="19" t="s">
        <v>5394</v>
      </c>
      <c r="P28" t="s">
        <v>5394</v>
      </c>
      <c r="Q28" s="19" t="s">
        <v>5535</v>
      </c>
      <c r="R28">
        <f>30.3-2.8-0.227+1.4-0.201+23.8-2.8-0.195+2.5-0.234+3.5-0.241+3.3-0.245</f>
        <v>57.856999999999999</v>
      </c>
      <c r="S28">
        <f>0.447-0.4</f>
        <v>4.6999999999999986E-2</v>
      </c>
      <c r="T28" t="s">
        <v>2824</v>
      </c>
      <c r="U28" t="s">
        <v>315</v>
      </c>
      <c r="V28" s="6" t="s">
        <v>5792</v>
      </c>
      <c r="W28" t="s">
        <v>4927</v>
      </c>
      <c r="X28" s="11" t="s">
        <v>4926</v>
      </c>
    </row>
    <row r="29" spans="1:25" x14ac:dyDescent="0.2">
      <c r="A29" t="s">
        <v>4928</v>
      </c>
      <c r="B29" t="s">
        <v>4929</v>
      </c>
      <c r="C29" s="2" t="s">
        <v>4892</v>
      </c>
      <c r="D29" s="2" t="s">
        <v>4925</v>
      </c>
      <c r="E29">
        <f>84+(55.027/60)</f>
        <v>84.917116666666672</v>
      </c>
      <c r="F29">
        <f>-57-(42.432/60)</f>
        <v>-57.7072</v>
      </c>
      <c r="G29">
        <f>85+(129.79/60)</f>
        <v>87.163166666666669</v>
      </c>
      <c r="H29">
        <f>-57-(47.149/60)</f>
        <v>-57.785816666666669</v>
      </c>
      <c r="I29" s="2" t="s">
        <v>446</v>
      </c>
      <c r="J29" s="19" t="s">
        <v>5536</v>
      </c>
      <c r="K29" s="33" t="s">
        <v>5537</v>
      </c>
      <c r="L29" s="33" t="s">
        <v>5538</v>
      </c>
      <c r="M29" s="19" t="s">
        <v>5394</v>
      </c>
      <c r="N29" s="19" t="s">
        <v>5394</v>
      </c>
      <c r="O29" s="19" t="s">
        <v>5539</v>
      </c>
      <c r="P29" s="19" t="s">
        <v>5540</v>
      </c>
      <c r="Q29" s="19" t="s">
        <v>5541</v>
      </c>
      <c r="R29">
        <f>38.2-2.8-0.249+4.7-0.195+3.1-0.234+3.4-0.241+10.7-2.8-0.245</f>
        <v>53.336000000000006</v>
      </c>
      <c r="S29">
        <f>0.475-0.285</f>
        <v>0.19</v>
      </c>
      <c r="T29" t="s">
        <v>2824</v>
      </c>
      <c r="U29" t="s">
        <v>315</v>
      </c>
      <c r="V29" t="s">
        <v>5792</v>
      </c>
      <c r="W29" t="s">
        <v>4930</v>
      </c>
      <c r="X29" s="11" t="s">
        <v>4931</v>
      </c>
      <c r="Y29" t="s">
        <v>3451</v>
      </c>
    </row>
    <row r="30" spans="1:25" x14ac:dyDescent="0.2">
      <c r="A30" t="s">
        <v>4932</v>
      </c>
      <c r="B30" t="s">
        <v>4933</v>
      </c>
      <c r="C30" s="2" t="s">
        <v>4893</v>
      </c>
      <c r="D30" s="2" t="s">
        <v>4934</v>
      </c>
      <c r="E30">
        <f>85+(18.036/60)</f>
        <v>85.300600000000003</v>
      </c>
      <c r="F30">
        <f>-58-(38.526/60)</f>
        <v>-58.642099999999999</v>
      </c>
      <c r="G30">
        <f>85+(4.403/60)</f>
        <v>85.073383333333339</v>
      </c>
      <c r="H30">
        <f>-58-(50.029/60)</f>
        <v>-58.833816666666664</v>
      </c>
      <c r="I30" s="2" t="s">
        <v>446</v>
      </c>
      <c r="J30" s="19" t="s">
        <v>5542</v>
      </c>
      <c r="K30" s="33" t="s">
        <v>5543</v>
      </c>
      <c r="L30" s="33" t="s">
        <v>5544</v>
      </c>
      <c r="M30" t="s">
        <v>5394</v>
      </c>
      <c r="N30" t="s">
        <v>5394</v>
      </c>
      <c r="O30" t="s">
        <v>5394</v>
      </c>
      <c r="P30" t="s">
        <v>5394</v>
      </c>
      <c r="Q30" s="19" t="s">
        <v>5545</v>
      </c>
      <c r="R30">
        <f>21-1.8-0.227+0.9-0.201+3.1-0.195+29.7-2.9-0.234+28-2.8+0.5+0.5+2.6-0.241+8.1-0.241</f>
        <v>85.560999999999993</v>
      </c>
      <c r="T30" t="s">
        <v>2824</v>
      </c>
      <c r="U30" t="s">
        <v>315</v>
      </c>
      <c r="V30" t="s">
        <v>5792</v>
      </c>
      <c r="W30" t="s">
        <v>4938</v>
      </c>
      <c r="Y30" t="s">
        <v>4937</v>
      </c>
    </row>
    <row r="31" spans="1:25" x14ac:dyDescent="0.2">
      <c r="A31" t="s">
        <v>4940</v>
      </c>
      <c r="B31" t="s">
        <v>4935</v>
      </c>
      <c r="C31" s="2" t="s">
        <v>4894</v>
      </c>
      <c r="D31" s="2" t="s">
        <v>4934</v>
      </c>
      <c r="E31">
        <f>84+(51.619/60)</f>
        <v>84.860316666666662</v>
      </c>
      <c r="F31">
        <f>-58-(57.588/60)</f>
        <v>-58.959800000000001</v>
      </c>
      <c r="G31" t="s">
        <v>4896</v>
      </c>
      <c r="H31" t="s">
        <v>4896</v>
      </c>
      <c r="I31" s="2" t="s">
        <v>446</v>
      </c>
      <c r="J31" s="19" t="s">
        <v>5546</v>
      </c>
      <c r="K31" s="33" t="s">
        <v>5547</v>
      </c>
      <c r="L31" s="33" t="s">
        <v>5548</v>
      </c>
      <c r="M31" t="s">
        <v>5394</v>
      </c>
      <c r="N31" t="s">
        <v>5394</v>
      </c>
      <c r="O31" s="19" t="s">
        <v>5549</v>
      </c>
      <c r="P31" s="19" t="s">
        <v>5550</v>
      </c>
      <c r="Q31" s="19" t="s">
        <v>5551</v>
      </c>
      <c r="R31">
        <f>18-2.8-0.227+10.1-1.7-0.201+20.3-2.8-0.195+4.2-0.234+3.8-0.191+6.1-1.7-0.241</f>
        <v>52.210999999999999</v>
      </c>
      <c r="T31" t="s">
        <v>2824</v>
      </c>
      <c r="U31" t="s">
        <v>315</v>
      </c>
      <c r="V31" t="s">
        <v>5792</v>
      </c>
      <c r="W31" t="s">
        <v>4936</v>
      </c>
    </row>
    <row r="32" spans="1:25" x14ac:dyDescent="0.2">
      <c r="A32" t="s">
        <v>4941</v>
      </c>
      <c r="B32" t="s">
        <v>4942</v>
      </c>
      <c r="C32" s="2" t="s">
        <v>4895</v>
      </c>
      <c r="D32" s="2" t="s">
        <v>4934</v>
      </c>
      <c r="E32">
        <f>86+(18.491/60)</f>
        <v>86.308183333333332</v>
      </c>
      <c r="F32">
        <f>-59-(46.094/60)</f>
        <v>-59.768233333333335</v>
      </c>
      <c r="I32" s="2" t="s">
        <v>446</v>
      </c>
      <c r="J32" s="19" t="s">
        <v>5552</v>
      </c>
      <c r="K32" s="32" t="s">
        <v>5553</v>
      </c>
      <c r="L32" s="33" t="s">
        <v>5554</v>
      </c>
      <c r="M32" s="19" t="s">
        <v>5394</v>
      </c>
      <c r="N32" s="19" t="s">
        <v>5394</v>
      </c>
      <c r="O32" s="19" t="s">
        <v>5394</v>
      </c>
      <c r="P32" s="19" t="s">
        <v>5394</v>
      </c>
      <c r="Q32" s="19" t="s">
        <v>5394</v>
      </c>
      <c r="T32" t="s">
        <v>2824</v>
      </c>
      <c r="U32" t="s">
        <v>315</v>
      </c>
      <c r="V32" t="s">
        <v>5792</v>
      </c>
      <c r="W32" t="s">
        <v>4939</v>
      </c>
      <c r="Y32" t="s">
        <v>4937</v>
      </c>
    </row>
    <row r="33" spans="1:25" ht="32" x14ac:dyDescent="0.2">
      <c r="A33" t="s">
        <v>5132</v>
      </c>
      <c r="B33" t="s">
        <v>5131</v>
      </c>
      <c r="C33" s="2" t="s">
        <v>5133</v>
      </c>
      <c r="D33" s="2" t="s">
        <v>5134</v>
      </c>
      <c r="E33">
        <f>86+(13.785/60)</f>
        <v>86.229749999999996</v>
      </c>
      <c r="F33">
        <f>-60-(2.475/60)</f>
        <v>-60.041249999999998</v>
      </c>
      <c r="G33" t="s">
        <v>4896</v>
      </c>
      <c r="H33" t="s">
        <v>4896</v>
      </c>
      <c r="I33" s="2" t="s">
        <v>446</v>
      </c>
      <c r="J33" s="19" t="s">
        <v>5555</v>
      </c>
      <c r="K33" s="19" t="s">
        <v>5558</v>
      </c>
      <c r="L33" s="19" t="s">
        <v>5562</v>
      </c>
      <c r="O33" s="19" t="s">
        <v>5135</v>
      </c>
      <c r="P33" s="19" t="s">
        <v>5136</v>
      </c>
      <c r="Q33" s="34" t="s">
        <v>5858</v>
      </c>
      <c r="R33">
        <f>46.8-2.8-0.227+9.4-0.201+21.6-2.8-0.195+15.1-1.8-0.234+2.4-0.241+7.8-0.245</f>
        <v>94.357000000000014</v>
      </c>
      <c r="T33" t="s">
        <v>2824</v>
      </c>
      <c r="U33" t="s">
        <v>315</v>
      </c>
      <c r="V33" t="s">
        <v>5792</v>
      </c>
      <c r="W33" t="s">
        <v>5137</v>
      </c>
      <c r="X33" s="11" t="s">
        <v>5138</v>
      </c>
    </row>
    <row r="34" spans="1:25" ht="32" x14ac:dyDescent="0.2">
      <c r="A34" t="s">
        <v>5313</v>
      </c>
      <c r="B34" t="s">
        <v>5284</v>
      </c>
      <c r="C34" s="2" t="s">
        <v>5285</v>
      </c>
      <c r="D34" s="2" t="s">
        <v>5314</v>
      </c>
      <c r="E34">
        <f>84+(4.478/60)</f>
        <v>84.074633333333338</v>
      </c>
      <c r="F34">
        <f>-60-(15.642/60)</f>
        <v>-60.2607</v>
      </c>
      <c r="G34">
        <f>83+(33.632/60)</f>
        <v>83.560533333333339</v>
      </c>
      <c r="H34">
        <f>-60-(19.193/60)</f>
        <v>-60.319883333333337</v>
      </c>
      <c r="I34" s="2" t="s">
        <v>446</v>
      </c>
      <c r="J34" s="34" t="s">
        <v>5857</v>
      </c>
      <c r="K34" t="s">
        <v>5559</v>
      </c>
      <c r="L34" t="s">
        <v>5559</v>
      </c>
      <c r="O34" t="s">
        <v>4896</v>
      </c>
      <c r="P34" t="s">
        <v>4896</v>
      </c>
      <c r="Q34" t="s">
        <v>4896</v>
      </c>
      <c r="R34">
        <f>36.3-2.8-0.227+3.4-0.2+2.9-0.195+5.3-0.234+61.7-2.8-0.241+11-0.245</f>
        <v>113.65799999999999</v>
      </c>
      <c r="T34" t="s">
        <v>2824</v>
      </c>
      <c r="U34" t="s">
        <v>315</v>
      </c>
      <c r="V34" t="s">
        <v>5792</v>
      </c>
      <c r="W34" t="s">
        <v>5315</v>
      </c>
      <c r="X34" s="11" t="s">
        <v>5316</v>
      </c>
    </row>
    <row r="35" spans="1:25" ht="80" x14ac:dyDescent="0.2">
      <c r="A35" t="s">
        <v>5372</v>
      </c>
      <c r="B35" t="s">
        <v>5373</v>
      </c>
      <c r="C35" s="2" t="s">
        <v>5374</v>
      </c>
      <c r="D35" s="2" t="s">
        <v>5375</v>
      </c>
      <c r="E35">
        <f>80+(24.96/60)</f>
        <v>80.415999999999997</v>
      </c>
      <c r="F35">
        <f>-60-(47.783/60)</f>
        <v>-60.796383333333331</v>
      </c>
      <c r="G35">
        <f>80+(21.267/60)</f>
        <v>80.35445</v>
      </c>
      <c r="H35">
        <f>-60-(48.622/60)</f>
        <v>-60.810366666666667</v>
      </c>
      <c r="I35" s="2" t="s">
        <v>446</v>
      </c>
      <c r="J35" s="19" t="s">
        <v>5556</v>
      </c>
      <c r="K35" s="19" t="s">
        <v>5560</v>
      </c>
      <c r="L35" s="19" t="s">
        <v>5563</v>
      </c>
      <c r="Q35" s="19" t="s">
        <v>5569</v>
      </c>
      <c r="R35" t="s">
        <v>42</v>
      </c>
      <c r="S35" t="s">
        <v>42</v>
      </c>
      <c r="T35" t="s">
        <v>42</v>
      </c>
      <c r="U35" t="s">
        <v>42</v>
      </c>
      <c r="V35" t="s">
        <v>5792</v>
      </c>
      <c r="W35" t="s">
        <v>5376</v>
      </c>
      <c r="X35" s="11" t="s">
        <v>5377</v>
      </c>
    </row>
    <row r="36" spans="1:25" x14ac:dyDescent="0.2">
      <c r="A36" t="s">
        <v>5372</v>
      </c>
      <c r="B36" t="s">
        <v>5373</v>
      </c>
      <c r="C36" s="2" t="s">
        <v>5378</v>
      </c>
      <c r="D36" s="2" t="s">
        <v>5375</v>
      </c>
      <c r="E36">
        <f>80+(21.068/60)</f>
        <v>80.351133333333337</v>
      </c>
      <c r="F36">
        <f>-60-(48.725/60)</f>
        <v>-60.812083333333334</v>
      </c>
      <c r="G36" t="s">
        <v>4896</v>
      </c>
      <c r="H36" t="s">
        <v>4896</v>
      </c>
      <c r="I36" s="2" t="s">
        <v>446</v>
      </c>
      <c r="J36" s="19" t="s">
        <v>5557</v>
      </c>
      <c r="K36" s="19" t="s">
        <v>5561</v>
      </c>
      <c r="L36" s="19" t="s">
        <v>5564</v>
      </c>
      <c r="M36" s="19" t="s">
        <v>5565</v>
      </c>
      <c r="N36" s="19" t="s">
        <v>5565</v>
      </c>
      <c r="O36" s="19" t="s">
        <v>5566</v>
      </c>
      <c r="P36" s="19" t="s">
        <v>5567</v>
      </c>
      <c r="Q36" s="19" t="s">
        <v>5568</v>
      </c>
      <c r="R36">
        <f>20.9-2.8-0.227+17.6-2.8-0.201+12.8-0.195+1-0.234+0.7-0.241+3.4-0.245</f>
        <v>49.457000000000008</v>
      </c>
      <c r="T36" t="s">
        <v>2824</v>
      </c>
      <c r="U36" t="s">
        <v>315</v>
      </c>
      <c r="V36" t="s">
        <v>5792</v>
      </c>
      <c r="W36" t="s">
        <v>5379</v>
      </c>
      <c r="X36" s="11" t="s">
        <v>5380</v>
      </c>
    </row>
    <row r="37" spans="1:25" ht="32" x14ac:dyDescent="0.2">
      <c r="A37" t="s">
        <v>5653</v>
      </c>
      <c r="B37" t="s">
        <v>5588</v>
      </c>
      <c r="C37" s="2" t="s">
        <v>5589</v>
      </c>
      <c r="D37" s="2" t="s">
        <v>5375</v>
      </c>
      <c r="E37">
        <f>78+(2.991/60)</f>
        <v>78.049850000000006</v>
      </c>
      <c r="F37">
        <f>-61-(13.938/60)</f>
        <v>-61.232300000000002</v>
      </c>
      <c r="G37">
        <f>77+(38.4/60)</f>
        <v>77.64</v>
      </c>
      <c r="H37">
        <f>-61-(18.567/60)</f>
        <v>-61.309449999999998</v>
      </c>
      <c r="I37" s="2" t="s">
        <v>446</v>
      </c>
      <c r="J37" s="34" t="s">
        <v>5793</v>
      </c>
      <c r="K37" s="34" t="s">
        <v>5794</v>
      </c>
      <c r="L37" s="34" t="s">
        <v>5795</v>
      </c>
      <c r="M37" s="34" t="s">
        <v>5796</v>
      </c>
      <c r="N37" s="34" t="s">
        <v>5796</v>
      </c>
      <c r="O37" s="34" t="s">
        <v>5797</v>
      </c>
      <c r="P37" s="34" t="s">
        <v>5798</v>
      </c>
      <c r="Q37" s="34" t="s">
        <v>5799</v>
      </c>
      <c r="S37">
        <f>0.512-0.424</f>
        <v>8.8000000000000023E-2</v>
      </c>
      <c r="T37" t="s">
        <v>2824</v>
      </c>
      <c r="U37" t="s">
        <v>315</v>
      </c>
      <c r="V37" t="s">
        <v>5792</v>
      </c>
      <c r="W37" t="s">
        <v>5800</v>
      </c>
      <c r="X37" s="11" t="s">
        <v>5801</v>
      </c>
      <c r="Y37" t="s">
        <v>5802</v>
      </c>
    </row>
    <row r="38" spans="1:25" x14ac:dyDescent="0.2">
      <c r="C38" s="2" t="s">
        <v>5615</v>
      </c>
      <c r="D38" s="2" t="s">
        <v>5627</v>
      </c>
      <c r="E38">
        <f>74+35.866/60</f>
        <v>74.597766666666672</v>
      </c>
      <c r="F38">
        <f>-61-45.045/60</f>
        <v>-61.750749999999996</v>
      </c>
      <c r="G38">
        <f>74+14.816/60</f>
        <v>74.246933333333331</v>
      </c>
      <c r="H38">
        <f>-61-49.53/60</f>
        <v>-61.825499999999998</v>
      </c>
      <c r="I38" s="2" t="s">
        <v>446</v>
      </c>
      <c r="J38" s="34" t="s">
        <v>5803</v>
      </c>
      <c r="K38" s="34" t="s">
        <v>5804</v>
      </c>
      <c r="L38" s="34" t="s">
        <v>5805</v>
      </c>
      <c r="M38" s="34" t="s">
        <v>5806</v>
      </c>
      <c r="N38" s="34" t="s">
        <v>5806</v>
      </c>
      <c r="O38" s="34" t="s">
        <v>5807</v>
      </c>
      <c r="P38" s="34" t="s">
        <v>5808</v>
      </c>
      <c r="Q38" s="34" t="s">
        <v>5809</v>
      </c>
      <c r="S38">
        <v>7.0000000000000001E-3</v>
      </c>
      <c r="T38" t="s">
        <v>2824</v>
      </c>
      <c r="U38" t="s">
        <v>315</v>
      </c>
      <c r="V38" t="s">
        <v>5792</v>
      </c>
      <c r="W38" t="s">
        <v>5810</v>
      </c>
      <c r="Y38" t="s">
        <v>3451</v>
      </c>
    </row>
    <row r="39" spans="1:25" x14ac:dyDescent="0.2">
      <c r="A39" t="s">
        <v>5811</v>
      </c>
      <c r="C39" s="2" t="s">
        <v>5789</v>
      </c>
      <c r="D39" t="s">
        <v>5708</v>
      </c>
      <c r="E39">
        <f>73+32.024/60</f>
        <v>73.533733333333331</v>
      </c>
      <c r="F39">
        <f>-62-28.678/60</f>
        <v>-62.477966666666667</v>
      </c>
      <c r="G39">
        <f>73+21.464/60</f>
        <v>73.357733333333329</v>
      </c>
      <c r="H39">
        <f>-62-40.296/60</f>
        <v>-62.671599999999998</v>
      </c>
      <c r="I39" s="2" t="s">
        <v>446</v>
      </c>
      <c r="J39" s="8" t="s">
        <v>5812</v>
      </c>
      <c r="K39" s="8" t="s">
        <v>5813</v>
      </c>
      <c r="L39" s="8" t="s">
        <v>5814</v>
      </c>
      <c r="M39" s="8" t="s">
        <v>5815</v>
      </c>
      <c r="N39" s="8" t="s">
        <v>5815</v>
      </c>
      <c r="O39" s="8" t="s">
        <v>5816</v>
      </c>
      <c r="P39" s="8" t="s">
        <v>5817</v>
      </c>
      <c r="Q39" s="8" t="s">
        <v>5818</v>
      </c>
      <c r="S39">
        <v>3.1E-2</v>
      </c>
      <c r="T39" t="s">
        <v>2824</v>
      </c>
      <c r="U39" t="s">
        <v>315</v>
      </c>
      <c r="V39" t="s">
        <v>5792</v>
      </c>
      <c r="W39" t="s">
        <v>5819</v>
      </c>
    </row>
    <row r="40" spans="1:25" x14ac:dyDescent="0.2">
      <c r="C40" s="2" t="s">
        <v>5707</v>
      </c>
      <c r="D40" t="s">
        <v>5708</v>
      </c>
      <c r="E40">
        <f>72+19.924/60</f>
        <v>72.332066666666663</v>
      </c>
      <c r="F40">
        <f>-63-45.748/60</f>
        <v>-63.762466666666668</v>
      </c>
      <c r="G40">
        <f>72+8.078/60</f>
        <v>72.134633333333326</v>
      </c>
      <c r="H40">
        <f>-63-57.582/60</f>
        <v>-63.959699999999998</v>
      </c>
      <c r="I40" s="2" t="s">
        <v>446</v>
      </c>
      <c r="J40" s="8" t="s">
        <v>5820</v>
      </c>
      <c r="K40" s="8" t="s">
        <v>5821</v>
      </c>
      <c r="L40" s="8" t="s">
        <v>5822</v>
      </c>
      <c r="M40" s="8" t="s">
        <v>5823</v>
      </c>
      <c r="N40" s="8" t="s">
        <v>5823</v>
      </c>
      <c r="O40" s="8" t="s">
        <v>5824</v>
      </c>
      <c r="P40" s="8" t="s">
        <v>5825</v>
      </c>
      <c r="Q40" s="8" t="s">
        <v>5826</v>
      </c>
      <c r="T40" t="s">
        <v>2824</v>
      </c>
      <c r="U40" t="s">
        <v>315</v>
      </c>
      <c r="V40" t="s">
        <v>5792</v>
      </c>
      <c r="W40" t="s">
        <v>5827</v>
      </c>
      <c r="Y40" t="s">
        <v>3451</v>
      </c>
    </row>
    <row r="41" spans="1:25" x14ac:dyDescent="0.2">
      <c r="A41" t="s">
        <v>5828</v>
      </c>
      <c r="C41" s="2" t="s">
        <v>5727</v>
      </c>
      <c r="D41" t="s">
        <v>5732</v>
      </c>
      <c r="E41">
        <f>71+24.358/60</f>
        <v>71.405966666666671</v>
      </c>
      <c r="F41">
        <f>-64-37.234/60</f>
        <v>-64.620566666666662</v>
      </c>
      <c r="G41">
        <f>71+16.1/60</f>
        <v>71.268333333333331</v>
      </c>
      <c r="H41">
        <f>-64-48.979/60</f>
        <v>-64.816316666666665</v>
      </c>
      <c r="I41" s="2" t="s">
        <v>446</v>
      </c>
      <c r="J41" s="8" t="s">
        <v>5829</v>
      </c>
      <c r="K41" s="8" t="s">
        <v>5830</v>
      </c>
      <c r="L41" s="8" t="s">
        <v>5831</v>
      </c>
      <c r="M41" s="8" t="s">
        <v>5832</v>
      </c>
      <c r="N41" s="8" t="s">
        <v>5832</v>
      </c>
      <c r="O41" s="8" t="s">
        <v>5833</v>
      </c>
      <c r="P41" s="8" t="s">
        <v>5833</v>
      </c>
      <c r="Q41" s="8" t="s">
        <v>5834</v>
      </c>
      <c r="S41">
        <v>0.04</v>
      </c>
      <c r="T41" t="s">
        <v>2824</v>
      </c>
      <c r="U41" t="s">
        <v>315</v>
      </c>
      <c r="V41" t="s">
        <v>5792</v>
      </c>
      <c r="W41" t="s">
        <v>5835</v>
      </c>
      <c r="Y41" t="s">
        <v>4937</v>
      </c>
    </row>
    <row r="42" spans="1:25" x14ac:dyDescent="0.2">
      <c r="C42" s="2" t="s">
        <v>5750</v>
      </c>
      <c r="D42" t="s">
        <v>5732</v>
      </c>
      <c r="E42">
        <f>70+9.009/60</f>
        <v>70.150149999999996</v>
      </c>
      <c r="F42">
        <f>-65-45.895/60</f>
        <v>-65.764916666666664</v>
      </c>
      <c r="G42">
        <f>69+43.34/60</f>
        <v>69.722333333333339</v>
      </c>
      <c r="H42">
        <f>-65-50.499/60</f>
        <v>-65.841650000000001</v>
      </c>
      <c r="I42" s="2" t="s">
        <v>446</v>
      </c>
      <c r="J42" s="8" t="s">
        <v>5836</v>
      </c>
      <c r="K42" s="8" t="s">
        <v>5837</v>
      </c>
      <c r="L42" s="8" t="s">
        <v>5838</v>
      </c>
      <c r="M42" s="8" t="s">
        <v>5839</v>
      </c>
      <c r="N42" s="8" t="s">
        <v>5839</v>
      </c>
      <c r="O42" s="8" t="s">
        <v>5840</v>
      </c>
      <c r="P42" s="8" t="s">
        <v>5841</v>
      </c>
      <c r="Q42" s="8" t="s">
        <v>5842</v>
      </c>
      <c r="S42">
        <v>0.14000000000000001</v>
      </c>
      <c r="T42" t="s">
        <v>2824</v>
      </c>
      <c r="U42" t="s">
        <v>315</v>
      </c>
      <c r="V42" t="s">
        <v>5792</v>
      </c>
      <c r="W42" t="s">
        <v>5843</v>
      </c>
      <c r="X42" s="11" t="s">
        <v>5844</v>
      </c>
      <c r="Y42" t="s">
        <v>5845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6"/>
  <sheetViews>
    <sheetView workbookViewId="0">
      <pane ySplit="1" topLeftCell="A81" activePane="bottomLeft" state="frozenSplit"/>
      <selection pane="bottomLeft" activeCell="D206" sqref="D206"/>
    </sheetView>
  </sheetViews>
  <sheetFormatPr baseColWidth="10" defaultColWidth="11" defaultRowHeight="16" x14ac:dyDescent="0.2"/>
  <cols>
    <col min="7" max="7" width="13" bestFit="1" customWidth="1"/>
  </cols>
  <sheetData>
    <row r="1" spans="1:11" x14ac:dyDescent="0.2">
      <c r="A1" s="20" t="s">
        <v>723</v>
      </c>
      <c r="B1" s="20" t="s">
        <v>0</v>
      </c>
      <c r="C1" s="20" t="s">
        <v>9</v>
      </c>
      <c r="D1" s="20" t="s">
        <v>10</v>
      </c>
      <c r="E1" s="20" t="s">
        <v>11</v>
      </c>
      <c r="F1" s="20" t="s">
        <v>24</v>
      </c>
      <c r="G1" s="20" t="s">
        <v>309</v>
      </c>
      <c r="H1" s="20" t="s">
        <v>102</v>
      </c>
      <c r="I1" s="20" t="s">
        <v>5774</v>
      </c>
      <c r="J1" s="20" t="s">
        <v>5775</v>
      </c>
      <c r="K1" s="20" t="s">
        <v>29</v>
      </c>
    </row>
    <row r="2" spans="1:11" x14ac:dyDescent="0.2">
      <c r="A2" s="2" t="s">
        <v>103</v>
      </c>
      <c r="B2" s="2" t="s">
        <v>95</v>
      </c>
      <c r="C2">
        <v>1</v>
      </c>
      <c r="D2">
        <v>789</v>
      </c>
      <c r="E2">
        <v>0</v>
      </c>
      <c r="F2">
        <v>3.5</v>
      </c>
      <c r="G2" t="s">
        <v>42</v>
      </c>
      <c r="H2">
        <v>0.26400000000000001</v>
      </c>
    </row>
    <row r="3" spans="1:11" x14ac:dyDescent="0.2">
      <c r="A3" s="2" t="s">
        <v>103</v>
      </c>
      <c r="B3" s="2" t="s">
        <v>95</v>
      </c>
      <c r="C3">
        <v>2</v>
      </c>
      <c r="D3">
        <v>789</v>
      </c>
      <c r="E3">
        <v>786</v>
      </c>
      <c r="F3">
        <v>2.6</v>
      </c>
      <c r="G3" t="s">
        <v>42</v>
      </c>
      <c r="H3">
        <v>0</v>
      </c>
    </row>
    <row r="4" spans="1:11" x14ac:dyDescent="0.2">
      <c r="A4" s="2" t="s">
        <v>103</v>
      </c>
      <c r="B4" s="2" t="s">
        <v>95</v>
      </c>
      <c r="C4">
        <v>3</v>
      </c>
      <c r="D4">
        <v>786</v>
      </c>
      <c r="E4">
        <v>609</v>
      </c>
      <c r="F4">
        <v>2.7</v>
      </c>
      <c r="G4" t="s">
        <v>42</v>
      </c>
      <c r="H4">
        <v>0.23100000000000001</v>
      </c>
    </row>
    <row r="5" spans="1:11" x14ac:dyDescent="0.2">
      <c r="A5" s="2" t="s">
        <v>103</v>
      </c>
      <c r="B5" s="2" t="s">
        <v>95</v>
      </c>
      <c r="C5">
        <v>4</v>
      </c>
      <c r="D5">
        <v>609</v>
      </c>
      <c r="E5">
        <v>401</v>
      </c>
      <c r="F5">
        <v>2.8</v>
      </c>
      <c r="G5" t="s">
        <v>42</v>
      </c>
      <c r="H5">
        <v>0.245</v>
      </c>
    </row>
    <row r="6" spans="1:11" x14ac:dyDescent="0.2">
      <c r="A6" s="2" t="s">
        <v>103</v>
      </c>
      <c r="B6" s="2" t="s">
        <v>95</v>
      </c>
      <c r="C6">
        <v>5</v>
      </c>
      <c r="D6">
        <v>401</v>
      </c>
      <c r="E6">
        <v>204</v>
      </c>
      <c r="F6">
        <v>2.7</v>
      </c>
      <c r="G6" t="s">
        <v>42</v>
      </c>
      <c r="H6">
        <v>0.13700000000000001</v>
      </c>
    </row>
    <row r="7" spans="1:11" x14ac:dyDescent="0.2">
      <c r="A7" s="2" t="s">
        <v>103</v>
      </c>
      <c r="B7" s="2" t="s">
        <v>95</v>
      </c>
      <c r="C7">
        <v>6</v>
      </c>
      <c r="D7">
        <v>204</v>
      </c>
      <c r="E7">
        <v>0</v>
      </c>
      <c r="F7">
        <v>2.2000000000000002</v>
      </c>
      <c r="G7" t="s">
        <v>42</v>
      </c>
      <c r="H7">
        <v>2.5310000000000001</v>
      </c>
    </row>
    <row r="8" spans="1:11" x14ac:dyDescent="0.2">
      <c r="A8" t="s">
        <v>709</v>
      </c>
      <c r="B8" t="s">
        <v>314</v>
      </c>
      <c r="C8">
        <v>1</v>
      </c>
      <c r="D8">
        <v>1129</v>
      </c>
      <c r="E8">
        <v>0</v>
      </c>
      <c r="H8">
        <v>2.351</v>
      </c>
    </row>
    <row r="9" spans="1:11" x14ac:dyDescent="0.2">
      <c r="A9" t="s">
        <v>709</v>
      </c>
      <c r="B9" t="s">
        <v>314</v>
      </c>
      <c r="C9">
        <v>2</v>
      </c>
      <c r="D9">
        <v>1129</v>
      </c>
      <c r="E9">
        <v>929</v>
      </c>
      <c r="G9">
        <v>2000</v>
      </c>
      <c r="H9">
        <v>1</v>
      </c>
    </row>
    <row r="10" spans="1:11" x14ac:dyDescent="0.2">
      <c r="A10" t="s">
        <v>709</v>
      </c>
      <c r="B10" t="s">
        <v>314</v>
      </c>
      <c r="C10">
        <v>3</v>
      </c>
      <c r="D10">
        <v>929</v>
      </c>
      <c r="G10">
        <v>2027</v>
      </c>
      <c r="H10">
        <v>455</v>
      </c>
    </row>
    <row r="11" spans="1:11" x14ac:dyDescent="0.2">
      <c r="A11" t="s">
        <v>709</v>
      </c>
      <c r="B11" t="s">
        <v>314</v>
      </c>
      <c r="C11">
        <v>4</v>
      </c>
      <c r="E11">
        <v>558</v>
      </c>
      <c r="G11">
        <v>1715</v>
      </c>
      <c r="H11">
        <v>4.0659999999999998</v>
      </c>
    </row>
    <row r="12" spans="1:11" x14ac:dyDescent="0.2">
      <c r="A12" t="s">
        <v>709</v>
      </c>
      <c r="B12" t="s">
        <v>314</v>
      </c>
      <c r="C12">
        <v>5</v>
      </c>
      <c r="D12">
        <v>558</v>
      </c>
      <c r="E12">
        <v>198</v>
      </c>
      <c r="G12">
        <v>1400</v>
      </c>
      <c r="H12">
        <v>1.0089999999999999</v>
      </c>
    </row>
    <row r="13" spans="1:11" x14ac:dyDescent="0.2">
      <c r="A13" t="s">
        <v>709</v>
      </c>
      <c r="B13" t="s">
        <v>314</v>
      </c>
      <c r="C13">
        <v>6</v>
      </c>
      <c r="D13">
        <v>198</v>
      </c>
      <c r="E13">
        <v>21</v>
      </c>
      <c r="G13">
        <v>900</v>
      </c>
      <c r="H13">
        <v>1.6</v>
      </c>
    </row>
    <row r="14" spans="1:11" x14ac:dyDescent="0.2">
      <c r="A14" t="s">
        <v>710</v>
      </c>
      <c r="B14" t="s">
        <v>451</v>
      </c>
      <c r="C14" s="6">
        <v>1</v>
      </c>
      <c r="D14">
        <v>1086</v>
      </c>
      <c r="E14">
        <v>0</v>
      </c>
      <c r="H14">
        <f>27.8-0.227</f>
        <v>27.573</v>
      </c>
    </row>
    <row r="15" spans="1:11" x14ac:dyDescent="0.2">
      <c r="A15" t="s">
        <v>710</v>
      </c>
      <c r="B15" t="s">
        <v>451</v>
      </c>
      <c r="C15" s="6">
        <v>2</v>
      </c>
      <c r="D15">
        <v>1086</v>
      </c>
      <c r="E15">
        <v>811</v>
      </c>
      <c r="H15">
        <f>7-0.2</f>
        <v>6.8</v>
      </c>
    </row>
    <row r="16" spans="1:11" x14ac:dyDescent="0.2">
      <c r="A16" t="s">
        <v>710</v>
      </c>
      <c r="B16" t="s">
        <v>451</v>
      </c>
      <c r="C16" s="6">
        <v>3</v>
      </c>
      <c r="D16">
        <v>811</v>
      </c>
      <c r="E16">
        <v>606</v>
      </c>
      <c r="H16">
        <f>3.7-0.245</f>
        <v>3.4550000000000001</v>
      </c>
    </row>
    <row r="17" spans="1:8" x14ac:dyDescent="0.2">
      <c r="A17" t="s">
        <v>710</v>
      </c>
      <c r="B17" t="s">
        <v>451</v>
      </c>
      <c r="C17" s="6">
        <v>4</v>
      </c>
      <c r="D17">
        <v>606</v>
      </c>
      <c r="E17">
        <v>403</v>
      </c>
      <c r="H17">
        <f>11.5-0.208</f>
        <v>11.292</v>
      </c>
    </row>
    <row r="18" spans="1:8" x14ac:dyDescent="0.2">
      <c r="A18" t="s">
        <v>710</v>
      </c>
      <c r="B18" t="s">
        <v>451</v>
      </c>
      <c r="C18" s="6">
        <v>5</v>
      </c>
      <c r="D18">
        <v>403</v>
      </c>
      <c r="E18">
        <v>203</v>
      </c>
      <c r="H18">
        <f>5.8-0.191</f>
        <v>5.609</v>
      </c>
    </row>
    <row r="19" spans="1:8" x14ac:dyDescent="0.2">
      <c r="A19" t="s">
        <v>710</v>
      </c>
      <c r="B19" t="s">
        <v>451</v>
      </c>
      <c r="C19" s="6">
        <v>6</v>
      </c>
      <c r="D19">
        <v>2013</v>
      </c>
      <c r="E19">
        <v>0</v>
      </c>
      <c r="H19">
        <f>6.8-0.245</f>
        <v>6.5549999999999997</v>
      </c>
    </row>
    <row r="20" spans="1:8" x14ac:dyDescent="0.2">
      <c r="A20" t="s">
        <v>711</v>
      </c>
      <c r="B20" t="s">
        <v>1000</v>
      </c>
      <c r="C20" s="6">
        <v>1</v>
      </c>
      <c r="D20">
        <v>1005</v>
      </c>
      <c r="E20">
        <v>0</v>
      </c>
      <c r="H20">
        <f>30.2-2.8-0.227</f>
        <v>27.172999999999998</v>
      </c>
    </row>
    <row r="21" spans="1:8" x14ac:dyDescent="0.2">
      <c r="A21" t="s">
        <v>711</v>
      </c>
      <c r="B21" t="s">
        <v>1000</v>
      </c>
      <c r="C21" s="6">
        <v>2</v>
      </c>
      <c r="D21">
        <v>1005</v>
      </c>
      <c r="E21">
        <v>800</v>
      </c>
      <c r="H21">
        <f>4-0.201</f>
        <v>3.7989999999999999</v>
      </c>
    </row>
    <row r="22" spans="1:8" x14ac:dyDescent="0.2">
      <c r="A22" t="s">
        <v>711</v>
      </c>
      <c r="B22" t="s">
        <v>1000</v>
      </c>
      <c r="C22" s="6">
        <v>3</v>
      </c>
      <c r="D22">
        <v>800</v>
      </c>
      <c r="E22">
        <v>600</v>
      </c>
      <c r="H22">
        <f>12.5-0.245</f>
        <v>12.255000000000001</v>
      </c>
    </row>
    <row r="23" spans="1:8" x14ac:dyDescent="0.2">
      <c r="A23" t="s">
        <v>711</v>
      </c>
      <c r="B23" t="s">
        <v>1000</v>
      </c>
      <c r="C23" s="6">
        <v>4</v>
      </c>
      <c r="D23">
        <v>600</v>
      </c>
      <c r="E23">
        <v>403</v>
      </c>
      <c r="H23">
        <f>1.7-0.234</f>
        <v>1.466</v>
      </c>
    </row>
    <row r="24" spans="1:8" x14ac:dyDescent="0.2">
      <c r="A24" t="s">
        <v>711</v>
      </c>
      <c r="B24" t="s">
        <v>1000</v>
      </c>
      <c r="C24" s="6">
        <v>5</v>
      </c>
      <c r="D24">
        <v>403</v>
      </c>
      <c r="E24">
        <v>202</v>
      </c>
      <c r="H24">
        <f>12.2-0.191</f>
        <v>12.008999999999999</v>
      </c>
    </row>
    <row r="25" spans="1:8" x14ac:dyDescent="0.2">
      <c r="A25" t="s">
        <v>711</v>
      </c>
      <c r="B25" t="s">
        <v>1000</v>
      </c>
      <c r="C25" s="6">
        <v>6</v>
      </c>
      <c r="D25">
        <v>202</v>
      </c>
      <c r="E25">
        <v>0</v>
      </c>
      <c r="H25">
        <f>6.3-0.2</f>
        <v>6.1</v>
      </c>
    </row>
    <row r="26" spans="1:8" x14ac:dyDescent="0.2">
      <c r="A26" t="s">
        <v>1268</v>
      </c>
      <c r="B26" t="s">
        <v>1276</v>
      </c>
      <c r="C26" s="6">
        <v>1</v>
      </c>
      <c r="D26">
        <v>1000</v>
      </c>
      <c r="E26">
        <v>0</v>
      </c>
      <c r="H26">
        <f>39.5-2.8-0.227</f>
        <v>36.473000000000006</v>
      </c>
    </row>
    <row r="27" spans="1:8" x14ac:dyDescent="0.2">
      <c r="A27" t="s">
        <v>1268</v>
      </c>
      <c r="B27" t="s">
        <v>1276</v>
      </c>
      <c r="C27" s="6">
        <v>2</v>
      </c>
      <c r="D27">
        <v>1000</v>
      </c>
      <c r="E27">
        <v>800</v>
      </c>
      <c r="H27">
        <f>15-1.8-0.2</f>
        <v>13</v>
      </c>
    </row>
    <row r="28" spans="1:8" x14ac:dyDescent="0.2">
      <c r="A28" t="s">
        <v>1268</v>
      </c>
      <c r="B28" t="s">
        <v>1276</v>
      </c>
      <c r="C28" s="6">
        <v>3</v>
      </c>
      <c r="D28">
        <v>800</v>
      </c>
      <c r="E28">
        <v>601</v>
      </c>
      <c r="H28">
        <f>13.8-1.7-0.195</f>
        <v>11.905000000000001</v>
      </c>
    </row>
    <row r="29" spans="1:8" x14ac:dyDescent="0.2">
      <c r="A29" t="s">
        <v>1268</v>
      </c>
      <c r="B29" t="s">
        <v>1276</v>
      </c>
      <c r="C29" s="6">
        <v>4</v>
      </c>
      <c r="D29">
        <v>601</v>
      </c>
      <c r="E29">
        <v>401</v>
      </c>
      <c r="H29">
        <f>9.6-1.7-0.208</f>
        <v>7.6919999999999993</v>
      </c>
    </row>
    <row r="30" spans="1:8" x14ac:dyDescent="0.2">
      <c r="A30" t="s">
        <v>1268</v>
      </c>
      <c r="B30" t="s">
        <v>1276</v>
      </c>
      <c r="C30" s="6">
        <v>5</v>
      </c>
      <c r="D30">
        <v>401</v>
      </c>
      <c r="E30">
        <v>201</v>
      </c>
      <c r="H30">
        <f>13.2-1.7-0.241</f>
        <v>11.259</v>
      </c>
    </row>
    <row r="31" spans="1:8" x14ac:dyDescent="0.2">
      <c r="A31" t="s">
        <v>1268</v>
      </c>
      <c r="B31" t="s">
        <v>1276</v>
      </c>
      <c r="C31" s="6">
        <v>6</v>
      </c>
      <c r="D31">
        <v>201</v>
      </c>
      <c r="E31">
        <v>0</v>
      </c>
      <c r="H31">
        <f>17.2-1.8-0.241</f>
        <v>15.158999999999999</v>
      </c>
    </row>
    <row r="32" spans="1:8" x14ac:dyDescent="0.2">
      <c r="A32" t="s">
        <v>1496</v>
      </c>
      <c r="B32" t="s">
        <v>1497</v>
      </c>
      <c r="C32" s="6">
        <v>1</v>
      </c>
      <c r="D32">
        <v>1008</v>
      </c>
      <c r="E32">
        <v>0</v>
      </c>
      <c r="H32">
        <f>19.8-0.227</f>
        <v>19.573</v>
      </c>
    </row>
    <row r="33" spans="1:11" x14ac:dyDescent="0.2">
      <c r="A33" t="s">
        <v>1496</v>
      </c>
      <c r="B33" t="s">
        <v>1497</v>
      </c>
      <c r="C33" s="6">
        <v>2</v>
      </c>
      <c r="D33">
        <v>1008</v>
      </c>
      <c r="E33">
        <v>798</v>
      </c>
      <c r="H33">
        <f>3.7-0.2</f>
        <v>3.5</v>
      </c>
    </row>
    <row r="34" spans="1:11" x14ac:dyDescent="0.2">
      <c r="A34" t="s">
        <v>1496</v>
      </c>
      <c r="B34" t="s">
        <v>1497</v>
      </c>
      <c r="C34" s="6">
        <v>3</v>
      </c>
      <c r="D34">
        <v>798</v>
      </c>
      <c r="E34">
        <v>603</v>
      </c>
      <c r="H34">
        <f>14.2-0.4-0.195</f>
        <v>13.604999999999999</v>
      </c>
    </row>
    <row r="35" spans="1:11" x14ac:dyDescent="0.2">
      <c r="A35" t="s">
        <v>1496</v>
      </c>
      <c r="B35" t="s">
        <v>1497</v>
      </c>
      <c r="C35" s="6">
        <v>4</v>
      </c>
      <c r="D35">
        <v>603</v>
      </c>
      <c r="E35">
        <v>392</v>
      </c>
      <c r="H35">
        <f>12.6-0.208</f>
        <v>12.391999999999999</v>
      </c>
    </row>
    <row r="36" spans="1:11" x14ac:dyDescent="0.2">
      <c r="A36" t="s">
        <v>1496</v>
      </c>
      <c r="B36" t="s">
        <v>1497</v>
      </c>
      <c r="C36" s="6">
        <v>5</v>
      </c>
      <c r="D36">
        <v>392</v>
      </c>
      <c r="E36">
        <v>201</v>
      </c>
      <c r="H36">
        <f>4-0.241</f>
        <v>3.7589999999999999</v>
      </c>
    </row>
    <row r="37" spans="1:11" x14ac:dyDescent="0.2">
      <c r="A37" t="s">
        <v>1496</v>
      </c>
      <c r="B37" t="s">
        <v>1497</v>
      </c>
      <c r="C37" s="6">
        <v>6</v>
      </c>
      <c r="D37">
        <v>201</v>
      </c>
      <c r="E37">
        <v>0</v>
      </c>
      <c r="H37">
        <f>6.9-0.245</f>
        <v>6.6550000000000002</v>
      </c>
    </row>
    <row r="38" spans="1:11" x14ac:dyDescent="0.2">
      <c r="A38" t="s">
        <v>1556</v>
      </c>
      <c r="B38" t="s">
        <v>1568</v>
      </c>
      <c r="C38">
        <v>1</v>
      </c>
      <c r="D38">
        <v>999</v>
      </c>
      <c r="E38">
        <v>0</v>
      </c>
      <c r="H38">
        <f>21.5-1.8-0.249</f>
        <v>19.451000000000001</v>
      </c>
    </row>
    <row r="39" spans="1:11" x14ac:dyDescent="0.2">
      <c r="A39" t="s">
        <v>1556</v>
      </c>
      <c r="B39" t="s">
        <v>1568</v>
      </c>
      <c r="C39">
        <v>2</v>
      </c>
      <c r="D39">
        <v>999</v>
      </c>
      <c r="E39">
        <v>797</v>
      </c>
      <c r="H39">
        <f>23.7-0.201-1.8</f>
        <v>21.698999999999998</v>
      </c>
    </row>
    <row r="40" spans="1:11" x14ac:dyDescent="0.2">
      <c r="A40" t="s">
        <v>1556</v>
      </c>
      <c r="B40" t="s">
        <v>1568</v>
      </c>
      <c r="C40">
        <v>3</v>
      </c>
      <c r="D40">
        <v>797</v>
      </c>
      <c r="E40">
        <v>604</v>
      </c>
      <c r="H40">
        <f>4-0.245</f>
        <v>3.7549999999999999</v>
      </c>
    </row>
    <row r="41" spans="1:11" x14ac:dyDescent="0.2">
      <c r="A41" t="s">
        <v>1556</v>
      </c>
      <c r="B41" t="s">
        <v>1568</v>
      </c>
      <c r="C41">
        <v>4</v>
      </c>
      <c r="D41">
        <v>604</v>
      </c>
      <c r="E41">
        <v>401</v>
      </c>
      <c r="H41">
        <f>36.5+15.5+23.4-2.8-1.8-1.8</f>
        <v>69.000000000000014</v>
      </c>
    </row>
    <row r="42" spans="1:11" x14ac:dyDescent="0.2">
      <c r="A42" t="s">
        <v>1556</v>
      </c>
      <c r="B42" t="s">
        <v>1568</v>
      </c>
      <c r="C42">
        <v>5</v>
      </c>
      <c r="D42">
        <v>401</v>
      </c>
      <c r="E42">
        <v>201</v>
      </c>
      <c r="H42">
        <f>3.6-0.191</f>
        <v>3.4090000000000003</v>
      </c>
    </row>
    <row r="43" spans="1:11" x14ac:dyDescent="0.2">
      <c r="A43" t="s">
        <v>1556</v>
      </c>
      <c r="B43" t="s">
        <v>1568</v>
      </c>
      <c r="C43">
        <v>6</v>
      </c>
      <c r="D43">
        <v>201</v>
      </c>
      <c r="E43">
        <v>0</v>
      </c>
      <c r="H43">
        <f>14.7-1.8-0.2</f>
        <v>12.7</v>
      </c>
    </row>
    <row r="44" spans="1:11" x14ac:dyDescent="0.2">
      <c r="A44" t="s">
        <v>1557</v>
      </c>
      <c r="B44" t="s">
        <v>1990</v>
      </c>
      <c r="C44">
        <v>1</v>
      </c>
      <c r="D44">
        <v>1000</v>
      </c>
      <c r="E44">
        <v>0</v>
      </c>
      <c r="H44">
        <f>55.5-2.8+50.9-2.8+36.4-1.8+26.5-1.8+22.9-1.8+28-1.8+37.5-1.8+36-1.8+29.1-1.8+29.6-1.8+3.1+2.3-0.195-0.249</f>
        <v>337.35599999999994</v>
      </c>
    </row>
    <row r="45" spans="1:11" x14ac:dyDescent="0.2">
      <c r="A45" t="s">
        <v>1557</v>
      </c>
      <c r="B45" t="s">
        <v>1990</v>
      </c>
      <c r="C45">
        <v>2</v>
      </c>
      <c r="D45" t="s">
        <v>42</v>
      </c>
      <c r="E45" t="s">
        <v>42</v>
      </c>
      <c r="H45">
        <f>3.1+2.3-0.249</f>
        <v>5.1510000000000007</v>
      </c>
      <c r="K45" t="s">
        <v>2000</v>
      </c>
    </row>
    <row r="46" spans="1:11" x14ac:dyDescent="0.2">
      <c r="A46" t="s">
        <v>1557</v>
      </c>
      <c r="B46" t="s">
        <v>1990</v>
      </c>
      <c r="C46">
        <v>3</v>
      </c>
      <c r="D46" t="s">
        <v>42</v>
      </c>
      <c r="E46" t="s">
        <v>42</v>
      </c>
      <c r="H46">
        <v>0</v>
      </c>
      <c r="K46" t="s">
        <v>2000</v>
      </c>
    </row>
    <row r="47" spans="1:11" x14ac:dyDescent="0.2">
      <c r="A47" t="s">
        <v>1557</v>
      </c>
      <c r="B47" t="s">
        <v>1990</v>
      </c>
      <c r="C47">
        <v>4</v>
      </c>
      <c r="D47" t="s">
        <v>42</v>
      </c>
      <c r="E47" t="s">
        <v>42</v>
      </c>
      <c r="H47">
        <v>0</v>
      </c>
      <c r="K47" t="s">
        <v>2000</v>
      </c>
    </row>
    <row r="48" spans="1:11" x14ac:dyDescent="0.2">
      <c r="A48" t="s">
        <v>1557</v>
      </c>
      <c r="B48" t="s">
        <v>1990</v>
      </c>
      <c r="C48">
        <v>5</v>
      </c>
      <c r="D48" t="s">
        <v>42</v>
      </c>
      <c r="E48" t="s">
        <v>42</v>
      </c>
      <c r="H48">
        <v>0</v>
      </c>
      <c r="K48" t="s">
        <v>2000</v>
      </c>
    </row>
    <row r="49" spans="1:11" x14ac:dyDescent="0.2">
      <c r="A49" t="s">
        <v>1557</v>
      </c>
      <c r="B49" t="s">
        <v>1990</v>
      </c>
      <c r="C49">
        <v>6</v>
      </c>
      <c r="D49" t="s">
        <v>42</v>
      </c>
      <c r="E49" t="s">
        <v>42</v>
      </c>
      <c r="H49">
        <v>0</v>
      </c>
      <c r="K49" t="s">
        <v>2000</v>
      </c>
    </row>
    <row r="50" spans="1:11" x14ac:dyDescent="0.2">
      <c r="A50" t="s">
        <v>1558</v>
      </c>
      <c r="B50" t="s">
        <v>1990</v>
      </c>
      <c r="C50">
        <v>1</v>
      </c>
      <c r="D50" t="s">
        <v>2224</v>
      </c>
      <c r="E50" t="s">
        <v>2224</v>
      </c>
      <c r="I50">
        <f>47.4-2.8+25.4-1.8</f>
        <v>68.2</v>
      </c>
      <c r="K50" t="s">
        <v>2225</v>
      </c>
    </row>
    <row r="51" spans="1:11" x14ac:dyDescent="0.2">
      <c r="A51" t="s">
        <v>1558</v>
      </c>
      <c r="B51" t="s">
        <v>1990</v>
      </c>
      <c r="C51">
        <v>2</v>
      </c>
      <c r="D51" t="s">
        <v>2224</v>
      </c>
      <c r="E51" t="s">
        <v>2224</v>
      </c>
      <c r="I51">
        <f>10.2</f>
        <v>10.199999999999999</v>
      </c>
      <c r="K51" t="s">
        <v>2225</v>
      </c>
    </row>
    <row r="52" spans="1:11" x14ac:dyDescent="0.2">
      <c r="A52" t="s">
        <v>1558</v>
      </c>
      <c r="B52" t="s">
        <v>1990</v>
      </c>
      <c r="C52">
        <v>3</v>
      </c>
      <c r="D52" t="s">
        <v>2224</v>
      </c>
      <c r="E52" t="s">
        <v>2224</v>
      </c>
      <c r="I52">
        <f>15-1.8</f>
        <v>13.2</v>
      </c>
      <c r="K52" t="s">
        <v>2225</v>
      </c>
    </row>
    <row r="53" spans="1:11" x14ac:dyDescent="0.2">
      <c r="A53" t="s">
        <v>1558</v>
      </c>
      <c r="B53" t="s">
        <v>1990</v>
      </c>
      <c r="C53">
        <v>4</v>
      </c>
      <c r="D53" t="s">
        <v>2224</v>
      </c>
      <c r="E53" t="s">
        <v>2224</v>
      </c>
      <c r="I53">
        <f>6.8</f>
        <v>6.8</v>
      </c>
      <c r="K53" t="s">
        <v>2225</v>
      </c>
    </row>
    <row r="54" spans="1:11" x14ac:dyDescent="0.2">
      <c r="A54" t="s">
        <v>1558</v>
      </c>
      <c r="B54" t="s">
        <v>1990</v>
      </c>
      <c r="C54">
        <v>5</v>
      </c>
      <c r="D54" t="s">
        <v>2224</v>
      </c>
      <c r="E54" t="s">
        <v>2224</v>
      </c>
      <c r="I54">
        <f>55.8-2.8</f>
        <v>53</v>
      </c>
      <c r="K54" t="s">
        <v>2225</v>
      </c>
    </row>
    <row r="55" spans="1:11" x14ac:dyDescent="0.2">
      <c r="A55" t="s">
        <v>1558</v>
      </c>
      <c r="B55" t="s">
        <v>1990</v>
      </c>
      <c r="C55">
        <v>6</v>
      </c>
      <c r="D55" t="s">
        <v>2224</v>
      </c>
      <c r="E55" t="s">
        <v>2224</v>
      </c>
      <c r="I55">
        <v>4.8000000000000001E-2</v>
      </c>
      <c r="K55" t="s">
        <v>2226</v>
      </c>
    </row>
    <row r="56" spans="1:11" x14ac:dyDescent="0.2">
      <c r="A56" t="s">
        <v>2196</v>
      </c>
      <c r="B56" t="s">
        <v>1990</v>
      </c>
      <c r="C56">
        <v>1</v>
      </c>
      <c r="D56">
        <v>0</v>
      </c>
      <c r="E56">
        <v>200</v>
      </c>
      <c r="I56" s="6">
        <v>11.68</v>
      </c>
      <c r="J56" s="6"/>
      <c r="K56" t="s">
        <v>2232</v>
      </c>
    </row>
    <row r="57" spans="1:11" x14ac:dyDescent="0.2">
      <c r="A57" t="s">
        <v>2199</v>
      </c>
      <c r="B57" t="s">
        <v>1990</v>
      </c>
      <c r="C57">
        <v>1</v>
      </c>
      <c r="D57">
        <v>998</v>
      </c>
      <c r="E57">
        <v>0</v>
      </c>
      <c r="H57">
        <v>21.15</v>
      </c>
    </row>
    <row r="58" spans="1:11" x14ac:dyDescent="0.2">
      <c r="A58" t="s">
        <v>2199</v>
      </c>
      <c r="B58" t="s">
        <v>1990</v>
      </c>
      <c r="C58">
        <v>2</v>
      </c>
      <c r="D58">
        <v>998</v>
      </c>
      <c r="E58">
        <v>801</v>
      </c>
      <c r="H58">
        <v>5.7</v>
      </c>
    </row>
    <row r="59" spans="1:11" x14ac:dyDescent="0.2">
      <c r="A59" t="s">
        <v>2199</v>
      </c>
      <c r="B59" t="s">
        <v>1990</v>
      </c>
      <c r="C59">
        <v>3</v>
      </c>
      <c r="D59">
        <v>801</v>
      </c>
      <c r="E59">
        <v>605</v>
      </c>
      <c r="H59">
        <v>8.65</v>
      </c>
    </row>
    <row r="60" spans="1:11" x14ac:dyDescent="0.2">
      <c r="A60" t="s">
        <v>2199</v>
      </c>
      <c r="B60" t="s">
        <v>1990</v>
      </c>
      <c r="C60">
        <v>4</v>
      </c>
      <c r="D60">
        <v>605</v>
      </c>
      <c r="E60">
        <v>397</v>
      </c>
      <c r="H60">
        <v>2.17</v>
      </c>
    </row>
    <row r="61" spans="1:11" x14ac:dyDescent="0.2">
      <c r="A61" t="s">
        <v>2199</v>
      </c>
      <c r="B61" t="s">
        <v>1990</v>
      </c>
      <c r="C61">
        <v>5</v>
      </c>
      <c r="D61">
        <v>397</v>
      </c>
      <c r="E61">
        <v>194</v>
      </c>
      <c r="H61">
        <v>3.56</v>
      </c>
    </row>
    <row r="62" spans="1:11" x14ac:dyDescent="0.2">
      <c r="A62" t="s">
        <v>2199</v>
      </c>
      <c r="B62" t="s">
        <v>1990</v>
      </c>
      <c r="C62">
        <v>6</v>
      </c>
      <c r="D62">
        <v>194</v>
      </c>
      <c r="E62">
        <v>0</v>
      </c>
      <c r="H62">
        <v>29.1</v>
      </c>
    </row>
    <row r="63" spans="1:11" x14ac:dyDescent="0.2">
      <c r="A63" t="s">
        <v>2485</v>
      </c>
      <c r="C63">
        <v>1</v>
      </c>
      <c r="D63" t="s">
        <v>4889</v>
      </c>
      <c r="H63">
        <f>50.9-2.8+28.3-2.8-0.23</f>
        <v>73.37</v>
      </c>
    </row>
    <row r="64" spans="1:11" x14ac:dyDescent="0.2">
      <c r="A64" t="s">
        <v>2485</v>
      </c>
      <c r="C64">
        <v>2</v>
      </c>
      <c r="D64" t="s">
        <v>4889</v>
      </c>
      <c r="H64">
        <f>13.6-0.2</f>
        <v>13.4</v>
      </c>
    </row>
    <row r="65" spans="1:11" x14ac:dyDescent="0.2">
      <c r="A65" t="s">
        <v>2485</v>
      </c>
      <c r="C65">
        <v>3</v>
      </c>
      <c r="D65" t="s">
        <v>4889</v>
      </c>
      <c r="H65">
        <f>7.5-0.2</f>
        <v>7.3</v>
      </c>
    </row>
    <row r="66" spans="1:11" x14ac:dyDescent="0.2">
      <c r="A66" t="s">
        <v>2485</v>
      </c>
      <c r="C66">
        <v>4</v>
      </c>
      <c r="D66" t="s">
        <v>4889</v>
      </c>
      <c r="H66">
        <f>8.3-0.23</f>
        <v>8.07</v>
      </c>
    </row>
    <row r="67" spans="1:11" x14ac:dyDescent="0.2">
      <c r="A67" t="s">
        <v>2485</v>
      </c>
      <c r="C67">
        <v>5</v>
      </c>
      <c r="D67" t="s">
        <v>4889</v>
      </c>
      <c r="H67">
        <f>33.6-1.8-0.241</f>
        <v>31.559000000000001</v>
      </c>
      <c r="K67" t="s">
        <v>5776</v>
      </c>
    </row>
    <row r="68" spans="1:11" x14ac:dyDescent="0.2">
      <c r="A68" t="s">
        <v>2485</v>
      </c>
      <c r="C68">
        <v>6</v>
      </c>
      <c r="D68" t="s">
        <v>4889</v>
      </c>
      <c r="H68">
        <v>0</v>
      </c>
      <c r="K68" t="s">
        <v>5776</v>
      </c>
    </row>
    <row r="69" spans="1:11" x14ac:dyDescent="0.2">
      <c r="A69" t="s">
        <v>2486</v>
      </c>
      <c r="C69">
        <v>7</v>
      </c>
      <c r="D69" t="s">
        <v>4889</v>
      </c>
      <c r="H69">
        <f>32-1.8-0.227</f>
        <v>29.972999999999999</v>
      </c>
    </row>
    <row r="70" spans="1:11" x14ac:dyDescent="0.2">
      <c r="A70" t="s">
        <v>2687</v>
      </c>
      <c r="C70">
        <v>1</v>
      </c>
      <c r="D70">
        <v>986</v>
      </c>
      <c r="H70">
        <f>24.7-0.227-2.8</f>
        <v>21.672999999999998</v>
      </c>
    </row>
    <row r="71" spans="1:11" x14ac:dyDescent="0.2">
      <c r="A71" t="s">
        <v>2687</v>
      </c>
      <c r="C71">
        <v>2</v>
      </c>
      <c r="D71">
        <v>986</v>
      </c>
      <c r="H71">
        <f>1.1-0.201</f>
        <v>0.89900000000000002</v>
      </c>
    </row>
    <row r="72" spans="1:11" x14ac:dyDescent="0.2">
      <c r="A72" t="s">
        <v>2687</v>
      </c>
      <c r="C72">
        <v>3</v>
      </c>
      <c r="D72">
        <v>805</v>
      </c>
      <c r="H72">
        <f>4-0.245</f>
        <v>3.7549999999999999</v>
      </c>
    </row>
    <row r="73" spans="1:11" x14ac:dyDescent="0.2">
      <c r="A73" t="s">
        <v>2687</v>
      </c>
      <c r="C73">
        <v>4</v>
      </c>
      <c r="D73">
        <v>599</v>
      </c>
      <c r="H73">
        <f>3.7-0.234</f>
        <v>3.4660000000000002</v>
      </c>
    </row>
    <row r="74" spans="1:11" x14ac:dyDescent="0.2">
      <c r="A74" t="s">
        <v>2687</v>
      </c>
      <c r="C74">
        <v>5</v>
      </c>
      <c r="D74">
        <v>397</v>
      </c>
      <c r="H74">
        <f>4.5-0.241</f>
        <v>4.2590000000000003</v>
      </c>
    </row>
    <row r="75" spans="1:11" x14ac:dyDescent="0.2">
      <c r="A75" t="s">
        <v>2687</v>
      </c>
      <c r="C75">
        <v>6</v>
      </c>
      <c r="D75">
        <v>201</v>
      </c>
      <c r="H75">
        <f>9.6-0.245</f>
        <v>9.3550000000000004</v>
      </c>
    </row>
    <row r="76" spans="1:11" x14ac:dyDescent="0.2">
      <c r="A76" t="s">
        <v>2828</v>
      </c>
      <c r="C76">
        <v>1</v>
      </c>
      <c r="D76" t="s">
        <v>4889</v>
      </c>
      <c r="H76">
        <f>24.8-2.8-0.227</f>
        <v>21.773</v>
      </c>
    </row>
    <row r="77" spans="1:11" x14ac:dyDescent="0.2">
      <c r="A77" t="s">
        <v>2828</v>
      </c>
      <c r="C77">
        <v>2</v>
      </c>
      <c r="D77" t="s">
        <v>4889</v>
      </c>
      <c r="H77">
        <f>5.6-0.201</f>
        <v>5.399</v>
      </c>
    </row>
    <row r="78" spans="1:11" x14ac:dyDescent="0.2">
      <c r="A78" t="s">
        <v>2828</v>
      </c>
      <c r="C78">
        <v>3</v>
      </c>
      <c r="D78" t="s">
        <v>4889</v>
      </c>
      <c r="H78">
        <f>6.3-0.195</f>
        <v>6.1049999999999995</v>
      </c>
    </row>
    <row r="79" spans="1:11" x14ac:dyDescent="0.2">
      <c r="A79" t="s">
        <v>2828</v>
      </c>
      <c r="C79">
        <v>4</v>
      </c>
      <c r="D79" t="s">
        <v>4889</v>
      </c>
      <c r="H79">
        <f>3.5-0.357-0.208</f>
        <v>2.9349999999999996</v>
      </c>
    </row>
    <row r="80" spans="1:11" x14ac:dyDescent="0.2">
      <c r="A80" t="s">
        <v>2828</v>
      </c>
      <c r="C80">
        <v>5</v>
      </c>
      <c r="D80" t="s">
        <v>4889</v>
      </c>
      <c r="H80">
        <f>7.9-0.241</f>
        <v>7.6590000000000007</v>
      </c>
    </row>
    <row r="81" spans="1:10" x14ac:dyDescent="0.2">
      <c r="A81" t="s">
        <v>2828</v>
      </c>
      <c r="C81">
        <v>6</v>
      </c>
      <c r="D81" t="s">
        <v>4889</v>
      </c>
      <c r="H81">
        <f>9.5-1.8</f>
        <v>7.7</v>
      </c>
    </row>
    <row r="82" spans="1:10" x14ac:dyDescent="0.2">
      <c r="A82" t="s">
        <v>3027</v>
      </c>
      <c r="C82">
        <v>1</v>
      </c>
      <c r="D82">
        <v>1002</v>
      </c>
      <c r="H82">
        <f>37.8-2.8-0.249</f>
        <v>34.750999999999998</v>
      </c>
    </row>
    <row r="83" spans="1:10" x14ac:dyDescent="0.2">
      <c r="A83" t="s">
        <v>3027</v>
      </c>
      <c r="C83">
        <v>2</v>
      </c>
      <c r="D83">
        <v>1002</v>
      </c>
      <c r="H83">
        <f>7.4-1.8-0.2</f>
        <v>5.4</v>
      </c>
    </row>
    <row r="84" spans="1:10" x14ac:dyDescent="0.2">
      <c r="A84" t="s">
        <v>3027</v>
      </c>
      <c r="C84">
        <v>3</v>
      </c>
      <c r="D84">
        <v>804</v>
      </c>
      <c r="H84">
        <f>5.4-1.8-0.195</f>
        <v>3.4050000000000007</v>
      </c>
    </row>
    <row r="85" spans="1:10" x14ac:dyDescent="0.2">
      <c r="A85" t="s">
        <v>3027</v>
      </c>
      <c r="C85">
        <v>4</v>
      </c>
      <c r="D85">
        <v>596</v>
      </c>
      <c r="H85">
        <f>11.7-1.7-0.208</f>
        <v>9.7919999999999998</v>
      </c>
    </row>
    <row r="86" spans="1:10" x14ac:dyDescent="0.2">
      <c r="A86" t="s">
        <v>3027</v>
      </c>
      <c r="C86">
        <v>5</v>
      </c>
      <c r="D86">
        <v>404</v>
      </c>
      <c r="H86">
        <f>8.8-1.8-0.241</f>
        <v>6.7590000000000012</v>
      </c>
    </row>
    <row r="87" spans="1:10" x14ac:dyDescent="0.2">
      <c r="A87" t="s">
        <v>3027</v>
      </c>
      <c r="C87">
        <v>6</v>
      </c>
      <c r="D87">
        <v>200</v>
      </c>
      <c r="H87">
        <f>5.4-1.8-0.245</f>
        <v>3.3550000000000004</v>
      </c>
    </row>
    <row r="88" spans="1:10" x14ac:dyDescent="0.2">
      <c r="A88" t="s">
        <v>3096</v>
      </c>
      <c r="B88" t="s">
        <v>3060</v>
      </c>
      <c r="C88">
        <v>1</v>
      </c>
      <c r="D88">
        <v>999</v>
      </c>
      <c r="E88">
        <v>0</v>
      </c>
      <c r="I88">
        <f>20.8-2.8</f>
        <v>18</v>
      </c>
      <c r="J88" t="s">
        <v>5778</v>
      </c>
    </row>
    <row r="89" spans="1:10" x14ac:dyDescent="0.2">
      <c r="A89" t="s">
        <v>3096</v>
      </c>
      <c r="C89">
        <v>2</v>
      </c>
      <c r="D89">
        <v>999</v>
      </c>
      <c r="E89">
        <v>798</v>
      </c>
      <c r="I89">
        <f>3.4+0.169</f>
        <v>3.569</v>
      </c>
      <c r="J89" t="s">
        <v>5118</v>
      </c>
    </row>
    <row r="90" spans="1:10" x14ac:dyDescent="0.2">
      <c r="A90" t="s">
        <v>3096</v>
      </c>
      <c r="C90">
        <v>3</v>
      </c>
      <c r="D90">
        <v>798</v>
      </c>
      <c r="E90">
        <v>601</v>
      </c>
      <c r="I90">
        <v>2.6</v>
      </c>
      <c r="J90" t="s">
        <v>5778</v>
      </c>
    </row>
    <row r="91" spans="1:10" x14ac:dyDescent="0.2">
      <c r="A91" t="s">
        <v>3096</v>
      </c>
      <c r="C91">
        <v>4</v>
      </c>
      <c r="D91">
        <v>601</v>
      </c>
      <c r="E91">
        <v>421</v>
      </c>
      <c r="I91">
        <v>13.2</v>
      </c>
      <c r="J91" t="s">
        <v>5778</v>
      </c>
    </row>
    <row r="92" spans="1:10" x14ac:dyDescent="0.2">
      <c r="A92" t="s">
        <v>3096</v>
      </c>
      <c r="C92">
        <v>5</v>
      </c>
      <c r="D92">
        <v>421</v>
      </c>
      <c r="E92">
        <v>199</v>
      </c>
      <c r="I92">
        <v>4.5</v>
      </c>
      <c r="J92" t="s">
        <v>5118</v>
      </c>
    </row>
    <row r="93" spans="1:10" x14ac:dyDescent="0.2">
      <c r="A93" t="s">
        <v>3096</v>
      </c>
      <c r="C93">
        <v>6</v>
      </c>
      <c r="D93">
        <v>199</v>
      </c>
      <c r="E93">
        <v>4</v>
      </c>
      <c r="I93">
        <v>3.7</v>
      </c>
      <c r="J93" t="s">
        <v>5118</v>
      </c>
    </row>
    <row r="94" spans="1:10" x14ac:dyDescent="0.2">
      <c r="A94" t="s">
        <v>3446</v>
      </c>
      <c r="C94" s="6">
        <v>1</v>
      </c>
      <c r="D94">
        <v>1006</v>
      </c>
      <c r="E94">
        <v>0</v>
      </c>
      <c r="I94">
        <f>49.3-2.8</f>
        <v>46.5</v>
      </c>
      <c r="J94" t="s">
        <v>5778</v>
      </c>
    </row>
    <row r="95" spans="1:10" x14ac:dyDescent="0.2">
      <c r="A95" t="s">
        <v>3446</v>
      </c>
      <c r="C95" s="6">
        <v>2</v>
      </c>
      <c r="D95">
        <v>1006</v>
      </c>
      <c r="E95">
        <v>800</v>
      </c>
      <c r="I95">
        <f>14.6-2.8</f>
        <v>11.8</v>
      </c>
      <c r="J95" t="s">
        <v>5118</v>
      </c>
    </row>
    <row r="96" spans="1:10" x14ac:dyDescent="0.2">
      <c r="A96" t="s">
        <v>3446</v>
      </c>
      <c r="C96" s="6">
        <v>3</v>
      </c>
      <c r="D96">
        <v>800</v>
      </c>
      <c r="E96">
        <v>599</v>
      </c>
      <c r="I96">
        <f>9.7</f>
        <v>9.6999999999999993</v>
      </c>
      <c r="J96" t="s">
        <v>5118</v>
      </c>
    </row>
    <row r="97" spans="1:10" x14ac:dyDescent="0.2">
      <c r="A97" t="s">
        <v>3446</v>
      </c>
      <c r="C97" s="6">
        <v>4</v>
      </c>
      <c r="D97">
        <v>599</v>
      </c>
      <c r="E97">
        <v>402</v>
      </c>
      <c r="I97">
        <v>1.5</v>
      </c>
      <c r="J97" t="s">
        <v>5778</v>
      </c>
    </row>
    <row r="98" spans="1:10" x14ac:dyDescent="0.2">
      <c r="A98" t="s">
        <v>3446</v>
      </c>
      <c r="C98" s="6">
        <v>5</v>
      </c>
      <c r="D98">
        <v>402</v>
      </c>
      <c r="E98">
        <v>202</v>
      </c>
      <c r="I98">
        <v>7.1</v>
      </c>
      <c r="J98" t="s">
        <v>5118</v>
      </c>
    </row>
    <row r="99" spans="1:10" x14ac:dyDescent="0.2">
      <c r="A99" t="s">
        <v>3446</v>
      </c>
      <c r="C99" s="6">
        <v>6</v>
      </c>
      <c r="D99">
        <v>202</v>
      </c>
      <c r="E99">
        <v>0</v>
      </c>
      <c r="I99">
        <v>7.4</v>
      </c>
      <c r="J99" t="s">
        <v>5778</v>
      </c>
    </row>
    <row r="100" spans="1:10" x14ac:dyDescent="0.2">
      <c r="A100" t="s">
        <v>3447</v>
      </c>
      <c r="C100" s="6">
        <v>1</v>
      </c>
      <c r="D100">
        <v>1012</v>
      </c>
      <c r="E100">
        <v>0</v>
      </c>
      <c r="F100" s="6"/>
      <c r="I100">
        <f>20.1-2.8</f>
        <v>17.3</v>
      </c>
      <c r="J100" t="s">
        <v>5778</v>
      </c>
    </row>
    <row r="101" spans="1:10" x14ac:dyDescent="0.2">
      <c r="A101" t="s">
        <v>3447</v>
      </c>
      <c r="C101" s="6">
        <v>2</v>
      </c>
      <c r="D101">
        <v>1012</v>
      </c>
      <c r="E101">
        <v>798</v>
      </c>
      <c r="F101" s="6"/>
      <c r="I101">
        <v>6.8</v>
      </c>
      <c r="J101" t="s">
        <v>5788</v>
      </c>
    </row>
    <row r="102" spans="1:10" x14ac:dyDescent="0.2">
      <c r="A102" t="s">
        <v>3447</v>
      </c>
      <c r="C102" s="6">
        <v>3</v>
      </c>
      <c r="D102">
        <v>798</v>
      </c>
      <c r="E102">
        <v>595</v>
      </c>
      <c r="F102" s="6"/>
      <c r="I102">
        <v>6.4</v>
      </c>
      <c r="J102" t="s">
        <v>5118</v>
      </c>
    </row>
    <row r="103" spans="1:10" x14ac:dyDescent="0.2">
      <c r="A103" t="s">
        <v>3447</v>
      </c>
      <c r="C103" s="6">
        <v>4</v>
      </c>
      <c r="D103">
        <v>595</v>
      </c>
      <c r="E103">
        <v>401</v>
      </c>
      <c r="F103" s="6"/>
      <c r="I103">
        <v>2.4</v>
      </c>
      <c r="J103" t="s">
        <v>5118</v>
      </c>
    </row>
    <row r="104" spans="1:10" x14ac:dyDescent="0.2">
      <c r="A104" t="s">
        <v>3447</v>
      </c>
      <c r="C104" s="6">
        <v>5</v>
      </c>
      <c r="D104">
        <v>401</v>
      </c>
      <c r="E104">
        <v>202</v>
      </c>
      <c r="F104" s="6"/>
      <c r="I104">
        <v>2.2000000000000002</v>
      </c>
      <c r="J104" t="s">
        <v>5778</v>
      </c>
    </row>
    <row r="105" spans="1:10" x14ac:dyDescent="0.2">
      <c r="A105" t="s">
        <v>3447</v>
      </c>
      <c r="C105" s="6">
        <v>6</v>
      </c>
      <c r="D105">
        <v>202</v>
      </c>
      <c r="E105">
        <v>0</v>
      </c>
      <c r="F105" s="6"/>
      <c r="I105">
        <f>17.4-2.8</f>
        <v>14.599999999999998</v>
      </c>
      <c r="J105" t="s">
        <v>5778</v>
      </c>
    </row>
    <row r="106" spans="1:10" x14ac:dyDescent="0.2">
      <c r="A106" t="s">
        <v>3862</v>
      </c>
      <c r="C106" s="6">
        <v>1</v>
      </c>
      <c r="D106">
        <v>0</v>
      </c>
      <c r="E106">
        <v>997</v>
      </c>
      <c r="F106" s="6"/>
      <c r="I106">
        <f>22.8-2.8</f>
        <v>20</v>
      </c>
      <c r="J106" t="s">
        <v>4888</v>
      </c>
    </row>
    <row r="107" spans="1:10" x14ac:dyDescent="0.2">
      <c r="A107" t="s">
        <v>3862</v>
      </c>
      <c r="C107" s="6">
        <v>2</v>
      </c>
      <c r="D107">
        <v>997</v>
      </c>
      <c r="E107">
        <v>799</v>
      </c>
      <c r="F107" s="6"/>
      <c r="I107">
        <f>9.3-1.8</f>
        <v>7.5000000000000009</v>
      </c>
      <c r="J107" t="s">
        <v>5118</v>
      </c>
    </row>
    <row r="108" spans="1:10" x14ac:dyDescent="0.2">
      <c r="A108" t="s">
        <v>3862</v>
      </c>
      <c r="C108" s="6">
        <v>3</v>
      </c>
      <c r="D108">
        <v>799</v>
      </c>
      <c r="E108">
        <v>599</v>
      </c>
      <c r="F108" s="6"/>
      <c r="I108">
        <f>13-1.8</f>
        <v>11.2</v>
      </c>
      <c r="J108" t="s">
        <v>5118</v>
      </c>
    </row>
    <row r="109" spans="1:10" x14ac:dyDescent="0.2">
      <c r="A109" t="s">
        <v>3862</v>
      </c>
      <c r="C109" s="6">
        <v>4</v>
      </c>
      <c r="D109">
        <v>599</v>
      </c>
      <c r="E109">
        <v>401</v>
      </c>
      <c r="F109" s="6"/>
      <c r="I109">
        <f>12.3-1.8</f>
        <v>10.5</v>
      </c>
      <c r="J109" t="s">
        <v>5778</v>
      </c>
    </row>
    <row r="110" spans="1:10" x14ac:dyDescent="0.2">
      <c r="A110" t="s">
        <v>3862</v>
      </c>
      <c r="C110" s="6">
        <v>5</v>
      </c>
      <c r="D110">
        <v>401</v>
      </c>
      <c r="E110">
        <v>195</v>
      </c>
      <c r="F110" s="6"/>
      <c r="I110">
        <f>3.6-1.8</f>
        <v>1.8</v>
      </c>
      <c r="J110" t="s">
        <v>5118</v>
      </c>
    </row>
    <row r="111" spans="1:10" x14ac:dyDescent="0.2">
      <c r="A111" t="s">
        <v>3862</v>
      </c>
      <c r="C111" s="6">
        <v>6</v>
      </c>
      <c r="D111">
        <v>195</v>
      </c>
      <c r="E111">
        <v>1</v>
      </c>
      <c r="F111" s="6"/>
      <c r="I111">
        <f>22.9-2.8</f>
        <v>20.099999999999998</v>
      </c>
      <c r="J111" t="s">
        <v>5778</v>
      </c>
    </row>
    <row r="112" spans="1:10" x14ac:dyDescent="0.2">
      <c r="A112" t="s">
        <v>3893</v>
      </c>
      <c r="C112" s="6">
        <v>1</v>
      </c>
      <c r="D112" t="s">
        <v>4889</v>
      </c>
      <c r="E112" t="s">
        <v>4889</v>
      </c>
      <c r="I112">
        <f>29.9-2.8+0.4</f>
        <v>27.499999999999996</v>
      </c>
      <c r="J112" t="s">
        <v>5787</v>
      </c>
    </row>
    <row r="113" spans="1:10" x14ac:dyDescent="0.2">
      <c r="A113" t="s">
        <v>3893</v>
      </c>
      <c r="C113" s="6">
        <v>2</v>
      </c>
      <c r="D113" t="s">
        <v>4889</v>
      </c>
      <c r="E113" t="s">
        <v>4889</v>
      </c>
      <c r="I113">
        <v>0.7</v>
      </c>
      <c r="J113" t="s">
        <v>5118</v>
      </c>
    </row>
    <row r="114" spans="1:10" x14ac:dyDescent="0.2">
      <c r="A114" t="s">
        <v>3893</v>
      </c>
      <c r="C114" s="6">
        <v>3</v>
      </c>
      <c r="D114" t="s">
        <v>4889</v>
      </c>
      <c r="E114" t="s">
        <v>4889</v>
      </c>
      <c r="I114">
        <v>5.8</v>
      </c>
      <c r="J114" t="s">
        <v>5118</v>
      </c>
    </row>
    <row r="115" spans="1:10" x14ac:dyDescent="0.2">
      <c r="A115" t="s">
        <v>3893</v>
      </c>
      <c r="C115" s="6">
        <v>4</v>
      </c>
      <c r="D115" t="s">
        <v>4889</v>
      </c>
      <c r="E115" t="s">
        <v>4889</v>
      </c>
      <c r="I115">
        <v>2.8</v>
      </c>
      <c r="J115" t="s">
        <v>5778</v>
      </c>
    </row>
    <row r="116" spans="1:10" x14ac:dyDescent="0.2">
      <c r="A116" t="s">
        <v>3893</v>
      </c>
      <c r="C116" s="6">
        <v>5</v>
      </c>
      <c r="D116" t="s">
        <v>4889</v>
      </c>
      <c r="E116" t="s">
        <v>4889</v>
      </c>
      <c r="I116">
        <f>34.8-2.8+4</f>
        <v>36</v>
      </c>
      <c r="J116" t="s">
        <v>5778</v>
      </c>
    </row>
    <row r="117" spans="1:10" x14ac:dyDescent="0.2">
      <c r="A117" t="s">
        <v>3893</v>
      </c>
      <c r="C117" s="6">
        <v>6</v>
      </c>
      <c r="D117" t="s">
        <v>4889</v>
      </c>
      <c r="E117" t="s">
        <v>4889</v>
      </c>
      <c r="I117">
        <v>11.1</v>
      </c>
      <c r="J117" t="s">
        <v>5778</v>
      </c>
    </row>
    <row r="118" spans="1:10" x14ac:dyDescent="0.2">
      <c r="A118" t="s">
        <v>3912</v>
      </c>
      <c r="C118" s="6">
        <v>1</v>
      </c>
      <c r="D118" t="s">
        <v>4889</v>
      </c>
      <c r="E118" t="s">
        <v>4889</v>
      </c>
      <c r="I118">
        <f>22-2.8</f>
        <v>19.2</v>
      </c>
      <c r="J118" t="s">
        <v>5787</v>
      </c>
    </row>
    <row r="119" spans="1:10" x14ac:dyDescent="0.2">
      <c r="A119" t="s">
        <v>3912</v>
      </c>
      <c r="C119" s="6">
        <v>2</v>
      </c>
      <c r="D119" t="s">
        <v>4889</v>
      </c>
      <c r="E119" t="s">
        <v>4889</v>
      </c>
      <c r="I119">
        <v>0.7</v>
      </c>
      <c r="J119" t="s">
        <v>5118</v>
      </c>
    </row>
    <row r="120" spans="1:10" x14ac:dyDescent="0.2">
      <c r="A120" t="s">
        <v>3912</v>
      </c>
      <c r="C120" s="6">
        <v>3</v>
      </c>
      <c r="D120" t="s">
        <v>4889</v>
      </c>
      <c r="E120" t="s">
        <v>4889</v>
      </c>
      <c r="I120">
        <v>6.7</v>
      </c>
      <c r="J120" t="s">
        <v>5778</v>
      </c>
    </row>
    <row r="121" spans="1:10" x14ac:dyDescent="0.2">
      <c r="A121" t="s">
        <v>3912</v>
      </c>
      <c r="C121" s="6">
        <v>4</v>
      </c>
      <c r="D121" t="s">
        <v>4889</v>
      </c>
      <c r="E121" t="s">
        <v>4889</v>
      </c>
      <c r="I121">
        <v>5.5</v>
      </c>
      <c r="J121" t="s">
        <v>5778</v>
      </c>
    </row>
    <row r="122" spans="1:10" x14ac:dyDescent="0.2">
      <c r="A122" t="s">
        <v>3912</v>
      </c>
      <c r="C122" s="6">
        <v>5</v>
      </c>
      <c r="D122" t="s">
        <v>4889</v>
      </c>
      <c r="E122" t="s">
        <v>4889</v>
      </c>
      <c r="I122">
        <f>20.6-2.8</f>
        <v>17.8</v>
      </c>
      <c r="J122" t="s">
        <v>5778</v>
      </c>
    </row>
    <row r="123" spans="1:10" x14ac:dyDescent="0.2">
      <c r="A123" t="s">
        <v>3912</v>
      </c>
      <c r="C123" s="6">
        <v>6</v>
      </c>
      <c r="D123" t="s">
        <v>4889</v>
      </c>
      <c r="E123" t="s">
        <v>4889</v>
      </c>
      <c r="I123">
        <v>9.9</v>
      </c>
      <c r="J123" t="s">
        <v>5778</v>
      </c>
    </row>
    <row r="124" spans="1:10" x14ac:dyDescent="0.2">
      <c r="A124" t="s">
        <v>3916</v>
      </c>
      <c r="C124" s="6">
        <v>1</v>
      </c>
      <c r="D124" t="s">
        <v>4889</v>
      </c>
      <c r="H124">
        <f>35.2-2.8-0.227</f>
        <v>32.173000000000009</v>
      </c>
    </row>
    <row r="125" spans="1:10" x14ac:dyDescent="0.2">
      <c r="A125" t="s">
        <v>3916</v>
      </c>
      <c r="C125" s="6">
        <v>2</v>
      </c>
      <c r="D125" t="s">
        <v>4889</v>
      </c>
      <c r="H125">
        <f>8.8-0.241</f>
        <v>8.5590000000000011</v>
      </c>
    </row>
    <row r="126" spans="1:10" x14ac:dyDescent="0.2">
      <c r="A126" t="s">
        <v>3916</v>
      </c>
      <c r="C126" s="6">
        <v>3</v>
      </c>
      <c r="D126" t="s">
        <v>4889</v>
      </c>
      <c r="H126">
        <f>6.1-0.245</f>
        <v>5.8549999999999995</v>
      </c>
    </row>
    <row r="127" spans="1:10" x14ac:dyDescent="0.2">
      <c r="A127" t="s">
        <v>3916</v>
      </c>
      <c r="C127" s="6">
        <v>4</v>
      </c>
      <c r="D127" t="s">
        <v>4889</v>
      </c>
      <c r="H127">
        <f>10.6-0.234</f>
        <v>10.366</v>
      </c>
    </row>
    <row r="128" spans="1:10" x14ac:dyDescent="0.2">
      <c r="A128" t="s">
        <v>3916</v>
      </c>
      <c r="C128" s="6">
        <v>5</v>
      </c>
      <c r="D128" t="s">
        <v>4889</v>
      </c>
      <c r="H128">
        <f>1.4-0.191</f>
        <v>1.2089999999999999</v>
      </c>
    </row>
    <row r="129" spans="1:8" x14ac:dyDescent="0.2">
      <c r="A129" t="s">
        <v>3916</v>
      </c>
      <c r="C129" s="6">
        <v>6</v>
      </c>
      <c r="D129" t="s">
        <v>4889</v>
      </c>
      <c r="H129">
        <f>4.6-0.245</f>
        <v>4.3549999999999995</v>
      </c>
    </row>
    <row r="130" spans="1:8" x14ac:dyDescent="0.2">
      <c r="A130" t="s">
        <v>4821</v>
      </c>
      <c r="C130" s="6">
        <v>1</v>
      </c>
      <c r="D130">
        <v>1006</v>
      </c>
      <c r="H130">
        <f>23.7-1.8-0.227+35.3-1.8</f>
        <v>55.173000000000002</v>
      </c>
    </row>
    <row r="131" spans="1:8" x14ac:dyDescent="0.2">
      <c r="A131" t="s">
        <v>4821</v>
      </c>
      <c r="C131" s="6">
        <v>2</v>
      </c>
      <c r="D131">
        <v>1006</v>
      </c>
      <c r="H131">
        <f>1.9-0.201</f>
        <v>1.6989999999999998</v>
      </c>
    </row>
    <row r="132" spans="1:8" x14ac:dyDescent="0.2">
      <c r="A132" t="s">
        <v>4821</v>
      </c>
      <c r="C132" s="6">
        <v>3</v>
      </c>
      <c r="D132">
        <v>795</v>
      </c>
      <c r="H132">
        <f>17.7-0.295-1.8</f>
        <v>15.604999999999997</v>
      </c>
    </row>
    <row r="133" spans="1:8" x14ac:dyDescent="0.2">
      <c r="A133" t="s">
        <v>4821</v>
      </c>
      <c r="C133" s="6">
        <v>4</v>
      </c>
      <c r="D133">
        <v>603</v>
      </c>
      <c r="H133">
        <f>2-0.205</f>
        <v>1.7949999999999999</v>
      </c>
    </row>
    <row r="134" spans="1:8" x14ac:dyDescent="0.2">
      <c r="A134" t="s">
        <v>4821</v>
      </c>
      <c r="C134" s="6">
        <v>5</v>
      </c>
      <c r="D134">
        <v>402</v>
      </c>
      <c r="H134">
        <f>21.9-1.7-0.191</f>
        <v>20.009</v>
      </c>
    </row>
    <row r="135" spans="1:8" x14ac:dyDescent="0.2">
      <c r="A135" t="s">
        <v>4821</v>
      </c>
      <c r="C135" s="6">
        <v>6</v>
      </c>
      <c r="D135">
        <v>201</v>
      </c>
      <c r="H135">
        <f>22.5-1.8-0.245</f>
        <v>20.454999999999998</v>
      </c>
    </row>
    <row r="136" spans="1:8" x14ac:dyDescent="0.2">
      <c r="A136" t="s">
        <v>4890</v>
      </c>
      <c r="C136" s="6">
        <v>1</v>
      </c>
      <c r="D136">
        <v>997</v>
      </c>
      <c r="H136">
        <f>36.8-2.8-0.227</f>
        <v>33.773000000000003</v>
      </c>
    </row>
    <row r="137" spans="1:8" x14ac:dyDescent="0.2">
      <c r="A137" t="s">
        <v>4890</v>
      </c>
      <c r="C137" s="6">
        <v>2</v>
      </c>
      <c r="D137">
        <v>997</v>
      </c>
      <c r="H137">
        <f>0.6-0.201</f>
        <v>0.39899999999999997</v>
      </c>
    </row>
    <row r="138" spans="1:8" x14ac:dyDescent="0.2">
      <c r="A138" t="s">
        <v>4890</v>
      </c>
      <c r="C138" s="6">
        <v>3</v>
      </c>
      <c r="D138">
        <v>798</v>
      </c>
      <c r="H138">
        <f>8.6-0.195</f>
        <v>8.4049999999999994</v>
      </c>
    </row>
    <row r="139" spans="1:8" x14ac:dyDescent="0.2">
      <c r="A139" t="s">
        <v>4890</v>
      </c>
      <c r="C139" s="6">
        <v>4</v>
      </c>
      <c r="D139">
        <v>597</v>
      </c>
      <c r="H139">
        <f>10.7-0.208</f>
        <v>10.491999999999999</v>
      </c>
    </row>
    <row r="140" spans="1:8" x14ac:dyDescent="0.2">
      <c r="A140" t="s">
        <v>4890</v>
      </c>
      <c r="C140" s="6">
        <v>5</v>
      </c>
      <c r="D140">
        <v>400</v>
      </c>
      <c r="H140">
        <f>2.6-0.191</f>
        <v>2.4090000000000003</v>
      </c>
    </row>
    <row r="141" spans="1:8" x14ac:dyDescent="0.2">
      <c r="A141" t="s">
        <v>4890</v>
      </c>
      <c r="C141" s="6">
        <v>6</v>
      </c>
      <c r="D141" t="s">
        <v>4889</v>
      </c>
      <c r="H141">
        <f>7.4-0.245</f>
        <v>7.1550000000000002</v>
      </c>
    </row>
    <row r="142" spans="1:8" x14ac:dyDescent="0.2">
      <c r="A142" t="s">
        <v>4891</v>
      </c>
      <c r="C142" s="6">
        <v>1</v>
      </c>
      <c r="D142">
        <v>1004</v>
      </c>
      <c r="H142">
        <f>30.3-2.8-0.227</f>
        <v>27.273</v>
      </c>
    </row>
    <row r="143" spans="1:8" x14ac:dyDescent="0.2">
      <c r="A143" t="s">
        <v>4891</v>
      </c>
      <c r="C143" s="6">
        <v>2</v>
      </c>
      <c r="D143">
        <v>1004</v>
      </c>
      <c r="H143">
        <f>1.4-0.201</f>
        <v>1.1989999999999998</v>
      </c>
    </row>
    <row r="144" spans="1:8" x14ac:dyDescent="0.2">
      <c r="A144" t="s">
        <v>4891</v>
      </c>
      <c r="C144" s="6">
        <v>3</v>
      </c>
      <c r="D144">
        <v>803</v>
      </c>
      <c r="H144">
        <f>23.8-2.8-0.195</f>
        <v>20.805</v>
      </c>
    </row>
    <row r="145" spans="1:8" x14ac:dyDescent="0.2">
      <c r="A145" t="s">
        <v>4891</v>
      </c>
      <c r="C145" s="6">
        <v>4</v>
      </c>
      <c r="D145">
        <v>600</v>
      </c>
      <c r="H145">
        <f>2.5-0.234</f>
        <v>2.266</v>
      </c>
    </row>
    <row r="146" spans="1:8" x14ac:dyDescent="0.2">
      <c r="A146" t="s">
        <v>4891</v>
      </c>
      <c r="C146" s="6">
        <v>5</v>
      </c>
      <c r="D146">
        <v>402</v>
      </c>
      <c r="H146">
        <f>3.5-0.241</f>
        <v>3.2589999999999999</v>
      </c>
    </row>
    <row r="147" spans="1:8" x14ac:dyDescent="0.2">
      <c r="A147" t="s">
        <v>4891</v>
      </c>
      <c r="C147" s="6">
        <v>6</v>
      </c>
      <c r="D147">
        <v>190</v>
      </c>
      <c r="H147">
        <f>3.3-0.245</f>
        <v>3.0549999999999997</v>
      </c>
    </row>
    <row r="148" spans="1:8" x14ac:dyDescent="0.2">
      <c r="A148" t="s">
        <v>4892</v>
      </c>
      <c r="C148" s="6">
        <v>1</v>
      </c>
      <c r="D148" t="s">
        <v>4889</v>
      </c>
      <c r="H148">
        <f>38.2-2.8-0.249</f>
        <v>35.151000000000003</v>
      </c>
    </row>
    <row r="149" spans="1:8" x14ac:dyDescent="0.2">
      <c r="A149" t="s">
        <v>4892</v>
      </c>
      <c r="C149" s="6">
        <v>2</v>
      </c>
      <c r="D149" t="s">
        <v>4889</v>
      </c>
      <c r="H149">
        <v>0</v>
      </c>
    </row>
    <row r="150" spans="1:8" x14ac:dyDescent="0.2">
      <c r="A150" t="s">
        <v>4892</v>
      </c>
      <c r="C150" s="6">
        <v>3</v>
      </c>
      <c r="D150" t="s">
        <v>4889</v>
      </c>
      <c r="H150">
        <f>4.7-0.195</f>
        <v>4.5049999999999999</v>
      </c>
    </row>
    <row r="151" spans="1:8" x14ac:dyDescent="0.2">
      <c r="A151" t="s">
        <v>4892</v>
      </c>
      <c r="C151" s="6">
        <v>4</v>
      </c>
      <c r="D151" t="s">
        <v>4889</v>
      </c>
      <c r="H151">
        <f>3.1-0.234</f>
        <v>2.8660000000000001</v>
      </c>
    </row>
    <row r="152" spans="1:8" x14ac:dyDescent="0.2">
      <c r="A152" t="s">
        <v>4892</v>
      </c>
      <c r="C152" s="6">
        <v>5</v>
      </c>
      <c r="D152" t="s">
        <v>4889</v>
      </c>
      <c r="H152">
        <f>3.4-0.241</f>
        <v>3.1589999999999998</v>
      </c>
    </row>
    <row r="153" spans="1:8" x14ac:dyDescent="0.2">
      <c r="A153" t="s">
        <v>4892</v>
      </c>
      <c r="C153" s="6">
        <v>6</v>
      </c>
      <c r="D153" t="s">
        <v>4889</v>
      </c>
      <c r="H153">
        <f>10.7-2.8-0.245</f>
        <v>7.6549999999999994</v>
      </c>
    </row>
    <row r="154" spans="1:8" x14ac:dyDescent="0.2">
      <c r="A154" t="s">
        <v>4893</v>
      </c>
      <c r="B154" t="s">
        <v>4934</v>
      </c>
      <c r="C154" s="6">
        <v>1</v>
      </c>
      <c r="D154" t="s">
        <v>4889</v>
      </c>
      <c r="H154">
        <f>21-1.8-0.227</f>
        <v>18.972999999999999</v>
      </c>
    </row>
    <row r="155" spans="1:8" x14ac:dyDescent="0.2">
      <c r="A155" t="s">
        <v>4893</v>
      </c>
      <c r="B155" t="s">
        <v>4934</v>
      </c>
      <c r="C155" s="6">
        <v>2</v>
      </c>
      <c r="D155" t="s">
        <v>4889</v>
      </c>
      <c r="H155">
        <f>0.9-0.201</f>
        <v>0.69900000000000007</v>
      </c>
    </row>
    <row r="156" spans="1:8" x14ac:dyDescent="0.2">
      <c r="A156" t="s">
        <v>4893</v>
      </c>
      <c r="B156" t="s">
        <v>4934</v>
      </c>
      <c r="C156" s="6">
        <v>3</v>
      </c>
      <c r="D156" t="s">
        <v>4889</v>
      </c>
      <c r="H156">
        <f>3.1-0.195</f>
        <v>2.9050000000000002</v>
      </c>
    </row>
    <row r="157" spans="1:8" x14ac:dyDescent="0.2">
      <c r="A157" t="s">
        <v>4893</v>
      </c>
      <c r="B157" t="s">
        <v>4934</v>
      </c>
      <c r="C157" s="6">
        <v>4</v>
      </c>
      <c r="D157" t="s">
        <v>4889</v>
      </c>
      <c r="H157">
        <f>29.7-2.8-0.234+0.5+28-2.8+0.5</f>
        <v>52.866</v>
      </c>
    </row>
    <row r="158" spans="1:8" x14ac:dyDescent="0.2">
      <c r="A158" t="s">
        <v>4893</v>
      </c>
      <c r="B158" t="s">
        <v>4934</v>
      </c>
      <c r="C158" s="6">
        <v>5</v>
      </c>
      <c r="D158" t="s">
        <v>4889</v>
      </c>
      <c r="H158">
        <f>2.6-0.241</f>
        <v>2.359</v>
      </c>
    </row>
    <row r="159" spans="1:8" x14ac:dyDescent="0.2">
      <c r="A159" t="s">
        <v>4893</v>
      </c>
      <c r="B159" t="s">
        <v>4934</v>
      </c>
      <c r="C159" s="6">
        <v>6</v>
      </c>
      <c r="D159" t="s">
        <v>4889</v>
      </c>
      <c r="H159">
        <f>8.1-0.191</f>
        <v>7.9089999999999998</v>
      </c>
    </row>
    <row r="160" spans="1:8" x14ac:dyDescent="0.2">
      <c r="A160" t="s">
        <v>4894</v>
      </c>
      <c r="B160" t="s">
        <v>4934</v>
      </c>
      <c r="C160" s="6">
        <v>1</v>
      </c>
      <c r="D160" t="s">
        <v>5777</v>
      </c>
      <c r="H160">
        <f>18-2.8-0.227</f>
        <v>14.972999999999999</v>
      </c>
    </row>
    <row r="161" spans="1:8" x14ac:dyDescent="0.2">
      <c r="A161" t="s">
        <v>4894</v>
      </c>
      <c r="B161" t="s">
        <v>4934</v>
      </c>
      <c r="C161" s="6">
        <v>2</v>
      </c>
      <c r="D161" t="s">
        <v>5777</v>
      </c>
      <c r="H161">
        <f>10.1-1.7-0.201</f>
        <v>8.1989999999999998</v>
      </c>
    </row>
    <row r="162" spans="1:8" x14ac:dyDescent="0.2">
      <c r="A162" t="s">
        <v>4894</v>
      </c>
      <c r="B162" t="s">
        <v>4934</v>
      </c>
      <c r="C162" s="6">
        <v>3</v>
      </c>
      <c r="D162">
        <v>790</v>
      </c>
      <c r="H162">
        <f>20.3-2.8-0.195</f>
        <v>17.305</v>
      </c>
    </row>
    <row r="163" spans="1:8" x14ac:dyDescent="0.2">
      <c r="A163" t="s">
        <v>4894</v>
      </c>
      <c r="B163" t="s">
        <v>4934</v>
      </c>
      <c r="C163" s="6">
        <v>4</v>
      </c>
      <c r="D163">
        <v>627</v>
      </c>
      <c r="H163">
        <f>4.2-0.234</f>
        <v>3.9660000000000002</v>
      </c>
    </row>
    <row r="164" spans="1:8" x14ac:dyDescent="0.2">
      <c r="A164" t="s">
        <v>4894</v>
      </c>
      <c r="B164" t="s">
        <v>4934</v>
      </c>
      <c r="C164" s="6">
        <v>5</v>
      </c>
      <c r="D164">
        <v>396</v>
      </c>
      <c r="H164">
        <f>3.8-0.191</f>
        <v>3.609</v>
      </c>
    </row>
    <row r="165" spans="1:8" x14ac:dyDescent="0.2">
      <c r="A165" t="s">
        <v>4894</v>
      </c>
      <c r="B165" t="s">
        <v>4934</v>
      </c>
      <c r="C165" s="6">
        <v>6</v>
      </c>
      <c r="D165">
        <v>202</v>
      </c>
      <c r="H165">
        <f>6.1-1.7-0.241</f>
        <v>4.1589999999999998</v>
      </c>
    </row>
    <row r="166" spans="1:8" x14ac:dyDescent="0.2">
      <c r="A166" t="s">
        <v>4895</v>
      </c>
      <c r="B166" t="s">
        <v>4934</v>
      </c>
      <c r="C166" s="6">
        <v>1</v>
      </c>
      <c r="D166" t="s">
        <v>4889</v>
      </c>
      <c r="H166">
        <f>22.8-2.8-0.227</f>
        <v>19.773</v>
      </c>
    </row>
    <row r="167" spans="1:8" x14ac:dyDescent="0.2">
      <c r="A167" t="s">
        <v>4895</v>
      </c>
      <c r="B167" t="s">
        <v>4934</v>
      </c>
      <c r="C167" s="6">
        <v>2</v>
      </c>
      <c r="D167" t="s">
        <v>4889</v>
      </c>
      <c r="H167">
        <f>30-2.8-0.201</f>
        <v>26.998999999999999</v>
      </c>
    </row>
    <row r="168" spans="1:8" x14ac:dyDescent="0.2">
      <c r="A168" t="s">
        <v>4895</v>
      </c>
      <c r="B168" t="s">
        <v>4934</v>
      </c>
      <c r="C168" s="6">
        <v>3</v>
      </c>
      <c r="D168" t="s">
        <v>4889</v>
      </c>
      <c r="H168">
        <f>5.6-1.8-0.195</f>
        <v>3.605</v>
      </c>
    </row>
    <row r="169" spans="1:8" x14ac:dyDescent="0.2">
      <c r="A169" t="s">
        <v>4895</v>
      </c>
      <c r="B169" t="s">
        <v>4934</v>
      </c>
      <c r="C169" s="6">
        <v>4</v>
      </c>
      <c r="D169" t="s">
        <v>4889</v>
      </c>
      <c r="H169">
        <f>7.4-1.8-0.234</f>
        <v>5.3660000000000005</v>
      </c>
    </row>
    <row r="170" spans="1:8" x14ac:dyDescent="0.2">
      <c r="A170" t="s">
        <v>4895</v>
      </c>
      <c r="B170" t="s">
        <v>4934</v>
      </c>
      <c r="C170" s="6">
        <v>5</v>
      </c>
      <c r="D170" t="s">
        <v>4889</v>
      </c>
      <c r="H170">
        <f>0.6-0.191</f>
        <v>0.40899999999999997</v>
      </c>
    </row>
    <row r="171" spans="1:8" x14ac:dyDescent="0.2">
      <c r="A171" t="s">
        <v>4895</v>
      </c>
      <c r="B171" t="s">
        <v>4934</v>
      </c>
      <c r="C171" s="6">
        <v>6</v>
      </c>
      <c r="D171" t="s">
        <v>4889</v>
      </c>
      <c r="H171">
        <f>5-1.8-0.241</f>
        <v>2.9590000000000001</v>
      </c>
    </row>
    <row r="172" spans="1:8" x14ac:dyDescent="0.2">
      <c r="A172" t="s">
        <v>5133</v>
      </c>
      <c r="B172" t="s">
        <v>5134</v>
      </c>
      <c r="C172" s="6">
        <v>1</v>
      </c>
      <c r="D172" t="s">
        <v>4889</v>
      </c>
      <c r="H172">
        <f>46.8-2.8-0.227</f>
        <v>43.773000000000003</v>
      </c>
    </row>
    <row r="173" spans="1:8" x14ac:dyDescent="0.2">
      <c r="A173" t="s">
        <v>5133</v>
      </c>
      <c r="B173" t="s">
        <v>5134</v>
      </c>
      <c r="C173" s="6">
        <v>2</v>
      </c>
      <c r="D173" t="s">
        <v>4889</v>
      </c>
      <c r="H173">
        <f>9.4-0.201</f>
        <v>9.1989999999999998</v>
      </c>
    </row>
    <row r="174" spans="1:8" x14ac:dyDescent="0.2">
      <c r="A174" t="s">
        <v>5133</v>
      </c>
      <c r="B174" t="s">
        <v>5134</v>
      </c>
      <c r="C174" s="6">
        <v>3</v>
      </c>
      <c r="D174" t="s">
        <v>4889</v>
      </c>
      <c r="H174">
        <f>21.6-2.8-0.195</f>
        <v>18.605</v>
      </c>
    </row>
    <row r="175" spans="1:8" x14ac:dyDescent="0.2">
      <c r="A175" t="s">
        <v>5133</v>
      </c>
      <c r="B175" t="s">
        <v>5134</v>
      </c>
      <c r="C175" s="6">
        <v>4</v>
      </c>
      <c r="D175" t="s">
        <v>4889</v>
      </c>
      <c r="H175">
        <f>15.1-1.8-0.234</f>
        <v>13.065999999999999</v>
      </c>
    </row>
    <row r="176" spans="1:8" x14ac:dyDescent="0.2">
      <c r="A176" t="s">
        <v>5133</v>
      </c>
      <c r="B176" t="s">
        <v>5134</v>
      </c>
      <c r="C176" s="6">
        <v>5</v>
      </c>
      <c r="D176" t="s">
        <v>4889</v>
      </c>
      <c r="H176">
        <f>2.4-0.241</f>
        <v>2.1589999999999998</v>
      </c>
    </row>
    <row r="177" spans="1:11" x14ac:dyDescent="0.2">
      <c r="A177" t="s">
        <v>5133</v>
      </c>
      <c r="B177" t="s">
        <v>5134</v>
      </c>
      <c r="C177" s="6">
        <v>6</v>
      </c>
      <c r="D177" t="s">
        <v>4889</v>
      </c>
      <c r="H177">
        <f>7.8-0.245</f>
        <v>7.5549999999999997</v>
      </c>
    </row>
    <row r="178" spans="1:11" x14ac:dyDescent="0.2">
      <c r="A178" t="s">
        <v>5285</v>
      </c>
      <c r="B178" t="s">
        <v>5314</v>
      </c>
      <c r="C178" s="6">
        <v>1</v>
      </c>
      <c r="D178" t="s">
        <v>4889</v>
      </c>
      <c r="H178">
        <f>I178-0.227</f>
        <v>33.273000000000003</v>
      </c>
      <c r="I178">
        <f>36.3-2.8</f>
        <v>33.5</v>
      </c>
      <c r="J178" t="s">
        <v>5778</v>
      </c>
      <c r="K178" t="s">
        <v>5779</v>
      </c>
    </row>
    <row r="179" spans="1:11" x14ac:dyDescent="0.2">
      <c r="A179" t="s">
        <v>5285</v>
      </c>
      <c r="B179" t="s">
        <v>5314</v>
      </c>
      <c r="C179" s="6">
        <v>2</v>
      </c>
      <c r="D179" t="s">
        <v>4889</v>
      </c>
      <c r="H179">
        <f>I179-0.2</f>
        <v>3.1999999999999997</v>
      </c>
      <c r="I179">
        <v>3.4</v>
      </c>
      <c r="J179" t="s">
        <v>4888</v>
      </c>
      <c r="K179" t="s">
        <v>5780</v>
      </c>
    </row>
    <row r="180" spans="1:11" x14ac:dyDescent="0.2">
      <c r="A180" t="s">
        <v>5285</v>
      </c>
      <c r="B180" t="s">
        <v>5314</v>
      </c>
      <c r="C180" s="6">
        <v>3</v>
      </c>
      <c r="D180" t="s">
        <v>4889</v>
      </c>
      <c r="H180">
        <f>I180-0.195</f>
        <v>2.7050000000000001</v>
      </c>
      <c r="I180">
        <v>2.9</v>
      </c>
      <c r="J180" t="s">
        <v>5118</v>
      </c>
      <c r="K180" t="s">
        <v>5781</v>
      </c>
    </row>
    <row r="181" spans="1:11" x14ac:dyDescent="0.2">
      <c r="A181" t="s">
        <v>5285</v>
      </c>
      <c r="B181" t="s">
        <v>5314</v>
      </c>
      <c r="C181" s="6">
        <v>4</v>
      </c>
      <c r="D181" t="s">
        <v>4889</v>
      </c>
      <c r="H181">
        <f>I181-0.234</f>
        <v>5.0659999999999998</v>
      </c>
      <c r="I181">
        <v>5.3</v>
      </c>
      <c r="J181" t="s">
        <v>5778</v>
      </c>
      <c r="K181" s="6" t="s">
        <v>5782</v>
      </c>
    </row>
    <row r="182" spans="1:11" x14ac:dyDescent="0.2">
      <c r="A182" t="s">
        <v>5285</v>
      </c>
      <c r="B182" t="s">
        <v>5314</v>
      </c>
      <c r="C182" s="6">
        <v>5</v>
      </c>
      <c r="D182" t="s">
        <v>4889</v>
      </c>
      <c r="H182">
        <f>I182-0.241</f>
        <v>69.759</v>
      </c>
      <c r="I182">
        <f>11.1+61.7-2.8</f>
        <v>70</v>
      </c>
      <c r="J182" t="s">
        <v>5778</v>
      </c>
      <c r="K182" s="6" t="s">
        <v>5783</v>
      </c>
    </row>
    <row r="183" spans="1:11" x14ac:dyDescent="0.2">
      <c r="A183" t="s">
        <v>5285</v>
      </c>
      <c r="B183" t="s">
        <v>5314</v>
      </c>
      <c r="C183" s="6">
        <v>6</v>
      </c>
      <c r="D183" t="s">
        <v>4889</v>
      </c>
      <c r="H183">
        <f>I183-0.245</f>
        <v>10.755000000000001</v>
      </c>
      <c r="I183">
        <v>11</v>
      </c>
      <c r="J183" t="s">
        <v>5778</v>
      </c>
      <c r="K183" s="6" t="s">
        <v>5784</v>
      </c>
    </row>
    <row r="184" spans="1:11" x14ac:dyDescent="0.2">
      <c r="A184" t="s">
        <v>5374</v>
      </c>
      <c r="B184" t="s">
        <v>5375</v>
      </c>
      <c r="C184" s="6">
        <v>1</v>
      </c>
      <c r="D184" t="s">
        <v>4889</v>
      </c>
      <c r="I184" t="s">
        <v>5785</v>
      </c>
    </row>
    <row r="185" spans="1:11" x14ac:dyDescent="0.2">
      <c r="A185" t="s">
        <v>5378</v>
      </c>
      <c r="B185" t="s">
        <v>5375</v>
      </c>
      <c r="C185" s="6">
        <v>1</v>
      </c>
      <c r="D185" t="s">
        <v>4889</v>
      </c>
      <c r="I185">
        <f>20.9-2.8</f>
        <v>18.099999999999998</v>
      </c>
      <c r="J185" t="s">
        <v>5778</v>
      </c>
    </row>
    <row r="186" spans="1:11" x14ac:dyDescent="0.2">
      <c r="A186" t="s">
        <v>5378</v>
      </c>
      <c r="B186" t="s">
        <v>5375</v>
      </c>
      <c r="C186" s="6">
        <v>2</v>
      </c>
      <c r="D186" t="s">
        <v>4889</v>
      </c>
      <c r="H186">
        <f>17.6-2.8-0.201</f>
        <v>14.599</v>
      </c>
      <c r="I186">
        <f>17.6-2.8</f>
        <v>14.8</v>
      </c>
      <c r="J186" t="s">
        <v>5786</v>
      </c>
    </row>
    <row r="187" spans="1:11" x14ac:dyDescent="0.2">
      <c r="A187" t="s">
        <v>5378</v>
      </c>
      <c r="B187" t="s">
        <v>5375</v>
      </c>
      <c r="C187" s="6">
        <v>3</v>
      </c>
      <c r="D187" t="s">
        <v>4889</v>
      </c>
      <c r="I187">
        <f>12.8</f>
        <v>12.8</v>
      </c>
      <c r="J187" t="s">
        <v>5118</v>
      </c>
    </row>
    <row r="188" spans="1:11" x14ac:dyDescent="0.2">
      <c r="A188" t="s">
        <v>5378</v>
      </c>
      <c r="B188" t="s">
        <v>5375</v>
      </c>
      <c r="C188" s="6">
        <v>4</v>
      </c>
      <c r="D188" t="s">
        <v>4889</v>
      </c>
      <c r="I188">
        <v>1</v>
      </c>
      <c r="J188" t="s">
        <v>5778</v>
      </c>
    </row>
    <row r="189" spans="1:11" x14ac:dyDescent="0.2">
      <c r="A189" t="s">
        <v>5378</v>
      </c>
      <c r="B189" t="s">
        <v>5375</v>
      </c>
      <c r="C189" s="6">
        <v>5</v>
      </c>
      <c r="D189" t="s">
        <v>4889</v>
      </c>
      <c r="I189">
        <v>0.7</v>
      </c>
      <c r="J189" t="s">
        <v>5778</v>
      </c>
    </row>
    <row r="190" spans="1:11" x14ac:dyDescent="0.2">
      <c r="A190" t="s">
        <v>5378</v>
      </c>
      <c r="B190" t="s">
        <v>5375</v>
      </c>
      <c r="C190" s="6">
        <v>6</v>
      </c>
      <c r="D190" t="s">
        <v>4889</v>
      </c>
      <c r="I190">
        <v>3.4</v>
      </c>
      <c r="J190" t="s">
        <v>5778</v>
      </c>
    </row>
    <row r="191" spans="1:11" x14ac:dyDescent="0.2">
      <c r="A191" t="s">
        <v>5589</v>
      </c>
      <c r="B191" t="s">
        <v>5375</v>
      </c>
      <c r="C191" s="6">
        <v>1</v>
      </c>
      <c r="D191" t="s">
        <v>4889</v>
      </c>
      <c r="I191">
        <f>35.4-2.8</f>
        <v>32.6</v>
      </c>
      <c r="J191" t="s">
        <v>5787</v>
      </c>
    </row>
    <row r="192" spans="1:11" x14ac:dyDescent="0.2">
      <c r="A192" t="s">
        <v>5589</v>
      </c>
      <c r="B192" t="s">
        <v>5375</v>
      </c>
      <c r="C192" s="6">
        <v>2</v>
      </c>
      <c r="D192" t="s">
        <v>4889</v>
      </c>
      <c r="I192">
        <f>4.9-1.8</f>
        <v>3.1000000000000005</v>
      </c>
      <c r="J192" t="s">
        <v>5788</v>
      </c>
    </row>
    <row r="193" spans="1:10" x14ac:dyDescent="0.2">
      <c r="A193" t="s">
        <v>5589</v>
      </c>
      <c r="B193" t="s">
        <v>5375</v>
      </c>
      <c r="C193" s="6">
        <v>3</v>
      </c>
      <c r="D193" t="s">
        <v>4889</v>
      </c>
      <c r="I193">
        <f>18-2.8</f>
        <v>15.2</v>
      </c>
      <c r="J193" t="s">
        <v>5118</v>
      </c>
    </row>
    <row r="194" spans="1:10" x14ac:dyDescent="0.2">
      <c r="A194" t="s">
        <v>5589</v>
      </c>
      <c r="B194" t="s">
        <v>5375</v>
      </c>
      <c r="C194" s="6">
        <v>4</v>
      </c>
      <c r="D194" t="s">
        <v>4889</v>
      </c>
      <c r="I194">
        <f>16.2-1.8</f>
        <v>14.399999999999999</v>
      </c>
      <c r="J194" t="s">
        <v>5778</v>
      </c>
    </row>
    <row r="195" spans="1:10" x14ac:dyDescent="0.2">
      <c r="A195" t="s">
        <v>5589</v>
      </c>
      <c r="B195" t="s">
        <v>5375</v>
      </c>
      <c r="C195" s="6">
        <v>5</v>
      </c>
      <c r="D195" t="s">
        <v>4889</v>
      </c>
      <c r="I195">
        <f>3-1.8</f>
        <v>1.2</v>
      </c>
      <c r="J195" t="s">
        <v>5778</v>
      </c>
    </row>
    <row r="196" spans="1:10" x14ac:dyDescent="0.2">
      <c r="A196" t="s">
        <v>5589</v>
      </c>
      <c r="B196" t="s">
        <v>5375</v>
      </c>
      <c r="C196" s="6">
        <v>6</v>
      </c>
      <c r="D196" t="s">
        <v>4889</v>
      </c>
      <c r="I196">
        <f>4.2-1.8</f>
        <v>2.4000000000000004</v>
      </c>
      <c r="J196" t="s">
        <v>5778</v>
      </c>
    </row>
    <row r="197" spans="1:10" x14ac:dyDescent="0.2">
      <c r="A197" t="s">
        <v>5615</v>
      </c>
      <c r="B197" s="2" t="s">
        <v>5627</v>
      </c>
      <c r="C197" s="6">
        <v>1</v>
      </c>
      <c r="D197">
        <v>1000</v>
      </c>
      <c r="I197">
        <f>39.3-2.8</f>
        <v>36.5</v>
      </c>
      <c r="J197" t="s">
        <v>5118</v>
      </c>
    </row>
    <row r="198" spans="1:10" x14ac:dyDescent="0.2">
      <c r="A198" t="s">
        <v>5615</v>
      </c>
      <c r="B198" s="2" t="s">
        <v>5627</v>
      </c>
      <c r="C198" s="6">
        <v>2</v>
      </c>
      <c r="D198">
        <v>1000</v>
      </c>
      <c r="I198">
        <f>9.2-1.8</f>
        <v>7.3999999999999995</v>
      </c>
      <c r="J198" t="s">
        <v>5788</v>
      </c>
    </row>
    <row r="199" spans="1:10" x14ac:dyDescent="0.2">
      <c r="A199" t="s">
        <v>5615</v>
      </c>
      <c r="B199" s="2" t="s">
        <v>5627</v>
      </c>
      <c r="C199" s="6">
        <v>3</v>
      </c>
      <c r="D199">
        <v>801</v>
      </c>
      <c r="I199">
        <f>15.6-1.8</f>
        <v>13.799999999999999</v>
      </c>
      <c r="J199" t="s">
        <v>5778</v>
      </c>
    </row>
    <row r="200" spans="1:10" x14ac:dyDescent="0.2">
      <c r="A200" t="s">
        <v>5615</v>
      </c>
      <c r="B200" s="2" t="s">
        <v>5627</v>
      </c>
      <c r="C200" s="6">
        <v>4</v>
      </c>
      <c r="D200">
        <v>597</v>
      </c>
      <c r="I200">
        <f>19.7-2.8</f>
        <v>16.899999999999999</v>
      </c>
      <c r="J200" t="s">
        <v>5778</v>
      </c>
    </row>
    <row r="201" spans="1:10" x14ac:dyDescent="0.2">
      <c r="A201" t="s">
        <v>5615</v>
      </c>
      <c r="B201" s="2" t="s">
        <v>5627</v>
      </c>
      <c r="C201" s="6">
        <v>5</v>
      </c>
      <c r="D201">
        <v>400</v>
      </c>
      <c r="I201">
        <f>3.6-1.8</f>
        <v>1.8</v>
      </c>
      <c r="J201" t="s">
        <v>5778</v>
      </c>
    </row>
    <row r="202" spans="1:10" x14ac:dyDescent="0.2">
      <c r="A202" t="s">
        <v>5615</v>
      </c>
      <c r="B202" s="2" t="s">
        <v>5627</v>
      </c>
      <c r="C202" s="6">
        <v>6</v>
      </c>
      <c r="D202">
        <v>199</v>
      </c>
      <c r="I202">
        <f>8.3-1.8</f>
        <v>6.5000000000000009</v>
      </c>
      <c r="J202" t="s">
        <v>5118</v>
      </c>
    </row>
    <row r="203" spans="1:10" x14ac:dyDescent="0.2">
      <c r="A203" t="s">
        <v>5789</v>
      </c>
      <c r="B203" t="s">
        <v>5708</v>
      </c>
      <c r="C203" s="6">
        <v>1</v>
      </c>
      <c r="D203">
        <v>995</v>
      </c>
      <c r="I203">
        <f>53.9-2.8</f>
        <v>51.1</v>
      </c>
      <c r="J203" t="s">
        <v>5790</v>
      </c>
    </row>
    <row r="204" spans="1:10" x14ac:dyDescent="0.2">
      <c r="A204" t="s">
        <v>5789</v>
      </c>
      <c r="B204" t="s">
        <v>5708</v>
      </c>
      <c r="C204" s="6">
        <v>2</v>
      </c>
      <c r="D204">
        <v>995</v>
      </c>
      <c r="I204">
        <f>11-0.5</f>
        <v>10.5</v>
      </c>
      <c r="J204" t="s">
        <v>5118</v>
      </c>
    </row>
    <row r="205" spans="1:10" x14ac:dyDescent="0.2">
      <c r="A205" t="s">
        <v>5789</v>
      </c>
      <c r="B205" t="s">
        <v>5708</v>
      </c>
      <c r="C205" s="6">
        <v>3</v>
      </c>
      <c r="D205">
        <v>795</v>
      </c>
      <c r="I205">
        <v>2.9</v>
      </c>
      <c r="J205" t="s">
        <v>5118</v>
      </c>
    </row>
    <row r="206" spans="1:10" x14ac:dyDescent="0.2">
      <c r="A206" t="s">
        <v>5789</v>
      </c>
      <c r="B206" t="s">
        <v>5708</v>
      </c>
      <c r="C206" s="6">
        <v>4</v>
      </c>
      <c r="D206">
        <v>602</v>
      </c>
      <c r="I206">
        <f>15.9-1.8</f>
        <v>14.1</v>
      </c>
      <c r="J206" t="s">
        <v>5118</v>
      </c>
    </row>
    <row r="207" spans="1:10" x14ac:dyDescent="0.2">
      <c r="A207" t="s">
        <v>5789</v>
      </c>
      <c r="B207" t="s">
        <v>5708</v>
      </c>
      <c r="C207" s="6">
        <v>5</v>
      </c>
      <c r="D207">
        <v>388</v>
      </c>
      <c r="I207">
        <v>0.9</v>
      </c>
      <c r="J207" t="s">
        <v>5778</v>
      </c>
    </row>
    <row r="208" spans="1:10" x14ac:dyDescent="0.2">
      <c r="A208" t="s">
        <v>5789</v>
      </c>
      <c r="B208" t="s">
        <v>5708</v>
      </c>
      <c r="C208" s="6">
        <v>6</v>
      </c>
      <c r="D208">
        <v>201</v>
      </c>
      <c r="I208">
        <v>4</v>
      </c>
      <c r="J208" t="s">
        <v>5118</v>
      </c>
    </row>
    <row r="209" spans="1:10" x14ac:dyDescent="0.2">
      <c r="A209" t="s">
        <v>5707</v>
      </c>
      <c r="B209" t="s">
        <v>5708</v>
      </c>
      <c r="C209" s="6">
        <v>1</v>
      </c>
      <c r="D209">
        <v>999</v>
      </c>
      <c r="I209">
        <f>27.7-2.8</f>
        <v>24.9</v>
      </c>
      <c r="J209" t="s">
        <v>5778</v>
      </c>
    </row>
    <row r="210" spans="1:10" x14ac:dyDescent="0.2">
      <c r="A210" t="s">
        <v>5707</v>
      </c>
      <c r="B210" t="s">
        <v>5708</v>
      </c>
      <c r="C210" s="6">
        <v>2</v>
      </c>
      <c r="D210">
        <v>999</v>
      </c>
      <c r="I210">
        <v>4.4000000000000004</v>
      </c>
      <c r="J210" t="s">
        <v>4888</v>
      </c>
    </row>
    <row r="211" spans="1:10" x14ac:dyDescent="0.2">
      <c r="A211" t="s">
        <v>5707</v>
      </c>
      <c r="B211" t="s">
        <v>5708</v>
      </c>
      <c r="C211" s="6">
        <v>3</v>
      </c>
      <c r="D211">
        <v>806</v>
      </c>
      <c r="I211">
        <v>7.3</v>
      </c>
      <c r="J211" t="s">
        <v>5790</v>
      </c>
    </row>
    <row r="212" spans="1:10" x14ac:dyDescent="0.2">
      <c r="A212" t="s">
        <v>5707</v>
      </c>
      <c r="B212" t="s">
        <v>5708</v>
      </c>
      <c r="C212" s="6">
        <v>4</v>
      </c>
      <c r="D212">
        <v>601</v>
      </c>
      <c r="I212">
        <f>15.6-2.8</f>
        <v>12.8</v>
      </c>
      <c r="J212" t="s">
        <v>5778</v>
      </c>
    </row>
    <row r="213" spans="1:10" x14ac:dyDescent="0.2">
      <c r="A213" t="s">
        <v>5707</v>
      </c>
      <c r="B213" t="s">
        <v>5708</v>
      </c>
      <c r="C213" s="6">
        <v>5</v>
      </c>
      <c r="D213">
        <v>394</v>
      </c>
      <c r="I213">
        <v>8.1999999999999993</v>
      </c>
      <c r="J213" t="s">
        <v>5118</v>
      </c>
    </row>
    <row r="214" spans="1:10" x14ac:dyDescent="0.2">
      <c r="A214" t="s">
        <v>5707</v>
      </c>
      <c r="B214" t="s">
        <v>5708</v>
      </c>
      <c r="C214" s="6">
        <v>6</v>
      </c>
      <c r="D214">
        <v>202</v>
      </c>
      <c r="I214">
        <v>8.3000000000000007</v>
      </c>
      <c r="J214" t="s">
        <v>5118</v>
      </c>
    </row>
    <row r="215" spans="1:10" x14ac:dyDescent="0.2">
      <c r="A215" t="s">
        <v>5727</v>
      </c>
      <c r="B215" t="s">
        <v>5732</v>
      </c>
      <c r="C215" s="6">
        <v>1</v>
      </c>
      <c r="D215" t="s">
        <v>4889</v>
      </c>
      <c r="I215">
        <f>27.9-2.8</f>
        <v>25.099999999999998</v>
      </c>
      <c r="J215" t="s">
        <v>5778</v>
      </c>
    </row>
    <row r="216" spans="1:10" x14ac:dyDescent="0.2">
      <c r="A216" t="s">
        <v>5727</v>
      </c>
      <c r="B216" t="s">
        <v>5732</v>
      </c>
      <c r="C216" s="6">
        <v>2</v>
      </c>
      <c r="D216" t="s">
        <v>4889</v>
      </c>
      <c r="I216">
        <v>5.7</v>
      </c>
      <c r="J216" t="s">
        <v>5118</v>
      </c>
    </row>
    <row r="217" spans="1:10" x14ac:dyDescent="0.2">
      <c r="A217" t="s">
        <v>5727</v>
      </c>
      <c r="B217" t="s">
        <v>5732</v>
      </c>
      <c r="C217" s="6">
        <v>3</v>
      </c>
      <c r="D217" t="s">
        <v>4889</v>
      </c>
      <c r="I217">
        <v>5.9</v>
      </c>
      <c r="J217" t="s">
        <v>5778</v>
      </c>
    </row>
    <row r="218" spans="1:10" x14ac:dyDescent="0.2">
      <c r="A218" t="s">
        <v>5727</v>
      </c>
      <c r="B218" t="s">
        <v>5732</v>
      </c>
      <c r="C218" s="6">
        <v>4</v>
      </c>
      <c r="D218" t="s">
        <v>4889</v>
      </c>
      <c r="I218">
        <v>1</v>
      </c>
      <c r="J218" t="s">
        <v>5118</v>
      </c>
    </row>
    <row r="219" spans="1:10" x14ac:dyDescent="0.2">
      <c r="A219" t="s">
        <v>5727</v>
      </c>
      <c r="B219" t="s">
        <v>5732</v>
      </c>
      <c r="C219" s="6">
        <v>5</v>
      </c>
      <c r="D219" t="s">
        <v>4889</v>
      </c>
      <c r="I219">
        <f>27.7-2.8</f>
        <v>24.9</v>
      </c>
      <c r="J219" t="s">
        <v>5778</v>
      </c>
    </row>
    <row r="220" spans="1:10" x14ac:dyDescent="0.2">
      <c r="A220" t="s">
        <v>5727</v>
      </c>
      <c r="B220" t="s">
        <v>5732</v>
      </c>
      <c r="C220" s="6">
        <v>6</v>
      </c>
      <c r="D220" t="s">
        <v>4889</v>
      </c>
      <c r="I220">
        <v>3.9</v>
      </c>
      <c r="J220" t="s">
        <v>4888</v>
      </c>
    </row>
    <row r="221" spans="1:10" x14ac:dyDescent="0.2">
      <c r="A221" t="s">
        <v>5750</v>
      </c>
      <c r="B221" t="s">
        <v>5732</v>
      </c>
      <c r="C221" s="6">
        <v>1</v>
      </c>
      <c r="D221">
        <v>999</v>
      </c>
      <c r="I221">
        <v>17.8</v>
      </c>
      <c r="J221" t="s">
        <v>5778</v>
      </c>
    </row>
    <row r="222" spans="1:10" x14ac:dyDescent="0.2">
      <c r="A222" t="s">
        <v>5750</v>
      </c>
      <c r="B222" t="s">
        <v>5732</v>
      </c>
      <c r="C222" s="6">
        <v>2</v>
      </c>
      <c r="D222">
        <v>999</v>
      </c>
      <c r="I222">
        <v>3.8</v>
      </c>
      <c r="J222" t="s">
        <v>5118</v>
      </c>
    </row>
    <row r="223" spans="1:10" x14ac:dyDescent="0.2">
      <c r="A223" t="s">
        <v>5750</v>
      </c>
      <c r="B223" t="s">
        <v>5732</v>
      </c>
      <c r="C223" s="6">
        <v>3</v>
      </c>
      <c r="D223">
        <v>800</v>
      </c>
      <c r="I223">
        <v>4.5</v>
      </c>
      <c r="J223" t="s">
        <v>5118</v>
      </c>
    </row>
    <row r="224" spans="1:10" x14ac:dyDescent="0.2">
      <c r="A224" t="s">
        <v>5750</v>
      </c>
      <c r="B224" t="s">
        <v>5732</v>
      </c>
      <c r="C224" s="6">
        <v>4</v>
      </c>
      <c r="D224">
        <v>599</v>
      </c>
      <c r="I224">
        <v>17.899999999999999</v>
      </c>
      <c r="J224" t="s">
        <v>5118</v>
      </c>
    </row>
    <row r="225" spans="1:10" x14ac:dyDescent="0.2">
      <c r="A225" t="s">
        <v>5750</v>
      </c>
      <c r="B225" t="s">
        <v>5732</v>
      </c>
      <c r="C225" s="6">
        <v>5</v>
      </c>
      <c r="D225">
        <v>402</v>
      </c>
      <c r="I225">
        <v>2.2999999999999998</v>
      </c>
      <c r="J225" t="s">
        <v>5118</v>
      </c>
    </row>
    <row r="226" spans="1:10" x14ac:dyDescent="0.2">
      <c r="A226" t="s">
        <v>5750</v>
      </c>
      <c r="B226" t="s">
        <v>5732</v>
      </c>
      <c r="C226" s="6">
        <v>6</v>
      </c>
      <c r="D226">
        <v>195</v>
      </c>
      <c r="I226">
        <v>13.4</v>
      </c>
      <c r="J226" t="s">
        <v>5778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U7413"/>
  <sheetViews>
    <sheetView tabSelected="1" zoomScale="115" zoomScaleNormal="115" zoomScalePageLayoutView="115" workbookViewId="0">
      <pane ySplit="1" topLeftCell="A7361" activePane="bottomLeft" state="frozenSplit"/>
      <selection pane="bottomLeft" activeCell="G5444" sqref="G5444"/>
    </sheetView>
  </sheetViews>
  <sheetFormatPr baseColWidth="10" defaultColWidth="11" defaultRowHeight="16" x14ac:dyDescent="0.2"/>
  <cols>
    <col min="2" max="2" width="9.1640625" bestFit="1" customWidth="1"/>
    <col min="3" max="3" width="10.6640625" bestFit="1" customWidth="1"/>
    <col min="4" max="4" width="10.33203125" bestFit="1" customWidth="1"/>
    <col min="5" max="5" width="20.6640625" customWidth="1"/>
    <col min="6" max="6" width="25.1640625" bestFit="1" customWidth="1"/>
    <col min="7" max="7" width="7.1640625" customWidth="1"/>
    <col min="8" max="8" width="6" customWidth="1"/>
    <col min="9" max="9" width="6.5" customWidth="1"/>
    <col min="10" max="10" width="6.33203125" customWidth="1"/>
    <col min="11" max="11" width="6.5" customWidth="1"/>
    <col min="12" max="14" width="6.1640625" customWidth="1"/>
    <col min="19" max="19" width="30.33203125" customWidth="1"/>
    <col min="20" max="20" width="13.1640625" customWidth="1"/>
    <col min="21" max="21" width="22.5" customWidth="1"/>
  </cols>
  <sheetData>
    <row r="1" spans="1:17" ht="15" customHeight="1" x14ac:dyDescent="0.2">
      <c r="A1" t="s">
        <v>707</v>
      </c>
      <c r="B1" s="21" t="s">
        <v>310</v>
      </c>
      <c r="C1" s="20" t="s">
        <v>9</v>
      </c>
      <c r="D1" s="20" t="s">
        <v>0</v>
      </c>
      <c r="E1" s="20" t="s">
        <v>30</v>
      </c>
      <c r="F1" s="20" t="s">
        <v>31</v>
      </c>
      <c r="G1" s="20" t="s">
        <v>32</v>
      </c>
      <c r="H1" s="20" t="s">
        <v>465</v>
      </c>
      <c r="I1" s="20" t="s">
        <v>35</v>
      </c>
      <c r="J1" s="20" t="s">
        <v>34</v>
      </c>
      <c r="K1" s="20" t="s">
        <v>33</v>
      </c>
      <c r="L1" s="20" t="s">
        <v>38</v>
      </c>
      <c r="M1" s="20" t="s">
        <v>801</v>
      </c>
      <c r="N1" s="20" t="s">
        <v>1570</v>
      </c>
      <c r="O1" s="20" t="s">
        <v>29</v>
      </c>
      <c r="P1" s="20" t="s">
        <v>958</v>
      </c>
      <c r="Q1" s="20" t="s">
        <v>5876</v>
      </c>
    </row>
    <row r="2" spans="1:17" x14ac:dyDescent="0.2">
      <c r="A2" t="s">
        <v>42</v>
      </c>
      <c r="B2" t="s">
        <v>103</v>
      </c>
      <c r="C2">
        <v>6</v>
      </c>
      <c r="D2" t="s">
        <v>95</v>
      </c>
      <c r="E2" t="s">
        <v>146</v>
      </c>
      <c r="F2" t="s">
        <v>104</v>
      </c>
      <c r="G2">
        <v>59</v>
      </c>
      <c r="I2" t="s">
        <v>42</v>
      </c>
      <c r="J2" t="s">
        <v>42</v>
      </c>
      <c r="K2" t="s">
        <v>42</v>
      </c>
      <c r="L2" t="s">
        <v>803</v>
      </c>
      <c r="M2">
        <v>5</v>
      </c>
      <c r="O2" t="s">
        <v>105</v>
      </c>
    </row>
    <row r="3" spans="1:17" x14ac:dyDescent="0.2">
      <c r="A3" t="s">
        <v>42</v>
      </c>
      <c r="B3" t="s">
        <v>103</v>
      </c>
      <c r="C3">
        <v>6</v>
      </c>
      <c r="D3" t="s">
        <v>95</v>
      </c>
      <c r="E3" t="s">
        <v>147</v>
      </c>
      <c r="F3" t="s">
        <v>106</v>
      </c>
      <c r="G3">
        <v>67</v>
      </c>
      <c r="I3" t="s">
        <v>42</v>
      </c>
      <c r="J3" t="s">
        <v>42</v>
      </c>
      <c r="K3" t="s">
        <v>42</v>
      </c>
      <c r="L3" t="s">
        <v>803</v>
      </c>
      <c r="M3" t="s">
        <v>802</v>
      </c>
      <c r="O3" t="s">
        <v>107</v>
      </c>
    </row>
    <row r="4" spans="1:17" x14ac:dyDescent="0.2">
      <c r="A4" t="s">
        <v>42</v>
      </c>
      <c r="B4" t="s">
        <v>103</v>
      </c>
      <c r="C4">
        <v>6</v>
      </c>
      <c r="D4" t="s">
        <v>95</v>
      </c>
      <c r="E4" t="s">
        <v>148</v>
      </c>
      <c r="F4" t="s">
        <v>108</v>
      </c>
      <c r="G4">
        <v>3</v>
      </c>
      <c r="I4" t="s">
        <v>42</v>
      </c>
      <c r="J4" t="s">
        <v>42</v>
      </c>
      <c r="K4" t="s">
        <v>42</v>
      </c>
      <c r="L4" t="s">
        <v>300</v>
      </c>
      <c r="M4">
        <v>4</v>
      </c>
      <c r="O4" t="s">
        <v>109</v>
      </c>
    </row>
    <row r="5" spans="1:17" x14ac:dyDescent="0.2">
      <c r="A5" t="s">
        <v>42</v>
      </c>
      <c r="B5" t="s">
        <v>103</v>
      </c>
      <c r="C5">
        <v>6</v>
      </c>
      <c r="D5" t="s">
        <v>95</v>
      </c>
      <c r="E5" t="s">
        <v>149</v>
      </c>
      <c r="F5" t="s">
        <v>110</v>
      </c>
      <c r="G5">
        <v>627</v>
      </c>
      <c r="L5" t="s">
        <v>803</v>
      </c>
      <c r="M5" t="s">
        <v>802</v>
      </c>
      <c r="O5" t="s">
        <v>111</v>
      </c>
    </row>
    <row r="6" spans="1:17" x14ac:dyDescent="0.2">
      <c r="A6" t="s">
        <v>42</v>
      </c>
      <c r="B6" t="s">
        <v>103</v>
      </c>
      <c r="C6">
        <v>6</v>
      </c>
      <c r="D6" t="s">
        <v>95</v>
      </c>
      <c r="E6" t="s">
        <v>150</v>
      </c>
      <c r="F6" t="s">
        <v>112</v>
      </c>
      <c r="G6">
        <v>1</v>
      </c>
      <c r="I6">
        <v>33</v>
      </c>
      <c r="L6" t="s">
        <v>803</v>
      </c>
    </row>
    <row r="7" spans="1:17" x14ac:dyDescent="0.2">
      <c r="A7" t="s">
        <v>42</v>
      </c>
      <c r="B7" t="s">
        <v>103</v>
      </c>
      <c r="C7">
        <v>6</v>
      </c>
      <c r="D7" t="s">
        <v>95</v>
      </c>
      <c r="E7" t="s">
        <v>151</v>
      </c>
      <c r="F7" t="s">
        <v>112</v>
      </c>
      <c r="G7">
        <v>1</v>
      </c>
      <c r="I7">
        <v>37</v>
      </c>
    </row>
    <row r="8" spans="1:17" x14ac:dyDescent="0.2">
      <c r="A8" t="s">
        <v>42</v>
      </c>
      <c r="B8" t="s">
        <v>103</v>
      </c>
      <c r="C8">
        <v>6</v>
      </c>
      <c r="D8" t="s">
        <v>95</v>
      </c>
      <c r="E8" t="s">
        <v>152</v>
      </c>
      <c r="F8" t="s">
        <v>113</v>
      </c>
      <c r="G8" t="s">
        <v>114</v>
      </c>
      <c r="I8">
        <v>28</v>
      </c>
    </row>
    <row r="9" spans="1:17" x14ac:dyDescent="0.2">
      <c r="A9" t="s">
        <v>42</v>
      </c>
      <c r="B9" t="s">
        <v>103</v>
      </c>
      <c r="C9">
        <v>6</v>
      </c>
      <c r="D9" t="s">
        <v>95</v>
      </c>
      <c r="E9" t="s">
        <v>153</v>
      </c>
      <c r="F9" t="s">
        <v>115</v>
      </c>
      <c r="G9">
        <v>1</v>
      </c>
    </row>
    <row r="10" spans="1:17" x14ac:dyDescent="0.2">
      <c r="A10" t="s">
        <v>42</v>
      </c>
      <c r="B10" t="s">
        <v>103</v>
      </c>
      <c r="C10">
        <v>6</v>
      </c>
      <c r="D10" t="s">
        <v>95</v>
      </c>
      <c r="E10" t="s">
        <v>154</v>
      </c>
      <c r="F10" t="s">
        <v>116</v>
      </c>
      <c r="G10">
        <v>8</v>
      </c>
      <c r="O10" t="s">
        <v>117</v>
      </c>
    </row>
    <row r="11" spans="1:17" x14ac:dyDescent="0.2">
      <c r="A11" t="s">
        <v>42</v>
      </c>
      <c r="B11" t="s">
        <v>103</v>
      </c>
      <c r="C11">
        <v>6</v>
      </c>
      <c r="D11" t="s">
        <v>95</v>
      </c>
      <c r="E11" t="s">
        <v>155</v>
      </c>
      <c r="F11" t="s">
        <v>118</v>
      </c>
      <c r="G11">
        <v>10</v>
      </c>
      <c r="O11" t="s">
        <v>119</v>
      </c>
    </row>
    <row r="12" spans="1:17" x14ac:dyDescent="0.2">
      <c r="A12" t="s">
        <v>42</v>
      </c>
      <c r="B12" t="s">
        <v>103</v>
      </c>
      <c r="C12">
        <v>6</v>
      </c>
      <c r="D12" t="s">
        <v>95</v>
      </c>
      <c r="E12" t="s">
        <v>156</v>
      </c>
      <c r="F12" t="s">
        <v>121</v>
      </c>
      <c r="G12">
        <v>1</v>
      </c>
      <c r="O12" t="s">
        <v>120</v>
      </c>
    </row>
    <row r="13" spans="1:17" x14ac:dyDescent="0.2">
      <c r="A13" t="s">
        <v>42</v>
      </c>
      <c r="B13" t="s">
        <v>103</v>
      </c>
      <c r="C13">
        <v>6</v>
      </c>
      <c r="D13" t="s">
        <v>95</v>
      </c>
      <c r="E13" t="s">
        <v>157</v>
      </c>
      <c r="F13" t="s">
        <v>122</v>
      </c>
      <c r="G13">
        <v>1</v>
      </c>
      <c r="O13" t="s">
        <v>124</v>
      </c>
    </row>
    <row r="14" spans="1:17" x14ac:dyDescent="0.2">
      <c r="A14" t="s">
        <v>42</v>
      </c>
      <c r="B14" t="s">
        <v>103</v>
      </c>
      <c r="C14">
        <v>6</v>
      </c>
      <c r="D14" t="s">
        <v>95</v>
      </c>
      <c r="E14" t="s">
        <v>158</v>
      </c>
      <c r="F14" t="s">
        <v>125</v>
      </c>
      <c r="G14">
        <v>4</v>
      </c>
    </row>
    <row r="15" spans="1:17" x14ac:dyDescent="0.2">
      <c r="A15" t="s">
        <v>42</v>
      </c>
      <c r="B15" t="s">
        <v>103</v>
      </c>
      <c r="C15">
        <v>6</v>
      </c>
      <c r="D15" t="s">
        <v>95</v>
      </c>
      <c r="E15" t="s">
        <v>159</v>
      </c>
      <c r="F15" t="s">
        <v>126</v>
      </c>
      <c r="G15">
        <v>1</v>
      </c>
      <c r="O15" t="s">
        <v>127</v>
      </c>
    </row>
    <row r="16" spans="1:17" x14ac:dyDescent="0.2">
      <c r="A16" t="s">
        <v>42</v>
      </c>
      <c r="B16" t="s">
        <v>103</v>
      </c>
      <c r="C16">
        <v>6</v>
      </c>
      <c r="D16" t="s">
        <v>95</v>
      </c>
      <c r="E16" t="s">
        <v>160</v>
      </c>
      <c r="F16" t="s">
        <v>128</v>
      </c>
      <c r="G16">
        <v>1</v>
      </c>
      <c r="O16" t="s">
        <v>129</v>
      </c>
    </row>
    <row r="17" spans="1:15" x14ac:dyDescent="0.2">
      <c r="A17" t="s">
        <v>42</v>
      </c>
      <c r="B17" t="s">
        <v>103</v>
      </c>
      <c r="C17">
        <v>6</v>
      </c>
      <c r="D17" t="s">
        <v>95</v>
      </c>
      <c r="E17" t="s">
        <v>161</v>
      </c>
      <c r="F17" t="s">
        <v>130</v>
      </c>
      <c r="G17">
        <v>1</v>
      </c>
      <c r="O17" t="s">
        <v>132</v>
      </c>
    </row>
    <row r="18" spans="1:15" x14ac:dyDescent="0.2">
      <c r="A18" t="s">
        <v>42</v>
      </c>
      <c r="B18" t="s">
        <v>103</v>
      </c>
      <c r="C18">
        <v>6</v>
      </c>
      <c r="D18" t="s">
        <v>95</v>
      </c>
      <c r="E18" t="s">
        <v>162</v>
      </c>
      <c r="F18" t="s">
        <v>130</v>
      </c>
      <c r="G18">
        <v>1</v>
      </c>
      <c r="O18" t="s">
        <v>131</v>
      </c>
    </row>
    <row r="19" spans="1:15" x14ac:dyDescent="0.2">
      <c r="A19" t="s">
        <v>42</v>
      </c>
      <c r="B19" t="s">
        <v>103</v>
      </c>
      <c r="C19">
        <v>6</v>
      </c>
      <c r="D19" t="s">
        <v>95</v>
      </c>
      <c r="E19" t="s">
        <v>163</v>
      </c>
      <c r="F19" t="s">
        <v>130</v>
      </c>
      <c r="G19">
        <v>2</v>
      </c>
      <c r="O19" t="s">
        <v>133</v>
      </c>
    </row>
    <row r="20" spans="1:15" x14ac:dyDescent="0.2">
      <c r="A20" t="s">
        <v>42</v>
      </c>
      <c r="B20" t="s">
        <v>103</v>
      </c>
      <c r="C20">
        <v>6</v>
      </c>
      <c r="D20" t="s">
        <v>95</v>
      </c>
      <c r="E20" t="s">
        <v>164</v>
      </c>
      <c r="F20" t="s">
        <v>134</v>
      </c>
      <c r="G20">
        <v>13</v>
      </c>
      <c r="I20">
        <v>522</v>
      </c>
      <c r="O20" t="s">
        <v>135</v>
      </c>
    </row>
    <row r="21" spans="1:15" x14ac:dyDescent="0.2">
      <c r="A21" t="s">
        <v>42</v>
      </c>
      <c r="B21" t="s">
        <v>103</v>
      </c>
      <c r="C21">
        <v>6</v>
      </c>
      <c r="D21" t="s">
        <v>95</v>
      </c>
      <c r="E21" t="s">
        <v>165</v>
      </c>
      <c r="F21" t="s">
        <v>136</v>
      </c>
      <c r="G21">
        <v>7</v>
      </c>
      <c r="O21" t="s">
        <v>137</v>
      </c>
    </row>
    <row r="22" spans="1:15" x14ac:dyDescent="0.2">
      <c r="A22" t="s">
        <v>42</v>
      </c>
      <c r="B22" t="s">
        <v>103</v>
      </c>
      <c r="C22">
        <v>6</v>
      </c>
      <c r="D22" t="s">
        <v>95</v>
      </c>
      <c r="E22" t="s">
        <v>166</v>
      </c>
      <c r="F22" t="s">
        <v>130</v>
      </c>
      <c r="G22">
        <v>27</v>
      </c>
      <c r="O22" t="s">
        <v>138</v>
      </c>
    </row>
    <row r="23" spans="1:15" x14ac:dyDescent="0.2">
      <c r="A23" t="s">
        <v>42</v>
      </c>
      <c r="B23" t="s">
        <v>103</v>
      </c>
      <c r="C23">
        <v>6</v>
      </c>
      <c r="D23" t="s">
        <v>95</v>
      </c>
      <c r="E23" t="s">
        <v>167</v>
      </c>
      <c r="F23" t="s">
        <v>130</v>
      </c>
      <c r="G23">
        <v>3</v>
      </c>
      <c r="O23" t="s">
        <v>139</v>
      </c>
    </row>
    <row r="24" spans="1:15" x14ac:dyDescent="0.2">
      <c r="A24" t="s">
        <v>42</v>
      </c>
      <c r="B24" t="s">
        <v>103</v>
      </c>
      <c r="C24">
        <v>6</v>
      </c>
      <c r="D24" t="s">
        <v>95</v>
      </c>
      <c r="E24" t="s">
        <v>168</v>
      </c>
      <c r="F24" t="s">
        <v>140</v>
      </c>
      <c r="G24">
        <v>15</v>
      </c>
      <c r="I24">
        <v>100</v>
      </c>
      <c r="K24">
        <v>85</v>
      </c>
      <c r="O24" t="s">
        <v>141</v>
      </c>
    </row>
    <row r="25" spans="1:15" x14ac:dyDescent="0.2">
      <c r="A25" t="s">
        <v>42</v>
      </c>
      <c r="B25" t="s">
        <v>103</v>
      </c>
      <c r="C25">
        <v>6</v>
      </c>
      <c r="D25" t="s">
        <v>95</v>
      </c>
      <c r="E25" t="s">
        <v>169</v>
      </c>
      <c r="F25" t="s">
        <v>142</v>
      </c>
      <c r="G25">
        <v>15</v>
      </c>
      <c r="O25" t="s">
        <v>143</v>
      </c>
    </row>
    <row r="26" spans="1:15" x14ac:dyDescent="0.2">
      <c r="A26" t="s">
        <v>42</v>
      </c>
      <c r="B26" t="s">
        <v>103</v>
      </c>
      <c r="C26">
        <v>6</v>
      </c>
      <c r="D26" t="s">
        <v>95</v>
      </c>
      <c r="E26" t="s">
        <v>170</v>
      </c>
      <c r="F26" t="s">
        <v>144</v>
      </c>
      <c r="G26">
        <v>1</v>
      </c>
      <c r="I26">
        <v>127</v>
      </c>
      <c r="K26">
        <v>120</v>
      </c>
      <c r="O26" t="s">
        <v>127</v>
      </c>
    </row>
    <row r="27" spans="1:15" x14ac:dyDescent="0.2">
      <c r="A27" t="s">
        <v>42</v>
      </c>
      <c r="B27" t="s">
        <v>103</v>
      </c>
      <c r="C27">
        <v>6</v>
      </c>
      <c r="D27" t="s">
        <v>95</v>
      </c>
      <c r="E27" t="s">
        <v>171</v>
      </c>
      <c r="F27" t="s">
        <v>145</v>
      </c>
      <c r="G27">
        <v>10</v>
      </c>
      <c r="O27" t="s">
        <v>138</v>
      </c>
    </row>
    <row r="28" spans="1:15" x14ac:dyDescent="0.2">
      <c r="A28" t="s">
        <v>42</v>
      </c>
      <c r="B28" t="s">
        <v>103</v>
      </c>
      <c r="C28">
        <v>5</v>
      </c>
      <c r="D28" t="s">
        <v>95</v>
      </c>
      <c r="E28" t="s">
        <v>172</v>
      </c>
      <c r="F28" t="s">
        <v>178</v>
      </c>
      <c r="G28">
        <v>44</v>
      </c>
      <c r="O28" t="s">
        <v>138</v>
      </c>
    </row>
    <row r="29" spans="1:15" x14ac:dyDescent="0.2">
      <c r="A29" t="s">
        <v>42</v>
      </c>
      <c r="B29" t="s">
        <v>103</v>
      </c>
      <c r="C29">
        <v>5</v>
      </c>
      <c r="D29" t="s">
        <v>95</v>
      </c>
      <c r="E29" t="s">
        <v>173</v>
      </c>
      <c r="F29" t="s">
        <v>179</v>
      </c>
      <c r="G29">
        <v>6</v>
      </c>
      <c r="O29" t="s">
        <v>180</v>
      </c>
    </row>
    <row r="30" spans="1:15" x14ac:dyDescent="0.2">
      <c r="A30" t="s">
        <v>42</v>
      </c>
      <c r="B30" t="s">
        <v>103</v>
      </c>
      <c r="C30">
        <v>5</v>
      </c>
      <c r="D30" t="s">
        <v>95</v>
      </c>
      <c r="E30" t="s">
        <v>174</v>
      </c>
      <c r="F30" t="s">
        <v>130</v>
      </c>
      <c r="G30">
        <v>2</v>
      </c>
      <c r="O30" t="s">
        <v>181</v>
      </c>
    </row>
    <row r="31" spans="1:15" x14ac:dyDescent="0.2">
      <c r="A31" t="s">
        <v>42</v>
      </c>
      <c r="B31" t="s">
        <v>103</v>
      </c>
      <c r="C31">
        <v>5</v>
      </c>
      <c r="D31" t="s">
        <v>95</v>
      </c>
      <c r="E31" t="s">
        <v>175</v>
      </c>
      <c r="F31" t="s">
        <v>182</v>
      </c>
      <c r="G31">
        <v>9</v>
      </c>
      <c r="I31">
        <v>80</v>
      </c>
      <c r="K31">
        <v>69</v>
      </c>
      <c r="O31" t="s">
        <v>183</v>
      </c>
    </row>
    <row r="32" spans="1:15" x14ac:dyDescent="0.2">
      <c r="A32" t="s">
        <v>42</v>
      </c>
      <c r="B32" t="s">
        <v>103</v>
      </c>
      <c r="C32">
        <v>5</v>
      </c>
      <c r="D32" t="s">
        <v>95</v>
      </c>
      <c r="E32" t="s">
        <v>176</v>
      </c>
      <c r="F32" t="s">
        <v>182</v>
      </c>
      <c r="G32">
        <v>10</v>
      </c>
      <c r="I32">
        <v>79</v>
      </c>
      <c r="K32">
        <v>70</v>
      </c>
      <c r="O32" t="s">
        <v>183</v>
      </c>
    </row>
    <row r="33" spans="1:15" x14ac:dyDescent="0.2">
      <c r="A33" t="s">
        <v>42</v>
      </c>
      <c r="B33" t="s">
        <v>103</v>
      </c>
      <c r="C33">
        <v>5</v>
      </c>
      <c r="D33" t="s">
        <v>95</v>
      </c>
      <c r="E33" t="s">
        <v>177</v>
      </c>
      <c r="F33" t="s">
        <v>182</v>
      </c>
      <c r="G33">
        <v>7</v>
      </c>
      <c r="I33">
        <v>73</v>
      </c>
      <c r="K33">
        <v>62</v>
      </c>
      <c r="O33" t="s">
        <v>183</v>
      </c>
    </row>
    <row r="34" spans="1:15" x14ac:dyDescent="0.2">
      <c r="A34" t="s">
        <v>42</v>
      </c>
      <c r="B34" t="s">
        <v>103</v>
      </c>
      <c r="C34">
        <v>5</v>
      </c>
      <c r="D34" t="s">
        <v>95</v>
      </c>
      <c r="E34" t="s">
        <v>184</v>
      </c>
      <c r="F34" t="s">
        <v>192</v>
      </c>
      <c r="G34">
        <v>4</v>
      </c>
      <c r="I34">
        <v>74</v>
      </c>
      <c r="K34">
        <v>67</v>
      </c>
    </row>
    <row r="35" spans="1:15" x14ac:dyDescent="0.2">
      <c r="A35" t="s">
        <v>42</v>
      </c>
      <c r="B35" t="s">
        <v>103</v>
      </c>
      <c r="C35">
        <v>5</v>
      </c>
      <c r="D35" t="s">
        <v>95</v>
      </c>
      <c r="E35" t="s">
        <v>185</v>
      </c>
      <c r="F35" t="s">
        <v>182</v>
      </c>
      <c r="G35">
        <v>2</v>
      </c>
      <c r="I35">
        <v>32</v>
      </c>
      <c r="K35">
        <v>25</v>
      </c>
      <c r="O35" t="s">
        <v>193</v>
      </c>
    </row>
    <row r="36" spans="1:15" x14ac:dyDescent="0.2">
      <c r="A36" t="s">
        <v>42</v>
      </c>
      <c r="B36" t="s">
        <v>103</v>
      </c>
      <c r="C36">
        <v>5</v>
      </c>
      <c r="D36" t="s">
        <v>95</v>
      </c>
      <c r="E36" t="s">
        <v>186</v>
      </c>
      <c r="F36" t="s">
        <v>144</v>
      </c>
      <c r="G36">
        <v>3</v>
      </c>
      <c r="O36" t="s">
        <v>194</v>
      </c>
    </row>
    <row r="37" spans="1:15" x14ac:dyDescent="0.2">
      <c r="A37" t="s">
        <v>42</v>
      </c>
      <c r="B37" t="s">
        <v>103</v>
      </c>
      <c r="C37">
        <v>5</v>
      </c>
      <c r="D37" t="s">
        <v>95</v>
      </c>
      <c r="E37" t="s">
        <v>187</v>
      </c>
      <c r="F37" t="s">
        <v>130</v>
      </c>
      <c r="G37">
        <v>2</v>
      </c>
      <c r="O37" t="s">
        <v>195</v>
      </c>
    </row>
    <row r="38" spans="1:15" x14ac:dyDescent="0.2">
      <c r="A38" t="s">
        <v>42</v>
      </c>
      <c r="B38" t="s">
        <v>103</v>
      </c>
      <c r="C38">
        <v>5</v>
      </c>
      <c r="D38" t="s">
        <v>95</v>
      </c>
      <c r="E38" t="s">
        <v>188</v>
      </c>
      <c r="F38" t="s">
        <v>192</v>
      </c>
      <c r="G38">
        <v>3</v>
      </c>
      <c r="K38">
        <v>90</v>
      </c>
    </row>
    <row r="39" spans="1:15" x14ac:dyDescent="0.2">
      <c r="A39" t="s">
        <v>42</v>
      </c>
      <c r="B39" t="s">
        <v>103</v>
      </c>
      <c r="C39">
        <v>5</v>
      </c>
      <c r="D39" t="s">
        <v>95</v>
      </c>
      <c r="E39" t="s">
        <v>189</v>
      </c>
      <c r="F39" t="s">
        <v>192</v>
      </c>
      <c r="G39">
        <v>4</v>
      </c>
      <c r="K39">
        <v>98</v>
      </c>
    </row>
    <row r="40" spans="1:15" x14ac:dyDescent="0.2">
      <c r="A40" t="s">
        <v>42</v>
      </c>
      <c r="B40" t="s">
        <v>103</v>
      </c>
      <c r="C40">
        <v>5</v>
      </c>
      <c r="D40" t="s">
        <v>95</v>
      </c>
      <c r="E40" t="s">
        <v>190</v>
      </c>
      <c r="F40" t="s">
        <v>192</v>
      </c>
      <c r="G40">
        <v>4</v>
      </c>
      <c r="K40">
        <v>85</v>
      </c>
    </row>
    <row r="41" spans="1:15" x14ac:dyDescent="0.2">
      <c r="A41" t="s">
        <v>42</v>
      </c>
      <c r="B41" t="s">
        <v>103</v>
      </c>
      <c r="C41">
        <v>5</v>
      </c>
      <c r="D41" t="s">
        <v>95</v>
      </c>
      <c r="E41" t="s">
        <v>191</v>
      </c>
      <c r="F41" t="s">
        <v>192</v>
      </c>
      <c r="G41">
        <v>4</v>
      </c>
      <c r="K41">
        <v>91</v>
      </c>
    </row>
    <row r="42" spans="1:15" x14ac:dyDescent="0.2">
      <c r="A42" t="s">
        <v>42</v>
      </c>
      <c r="B42" t="s">
        <v>103</v>
      </c>
      <c r="C42">
        <v>5</v>
      </c>
      <c r="D42" t="s">
        <v>95</v>
      </c>
      <c r="E42" t="s">
        <v>196</v>
      </c>
      <c r="F42" t="s">
        <v>192</v>
      </c>
      <c r="G42">
        <v>4</v>
      </c>
      <c r="K42">
        <v>90</v>
      </c>
    </row>
    <row r="43" spans="1:15" x14ac:dyDescent="0.2">
      <c r="A43" t="s">
        <v>42</v>
      </c>
      <c r="B43" t="s">
        <v>103</v>
      </c>
      <c r="C43">
        <v>5</v>
      </c>
      <c r="D43" t="s">
        <v>95</v>
      </c>
      <c r="E43" t="s">
        <v>197</v>
      </c>
      <c r="F43" t="s">
        <v>192</v>
      </c>
      <c r="G43">
        <v>4</v>
      </c>
      <c r="K43">
        <v>92</v>
      </c>
    </row>
    <row r="44" spans="1:15" x14ac:dyDescent="0.2">
      <c r="A44" t="s">
        <v>42</v>
      </c>
      <c r="B44" t="s">
        <v>103</v>
      </c>
      <c r="C44">
        <v>5</v>
      </c>
      <c r="D44" t="s">
        <v>95</v>
      </c>
      <c r="E44" t="s">
        <v>198</v>
      </c>
      <c r="F44" t="s">
        <v>192</v>
      </c>
      <c r="G44">
        <v>4</v>
      </c>
      <c r="K44">
        <v>93</v>
      </c>
    </row>
    <row r="45" spans="1:15" x14ac:dyDescent="0.2">
      <c r="A45" t="s">
        <v>42</v>
      </c>
      <c r="B45" t="s">
        <v>103</v>
      </c>
      <c r="C45">
        <v>5</v>
      </c>
      <c r="D45" t="s">
        <v>95</v>
      </c>
      <c r="E45" t="s">
        <v>199</v>
      </c>
      <c r="F45" t="s">
        <v>192</v>
      </c>
      <c r="G45">
        <v>3</v>
      </c>
      <c r="K45">
        <v>88</v>
      </c>
    </row>
    <row r="46" spans="1:15" x14ac:dyDescent="0.2">
      <c r="A46" t="s">
        <v>42</v>
      </c>
      <c r="B46" t="s">
        <v>103</v>
      </c>
      <c r="C46">
        <v>5</v>
      </c>
      <c r="D46" t="s">
        <v>95</v>
      </c>
      <c r="E46" t="s">
        <v>200</v>
      </c>
      <c r="F46" t="s">
        <v>192</v>
      </c>
      <c r="G46">
        <v>4</v>
      </c>
      <c r="K46">
        <v>90</v>
      </c>
    </row>
    <row r="47" spans="1:15" x14ac:dyDescent="0.2">
      <c r="A47" t="s">
        <v>42</v>
      </c>
      <c r="B47" t="s">
        <v>103</v>
      </c>
      <c r="C47">
        <v>5</v>
      </c>
      <c r="D47" t="s">
        <v>95</v>
      </c>
      <c r="E47" t="s">
        <v>201</v>
      </c>
      <c r="F47" t="s">
        <v>202</v>
      </c>
      <c r="G47">
        <v>13</v>
      </c>
      <c r="O47" t="s">
        <v>203</v>
      </c>
    </row>
    <row r="48" spans="1:15" x14ac:dyDescent="0.2">
      <c r="A48" t="s">
        <v>42</v>
      </c>
      <c r="B48" t="s">
        <v>103</v>
      </c>
      <c r="C48">
        <v>5</v>
      </c>
      <c r="D48" t="s">
        <v>95</v>
      </c>
      <c r="E48" t="s">
        <v>204</v>
      </c>
      <c r="F48" t="s">
        <v>113</v>
      </c>
      <c r="G48">
        <v>2</v>
      </c>
      <c r="I48">
        <v>70</v>
      </c>
      <c r="O48" t="s">
        <v>211</v>
      </c>
    </row>
    <row r="49" spans="1:15" x14ac:dyDescent="0.2">
      <c r="A49" t="s">
        <v>42</v>
      </c>
      <c r="B49" t="s">
        <v>103</v>
      </c>
      <c r="C49">
        <v>5</v>
      </c>
      <c r="D49" t="s">
        <v>95</v>
      </c>
      <c r="E49" t="s">
        <v>205</v>
      </c>
      <c r="F49" t="s">
        <v>118</v>
      </c>
      <c r="G49">
        <v>1</v>
      </c>
      <c r="O49" t="s">
        <v>212</v>
      </c>
    </row>
    <row r="50" spans="1:15" x14ac:dyDescent="0.2">
      <c r="A50" t="s">
        <v>42</v>
      </c>
      <c r="B50" t="s">
        <v>103</v>
      </c>
      <c r="C50">
        <v>5</v>
      </c>
      <c r="D50" t="s">
        <v>95</v>
      </c>
      <c r="E50" t="s">
        <v>206</v>
      </c>
      <c r="F50" t="s">
        <v>213</v>
      </c>
      <c r="G50">
        <v>2</v>
      </c>
    </row>
    <row r="51" spans="1:15" x14ac:dyDescent="0.2">
      <c r="A51" t="s">
        <v>42</v>
      </c>
      <c r="B51" t="s">
        <v>103</v>
      </c>
      <c r="C51">
        <v>5</v>
      </c>
      <c r="D51" t="s">
        <v>95</v>
      </c>
      <c r="E51" t="s">
        <v>207</v>
      </c>
      <c r="F51" t="s">
        <v>178</v>
      </c>
      <c r="G51">
        <v>110</v>
      </c>
      <c r="O51" t="s">
        <v>181</v>
      </c>
    </row>
    <row r="52" spans="1:15" x14ac:dyDescent="0.2">
      <c r="A52" t="s">
        <v>42</v>
      </c>
      <c r="B52" t="s">
        <v>103</v>
      </c>
      <c r="C52">
        <v>5</v>
      </c>
      <c r="D52" t="s">
        <v>95</v>
      </c>
      <c r="E52" t="s">
        <v>208</v>
      </c>
      <c r="F52" t="s">
        <v>214</v>
      </c>
      <c r="G52">
        <v>26</v>
      </c>
      <c r="I52">
        <v>206</v>
      </c>
      <c r="K52">
        <v>192</v>
      </c>
    </row>
    <row r="53" spans="1:15" x14ac:dyDescent="0.2">
      <c r="A53" t="s">
        <v>42</v>
      </c>
      <c r="B53" t="s">
        <v>103</v>
      </c>
      <c r="C53">
        <v>5</v>
      </c>
      <c r="D53" t="s">
        <v>95</v>
      </c>
      <c r="E53" t="s">
        <v>209</v>
      </c>
      <c r="F53" t="s">
        <v>214</v>
      </c>
      <c r="G53">
        <v>19</v>
      </c>
      <c r="I53">
        <v>180</v>
      </c>
      <c r="K53">
        <v>168</v>
      </c>
    </row>
    <row r="54" spans="1:15" x14ac:dyDescent="0.2">
      <c r="A54" t="s">
        <v>42</v>
      </c>
      <c r="B54" t="s">
        <v>103</v>
      </c>
      <c r="C54">
        <v>5</v>
      </c>
      <c r="D54" t="s">
        <v>95</v>
      </c>
      <c r="E54" t="s">
        <v>210</v>
      </c>
      <c r="F54" s="6" t="s">
        <v>214</v>
      </c>
      <c r="G54">
        <v>14</v>
      </c>
      <c r="I54">
        <v>162</v>
      </c>
      <c r="K54">
        <v>153</v>
      </c>
    </row>
    <row r="55" spans="1:15" x14ac:dyDescent="0.2">
      <c r="A55" t="s">
        <v>42</v>
      </c>
      <c r="B55" t="s">
        <v>103</v>
      </c>
      <c r="C55">
        <v>5</v>
      </c>
      <c r="D55" t="s">
        <v>95</v>
      </c>
      <c r="E55" t="s">
        <v>215</v>
      </c>
      <c r="F55" t="s">
        <v>220</v>
      </c>
      <c r="G55">
        <v>12</v>
      </c>
      <c r="I55">
        <v>179</v>
      </c>
      <c r="K55">
        <v>172</v>
      </c>
    </row>
    <row r="56" spans="1:15" x14ac:dyDescent="0.2">
      <c r="A56" t="s">
        <v>42</v>
      </c>
      <c r="B56" t="s">
        <v>103</v>
      </c>
      <c r="C56">
        <v>5</v>
      </c>
      <c r="D56" t="s">
        <v>95</v>
      </c>
      <c r="E56" t="s">
        <v>216</v>
      </c>
      <c r="F56" t="s">
        <v>182</v>
      </c>
      <c r="G56">
        <v>11</v>
      </c>
      <c r="I56">
        <v>185</v>
      </c>
      <c r="K56">
        <v>174</v>
      </c>
    </row>
    <row r="57" spans="1:15" x14ac:dyDescent="0.2">
      <c r="A57" t="s">
        <v>42</v>
      </c>
      <c r="B57" t="s">
        <v>103</v>
      </c>
      <c r="C57">
        <v>5</v>
      </c>
      <c r="D57" t="s">
        <v>95</v>
      </c>
      <c r="E57" t="s">
        <v>217</v>
      </c>
      <c r="F57" s="6" t="s">
        <v>182</v>
      </c>
      <c r="G57">
        <v>10</v>
      </c>
      <c r="I57">
        <v>85</v>
      </c>
      <c r="K57">
        <v>73</v>
      </c>
    </row>
    <row r="58" spans="1:15" x14ac:dyDescent="0.2">
      <c r="A58" t="s">
        <v>42</v>
      </c>
      <c r="B58" t="s">
        <v>103</v>
      </c>
      <c r="C58">
        <v>5</v>
      </c>
      <c r="D58" t="s">
        <v>95</v>
      </c>
      <c r="E58" t="s">
        <v>218</v>
      </c>
      <c r="F58" s="6" t="s">
        <v>182</v>
      </c>
      <c r="G58">
        <v>5</v>
      </c>
      <c r="I58">
        <v>67</v>
      </c>
      <c r="K58">
        <v>58</v>
      </c>
    </row>
    <row r="59" spans="1:15" x14ac:dyDescent="0.2">
      <c r="A59" t="s">
        <v>42</v>
      </c>
      <c r="B59" t="s">
        <v>103</v>
      </c>
      <c r="C59">
        <v>5</v>
      </c>
      <c r="D59" t="s">
        <v>95</v>
      </c>
      <c r="E59" t="s">
        <v>219</v>
      </c>
      <c r="F59" s="6" t="s">
        <v>182</v>
      </c>
      <c r="G59">
        <v>5</v>
      </c>
      <c r="I59">
        <v>65</v>
      </c>
      <c r="K59">
        <v>56</v>
      </c>
    </row>
    <row r="60" spans="1:15" x14ac:dyDescent="0.2">
      <c r="A60" t="s">
        <v>42</v>
      </c>
      <c r="B60" t="s">
        <v>103</v>
      </c>
      <c r="C60">
        <v>5</v>
      </c>
      <c r="D60" t="s">
        <v>95</v>
      </c>
      <c r="E60" t="s">
        <v>221</v>
      </c>
      <c r="F60" s="6" t="s">
        <v>182</v>
      </c>
      <c r="G60">
        <v>4</v>
      </c>
      <c r="I60">
        <v>63</v>
      </c>
      <c r="K60">
        <v>54</v>
      </c>
    </row>
    <row r="61" spans="1:15" x14ac:dyDescent="0.2">
      <c r="A61" t="s">
        <v>42</v>
      </c>
      <c r="B61" t="s">
        <v>103</v>
      </c>
      <c r="C61">
        <v>5</v>
      </c>
      <c r="D61" t="s">
        <v>95</v>
      </c>
      <c r="E61" t="s">
        <v>222</v>
      </c>
      <c r="F61" s="6" t="s">
        <v>228</v>
      </c>
      <c r="G61">
        <v>2</v>
      </c>
      <c r="I61">
        <v>61</v>
      </c>
      <c r="K61">
        <v>52</v>
      </c>
    </row>
    <row r="62" spans="1:15" x14ac:dyDescent="0.2">
      <c r="A62" t="s">
        <v>42</v>
      </c>
      <c r="B62" t="s">
        <v>103</v>
      </c>
      <c r="C62">
        <v>5</v>
      </c>
      <c r="D62" t="s">
        <v>95</v>
      </c>
      <c r="E62" t="s">
        <v>223</v>
      </c>
      <c r="F62" s="6" t="s">
        <v>228</v>
      </c>
      <c r="G62">
        <v>1</v>
      </c>
      <c r="I62">
        <v>59</v>
      </c>
      <c r="K62">
        <v>46</v>
      </c>
    </row>
    <row r="63" spans="1:15" x14ac:dyDescent="0.2">
      <c r="A63" t="s">
        <v>42</v>
      </c>
      <c r="B63" t="s">
        <v>103</v>
      </c>
      <c r="C63">
        <v>5</v>
      </c>
      <c r="D63" t="s">
        <v>95</v>
      </c>
      <c r="E63" t="s">
        <v>224</v>
      </c>
      <c r="F63" s="6" t="s">
        <v>228</v>
      </c>
      <c r="G63">
        <v>3</v>
      </c>
      <c r="I63">
        <v>55</v>
      </c>
      <c r="K63">
        <v>46</v>
      </c>
    </row>
    <row r="64" spans="1:15" x14ac:dyDescent="0.2">
      <c r="A64" t="s">
        <v>42</v>
      </c>
      <c r="B64" t="s">
        <v>103</v>
      </c>
      <c r="C64">
        <v>5</v>
      </c>
      <c r="D64" t="s">
        <v>95</v>
      </c>
      <c r="E64" t="s">
        <v>225</v>
      </c>
      <c r="F64" s="6" t="s">
        <v>228</v>
      </c>
      <c r="G64">
        <v>3</v>
      </c>
      <c r="I64">
        <v>60</v>
      </c>
      <c r="K64">
        <v>50</v>
      </c>
    </row>
    <row r="65" spans="1:15" x14ac:dyDescent="0.2">
      <c r="A65" t="s">
        <v>42</v>
      </c>
      <c r="B65" t="s">
        <v>103</v>
      </c>
      <c r="C65">
        <v>5</v>
      </c>
      <c r="D65" t="s">
        <v>95</v>
      </c>
      <c r="E65" t="s">
        <v>226</v>
      </c>
      <c r="F65" s="6" t="s">
        <v>228</v>
      </c>
      <c r="G65">
        <v>2</v>
      </c>
      <c r="I65">
        <v>55</v>
      </c>
      <c r="K65">
        <v>48</v>
      </c>
    </row>
    <row r="66" spans="1:15" x14ac:dyDescent="0.2">
      <c r="A66" t="s">
        <v>42</v>
      </c>
      <c r="B66" t="s">
        <v>103</v>
      </c>
      <c r="C66">
        <v>5</v>
      </c>
      <c r="D66" t="s">
        <v>95</v>
      </c>
      <c r="E66" t="s">
        <v>227</v>
      </c>
      <c r="F66" s="6" t="s">
        <v>228</v>
      </c>
      <c r="G66">
        <v>1</v>
      </c>
      <c r="I66">
        <v>52</v>
      </c>
      <c r="K66">
        <v>45</v>
      </c>
    </row>
    <row r="67" spans="1:15" x14ac:dyDescent="0.2">
      <c r="A67" t="s">
        <v>42</v>
      </c>
      <c r="B67" t="s">
        <v>103</v>
      </c>
      <c r="C67">
        <v>5</v>
      </c>
      <c r="D67" t="s">
        <v>95</v>
      </c>
      <c r="E67" t="s">
        <v>229</v>
      </c>
      <c r="F67" s="6" t="s">
        <v>228</v>
      </c>
      <c r="G67">
        <v>2</v>
      </c>
      <c r="I67">
        <v>54</v>
      </c>
      <c r="K67">
        <v>47</v>
      </c>
    </row>
    <row r="68" spans="1:15" x14ac:dyDescent="0.2">
      <c r="A68" t="s">
        <v>42</v>
      </c>
      <c r="B68" t="s">
        <v>103</v>
      </c>
      <c r="C68">
        <v>5</v>
      </c>
      <c r="D68" t="s">
        <v>95</v>
      </c>
      <c r="E68" t="s">
        <v>230</v>
      </c>
      <c r="F68" s="6" t="s">
        <v>228</v>
      </c>
      <c r="G68">
        <v>2</v>
      </c>
      <c r="I68">
        <v>52</v>
      </c>
      <c r="K68">
        <v>45</v>
      </c>
    </row>
    <row r="69" spans="1:15" x14ac:dyDescent="0.2">
      <c r="A69" t="s">
        <v>42</v>
      </c>
      <c r="B69" t="s">
        <v>103</v>
      </c>
      <c r="C69">
        <v>5</v>
      </c>
      <c r="D69" t="s">
        <v>95</v>
      </c>
      <c r="E69" t="s">
        <v>231</v>
      </c>
      <c r="F69" s="6" t="s">
        <v>130</v>
      </c>
      <c r="G69">
        <v>1</v>
      </c>
      <c r="O69" t="s">
        <v>233</v>
      </c>
    </row>
    <row r="70" spans="1:15" x14ac:dyDescent="0.2">
      <c r="A70" t="s">
        <v>42</v>
      </c>
      <c r="B70" t="s">
        <v>103</v>
      </c>
      <c r="C70">
        <v>5</v>
      </c>
      <c r="D70" t="s">
        <v>95</v>
      </c>
      <c r="E70" t="s">
        <v>232</v>
      </c>
      <c r="F70" s="6" t="s">
        <v>234</v>
      </c>
      <c r="G70">
        <v>4</v>
      </c>
      <c r="O70" t="s">
        <v>235</v>
      </c>
    </row>
    <row r="71" spans="1:15" x14ac:dyDescent="0.2">
      <c r="A71" t="s">
        <v>42</v>
      </c>
      <c r="B71" t="s">
        <v>103</v>
      </c>
      <c r="C71">
        <v>5</v>
      </c>
      <c r="D71" t="s">
        <v>95</v>
      </c>
      <c r="E71" t="s">
        <v>236</v>
      </c>
      <c r="F71" s="6" t="s">
        <v>220</v>
      </c>
      <c r="G71">
        <v>1</v>
      </c>
      <c r="I71">
        <v>59</v>
      </c>
    </row>
    <row r="72" spans="1:15" x14ac:dyDescent="0.2">
      <c r="A72" t="s">
        <v>42</v>
      </c>
      <c r="B72" t="s">
        <v>103</v>
      </c>
      <c r="C72">
        <v>5</v>
      </c>
      <c r="D72" t="s">
        <v>95</v>
      </c>
      <c r="E72" t="s">
        <v>237</v>
      </c>
      <c r="F72" s="6" t="s">
        <v>239</v>
      </c>
      <c r="G72">
        <v>1</v>
      </c>
      <c r="O72" t="s">
        <v>240</v>
      </c>
    </row>
    <row r="73" spans="1:15" x14ac:dyDescent="0.2">
      <c r="A73" t="s">
        <v>42</v>
      </c>
      <c r="B73" t="s">
        <v>103</v>
      </c>
      <c r="C73">
        <v>5</v>
      </c>
      <c r="D73" t="s">
        <v>95</v>
      </c>
      <c r="E73" t="s">
        <v>238</v>
      </c>
      <c r="F73" s="6" t="s">
        <v>182</v>
      </c>
      <c r="G73" t="s">
        <v>114</v>
      </c>
      <c r="I73">
        <v>30</v>
      </c>
      <c r="K73">
        <v>26</v>
      </c>
      <c r="O73" t="s">
        <v>241</v>
      </c>
    </row>
    <row r="74" spans="1:15" x14ac:dyDescent="0.2">
      <c r="A74" t="s">
        <v>42</v>
      </c>
      <c r="B74" t="s">
        <v>103</v>
      </c>
      <c r="C74">
        <v>5</v>
      </c>
      <c r="D74" t="s">
        <v>95</v>
      </c>
      <c r="E74" t="s">
        <v>242</v>
      </c>
      <c r="F74" s="6" t="s">
        <v>220</v>
      </c>
      <c r="G74">
        <v>14</v>
      </c>
      <c r="I74">
        <v>200</v>
      </c>
      <c r="K74">
        <v>180</v>
      </c>
    </row>
    <row r="75" spans="1:15" x14ac:dyDescent="0.2">
      <c r="A75" t="s">
        <v>42</v>
      </c>
      <c r="B75" t="s">
        <v>103</v>
      </c>
      <c r="C75">
        <v>5</v>
      </c>
      <c r="D75" t="s">
        <v>95</v>
      </c>
      <c r="E75" t="s">
        <v>243</v>
      </c>
      <c r="F75" s="6" t="s">
        <v>220</v>
      </c>
      <c r="G75">
        <v>7</v>
      </c>
      <c r="I75">
        <v>157</v>
      </c>
      <c r="K75">
        <v>149</v>
      </c>
    </row>
    <row r="76" spans="1:15" x14ac:dyDescent="0.2">
      <c r="A76" t="s">
        <v>42</v>
      </c>
      <c r="B76" t="s">
        <v>103</v>
      </c>
      <c r="C76">
        <v>5</v>
      </c>
      <c r="D76" t="s">
        <v>95</v>
      </c>
      <c r="E76" t="s">
        <v>244</v>
      </c>
      <c r="F76" s="6" t="s">
        <v>220</v>
      </c>
      <c r="G76">
        <v>6</v>
      </c>
      <c r="I76">
        <v>138</v>
      </c>
      <c r="K76">
        <v>130</v>
      </c>
    </row>
    <row r="77" spans="1:15" x14ac:dyDescent="0.2">
      <c r="A77" t="s">
        <v>42</v>
      </c>
      <c r="B77" t="s">
        <v>103</v>
      </c>
      <c r="C77">
        <v>5</v>
      </c>
      <c r="D77" t="s">
        <v>95</v>
      </c>
      <c r="E77" t="s">
        <v>245</v>
      </c>
      <c r="F77" s="6" t="s">
        <v>214</v>
      </c>
      <c r="G77">
        <v>6</v>
      </c>
      <c r="I77">
        <v>104</v>
      </c>
      <c r="K77">
        <v>90</v>
      </c>
    </row>
    <row r="78" spans="1:15" x14ac:dyDescent="0.2">
      <c r="A78" t="s">
        <v>42</v>
      </c>
      <c r="B78" t="s">
        <v>103</v>
      </c>
      <c r="C78">
        <v>5</v>
      </c>
      <c r="D78" t="s">
        <v>95</v>
      </c>
      <c r="E78" t="s">
        <v>246</v>
      </c>
      <c r="F78" s="6" t="s">
        <v>214</v>
      </c>
      <c r="G78">
        <v>2</v>
      </c>
      <c r="I78">
        <v>71</v>
      </c>
      <c r="K78">
        <v>61</v>
      </c>
    </row>
    <row r="79" spans="1:15" x14ac:dyDescent="0.2">
      <c r="A79" t="s">
        <v>42</v>
      </c>
      <c r="B79" t="s">
        <v>103</v>
      </c>
      <c r="C79">
        <v>5</v>
      </c>
      <c r="D79" t="s">
        <v>95</v>
      </c>
      <c r="E79" t="s">
        <v>247</v>
      </c>
      <c r="F79" s="6" t="s">
        <v>228</v>
      </c>
      <c r="G79">
        <v>2</v>
      </c>
      <c r="I79">
        <v>56</v>
      </c>
      <c r="K79">
        <v>48</v>
      </c>
    </row>
    <row r="80" spans="1:15" x14ac:dyDescent="0.2">
      <c r="A80" t="s">
        <v>42</v>
      </c>
      <c r="B80" t="s">
        <v>103</v>
      </c>
      <c r="C80">
        <v>5</v>
      </c>
      <c r="D80" t="s">
        <v>95</v>
      </c>
      <c r="E80" t="s">
        <v>248</v>
      </c>
      <c r="F80" s="6" t="s">
        <v>228</v>
      </c>
      <c r="G80">
        <v>1</v>
      </c>
      <c r="I80">
        <v>51</v>
      </c>
      <c r="K80">
        <v>45</v>
      </c>
    </row>
    <row r="81" spans="1:15" x14ac:dyDescent="0.2">
      <c r="A81" t="s">
        <v>42</v>
      </c>
      <c r="B81" t="s">
        <v>103</v>
      </c>
      <c r="C81">
        <v>5</v>
      </c>
      <c r="D81" t="s">
        <v>95</v>
      </c>
      <c r="E81" t="s">
        <v>249</v>
      </c>
      <c r="F81" s="6" t="s">
        <v>228</v>
      </c>
      <c r="G81">
        <v>2</v>
      </c>
      <c r="I81">
        <v>55</v>
      </c>
      <c r="K81">
        <v>45</v>
      </c>
    </row>
    <row r="82" spans="1:15" x14ac:dyDescent="0.2">
      <c r="A82" t="s">
        <v>42</v>
      </c>
      <c r="B82" t="s">
        <v>103</v>
      </c>
      <c r="C82">
        <v>5</v>
      </c>
      <c r="D82" t="s">
        <v>95</v>
      </c>
      <c r="E82" t="s">
        <v>250</v>
      </c>
      <c r="F82" s="6" t="s">
        <v>228</v>
      </c>
      <c r="G82">
        <v>1</v>
      </c>
      <c r="I82">
        <v>46</v>
      </c>
      <c r="K82">
        <v>40</v>
      </c>
    </row>
    <row r="83" spans="1:15" x14ac:dyDescent="0.2">
      <c r="A83" t="s">
        <v>42</v>
      </c>
      <c r="B83" t="s">
        <v>103</v>
      </c>
      <c r="C83">
        <v>5</v>
      </c>
      <c r="D83" t="s">
        <v>95</v>
      </c>
      <c r="E83" t="s">
        <v>251</v>
      </c>
      <c r="F83" s="6" t="s">
        <v>228</v>
      </c>
      <c r="G83">
        <v>1</v>
      </c>
      <c r="O83" t="s">
        <v>270</v>
      </c>
    </row>
    <row r="84" spans="1:15" x14ac:dyDescent="0.2">
      <c r="A84" t="s">
        <v>42</v>
      </c>
      <c r="B84" t="s">
        <v>103</v>
      </c>
      <c r="C84">
        <v>5</v>
      </c>
      <c r="D84" t="s">
        <v>95</v>
      </c>
      <c r="E84" t="s">
        <v>252</v>
      </c>
      <c r="F84" s="6" t="s">
        <v>202</v>
      </c>
      <c r="G84">
        <v>7</v>
      </c>
      <c r="O84" t="s">
        <v>271</v>
      </c>
    </row>
    <row r="85" spans="1:15" x14ac:dyDescent="0.2">
      <c r="A85" t="s">
        <v>42</v>
      </c>
      <c r="B85" t="s">
        <v>103</v>
      </c>
      <c r="C85">
        <v>5</v>
      </c>
      <c r="D85" t="s">
        <v>95</v>
      </c>
      <c r="E85" t="s">
        <v>253</v>
      </c>
      <c r="F85" s="6" t="s">
        <v>130</v>
      </c>
      <c r="G85">
        <v>5</v>
      </c>
      <c r="O85" t="s">
        <v>272</v>
      </c>
    </row>
    <row r="86" spans="1:15" x14ac:dyDescent="0.2">
      <c r="A86" t="s">
        <v>42</v>
      </c>
      <c r="B86" t="s">
        <v>103</v>
      </c>
      <c r="C86">
        <v>5</v>
      </c>
      <c r="D86" t="s">
        <v>95</v>
      </c>
      <c r="E86" t="s">
        <v>254</v>
      </c>
      <c r="F86" s="6" t="s">
        <v>273</v>
      </c>
      <c r="G86">
        <v>2</v>
      </c>
      <c r="I86">
        <v>72</v>
      </c>
      <c r="K86">
        <v>68</v>
      </c>
    </row>
    <row r="87" spans="1:15" x14ac:dyDescent="0.2">
      <c r="A87" t="s">
        <v>42</v>
      </c>
      <c r="B87" t="s">
        <v>103</v>
      </c>
      <c r="C87">
        <v>5</v>
      </c>
      <c r="D87" t="s">
        <v>95</v>
      </c>
      <c r="E87" t="s">
        <v>255</v>
      </c>
      <c r="F87" s="6" t="s">
        <v>182</v>
      </c>
      <c r="G87">
        <v>1</v>
      </c>
      <c r="I87">
        <v>28</v>
      </c>
      <c r="K87">
        <v>24</v>
      </c>
    </row>
    <row r="88" spans="1:15" x14ac:dyDescent="0.2">
      <c r="A88" t="s">
        <v>42</v>
      </c>
      <c r="B88" t="s">
        <v>103</v>
      </c>
      <c r="C88">
        <v>5</v>
      </c>
      <c r="D88" t="s">
        <v>95</v>
      </c>
      <c r="E88" t="s">
        <v>256</v>
      </c>
      <c r="F88" s="6" t="s">
        <v>274</v>
      </c>
      <c r="G88">
        <v>2</v>
      </c>
      <c r="O88" t="s">
        <v>275</v>
      </c>
    </row>
    <row r="89" spans="1:15" x14ac:dyDescent="0.2">
      <c r="A89" t="s">
        <v>42</v>
      </c>
      <c r="B89" t="s">
        <v>103</v>
      </c>
      <c r="C89">
        <v>5</v>
      </c>
      <c r="D89" t="s">
        <v>95</v>
      </c>
      <c r="E89" t="s">
        <v>257</v>
      </c>
      <c r="F89" s="6" t="s">
        <v>113</v>
      </c>
      <c r="G89">
        <v>1</v>
      </c>
      <c r="I89">
        <v>37</v>
      </c>
    </row>
    <row r="90" spans="1:15" x14ac:dyDescent="0.2">
      <c r="A90" t="s">
        <v>42</v>
      </c>
      <c r="B90" t="s">
        <v>103</v>
      </c>
      <c r="C90">
        <v>5</v>
      </c>
      <c r="D90" t="s">
        <v>95</v>
      </c>
      <c r="E90" t="s">
        <v>258</v>
      </c>
      <c r="F90" s="6" t="s">
        <v>113</v>
      </c>
      <c r="G90">
        <v>1</v>
      </c>
      <c r="O90" t="s">
        <v>276</v>
      </c>
    </row>
    <row r="91" spans="1:15" x14ac:dyDescent="0.2">
      <c r="A91" t="s">
        <v>42</v>
      </c>
      <c r="B91" t="s">
        <v>103</v>
      </c>
      <c r="C91">
        <v>5</v>
      </c>
      <c r="D91" t="s">
        <v>95</v>
      </c>
      <c r="E91" t="s">
        <v>259</v>
      </c>
      <c r="F91" s="6" t="s">
        <v>113</v>
      </c>
      <c r="G91">
        <v>1</v>
      </c>
      <c r="I91">
        <v>45</v>
      </c>
    </row>
    <row r="92" spans="1:15" x14ac:dyDescent="0.2">
      <c r="A92" t="s">
        <v>42</v>
      </c>
      <c r="B92" t="s">
        <v>103</v>
      </c>
      <c r="C92">
        <v>5</v>
      </c>
      <c r="D92" t="s">
        <v>95</v>
      </c>
      <c r="E92" t="s">
        <v>260</v>
      </c>
      <c r="F92" s="6" t="s">
        <v>113</v>
      </c>
      <c r="G92">
        <v>1</v>
      </c>
      <c r="I92">
        <v>54</v>
      </c>
    </row>
    <row r="93" spans="1:15" x14ac:dyDescent="0.2">
      <c r="A93" t="s">
        <v>42</v>
      </c>
      <c r="B93" t="s">
        <v>103</v>
      </c>
      <c r="C93">
        <v>5</v>
      </c>
      <c r="D93" t="s">
        <v>95</v>
      </c>
      <c r="E93" t="s">
        <v>261</v>
      </c>
      <c r="F93" s="6" t="s">
        <v>113</v>
      </c>
      <c r="G93">
        <v>1</v>
      </c>
      <c r="I93">
        <v>56</v>
      </c>
    </row>
    <row r="94" spans="1:15" x14ac:dyDescent="0.2">
      <c r="A94" t="s">
        <v>42</v>
      </c>
      <c r="B94" t="s">
        <v>103</v>
      </c>
      <c r="C94">
        <v>5</v>
      </c>
      <c r="D94" t="s">
        <v>95</v>
      </c>
      <c r="E94" t="s">
        <v>262</v>
      </c>
      <c r="F94" s="6" t="s">
        <v>113</v>
      </c>
      <c r="G94">
        <v>1</v>
      </c>
      <c r="O94" t="s">
        <v>276</v>
      </c>
    </row>
    <row r="95" spans="1:15" x14ac:dyDescent="0.2">
      <c r="A95" t="s">
        <v>42</v>
      </c>
      <c r="B95" t="s">
        <v>103</v>
      </c>
      <c r="C95">
        <v>5</v>
      </c>
      <c r="D95" t="s">
        <v>95</v>
      </c>
      <c r="E95" t="s">
        <v>263</v>
      </c>
      <c r="F95" s="6" t="s">
        <v>178</v>
      </c>
      <c r="G95">
        <v>80</v>
      </c>
      <c r="O95" t="s">
        <v>138</v>
      </c>
    </row>
    <row r="96" spans="1:15" x14ac:dyDescent="0.2">
      <c r="A96" t="s">
        <v>42</v>
      </c>
      <c r="B96" t="s">
        <v>103</v>
      </c>
      <c r="C96">
        <v>5</v>
      </c>
      <c r="D96" t="s">
        <v>95</v>
      </c>
      <c r="E96" t="s">
        <v>264</v>
      </c>
      <c r="F96" s="6" t="s">
        <v>104</v>
      </c>
      <c r="G96">
        <v>50</v>
      </c>
      <c r="O96" t="s">
        <v>138</v>
      </c>
    </row>
    <row r="97" spans="1:15" x14ac:dyDescent="0.2">
      <c r="A97" t="s">
        <v>42</v>
      </c>
      <c r="B97" t="s">
        <v>103</v>
      </c>
      <c r="C97">
        <v>5</v>
      </c>
      <c r="D97" t="s">
        <v>95</v>
      </c>
      <c r="E97" t="s">
        <v>265</v>
      </c>
      <c r="F97" s="6" t="s">
        <v>118</v>
      </c>
      <c r="G97">
        <v>24</v>
      </c>
      <c r="O97" t="s">
        <v>277</v>
      </c>
    </row>
    <row r="98" spans="1:15" x14ac:dyDescent="0.2">
      <c r="A98" t="s">
        <v>42</v>
      </c>
      <c r="B98" t="s">
        <v>103</v>
      </c>
      <c r="C98">
        <v>5</v>
      </c>
      <c r="D98" t="s">
        <v>95</v>
      </c>
      <c r="E98" t="s">
        <v>266</v>
      </c>
      <c r="F98" s="6" t="s">
        <v>125</v>
      </c>
      <c r="G98">
        <v>2</v>
      </c>
      <c r="O98" t="s">
        <v>278</v>
      </c>
    </row>
    <row r="99" spans="1:15" x14ac:dyDescent="0.2">
      <c r="A99" t="s">
        <v>42</v>
      </c>
      <c r="B99" t="s">
        <v>103</v>
      </c>
      <c r="C99">
        <v>5</v>
      </c>
      <c r="D99" t="s">
        <v>95</v>
      </c>
      <c r="E99" t="s">
        <v>267</v>
      </c>
      <c r="F99" s="6" t="s">
        <v>125</v>
      </c>
      <c r="G99">
        <v>5</v>
      </c>
      <c r="O99" t="s">
        <v>279</v>
      </c>
    </row>
    <row r="100" spans="1:15" x14ac:dyDescent="0.2">
      <c r="A100" t="s">
        <v>42</v>
      </c>
      <c r="B100" t="s">
        <v>103</v>
      </c>
      <c r="C100">
        <v>5</v>
      </c>
      <c r="D100" t="s">
        <v>95</v>
      </c>
      <c r="E100" t="s">
        <v>268</v>
      </c>
      <c r="F100" s="6" t="s">
        <v>112</v>
      </c>
      <c r="G100">
        <v>1</v>
      </c>
      <c r="I100">
        <v>40</v>
      </c>
      <c r="O100" t="s">
        <v>280</v>
      </c>
    </row>
    <row r="101" spans="1:15" x14ac:dyDescent="0.2">
      <c r="A101" t="s">
        <v>42</v>
      </c>
      <c r="B101" t="s">
        <v>103</v>
      </c>
      <c r="C101">
        <v>5</v>
      </c>
      <c r="D101" t="s">
        <v>95</v>
      </c>
      <c r="E101" t="s">
        <v>269</v>
      </c>
      <c r="F101" s="6" t="s">
        <v>112</v>
      </c>
      <c r="G101">
        <v>4</v>
      </c>
      <c r="I101">
        <v>56</v>
      </c>
    </row>
    <row r="102" spans="1:15" x14ac:dyDescent="0.2">
      <c r="A102" t="s">
        <v>42</v>
      </c>
      <c r="B102" t="s">
        <v>103</v>
      </c>
      <c r="C102">
        <v>5</v>
      </c>
      <c r="D102" t="s">
        <v>95</v>
      </c>
      <c r="E102" t="s">
        <v>281</v>
      </c>
      <c r="F102" s="6" t="s">
        <v>178</v>
      </c>
      <c r="G102">
        <v>171</v>
      </c>
      <c r="O102" t="s">
        <v>138</v>
      </c>
    </row>
    <row r="103" spans="1:15" x14ac:dyDescent="0.2">
      <c r="A103" t="s">
        <v>42</v>
      </c>
      <c r="B103" t="s">
        <v>103</v>
      </c>
      <c r="C103">
        <v>5</v>
      </c>
      <c r="D103" t="s">
        <v>95</v>
      </c>
      <c r="E103" t="s">
        <v>282</v>
      </c>
      <c r="F103" s="6" t="s">
        <v>298</v>
      </c>
      <c r="G103">
        <v>27</v>
      </c>
      <c r="L103" t="s">
        <v>300</v>
      </c>
      <c r="O103" t="s">
        <v>299</v>
      </c>
    </row>
    <row r="104" spans="1:15" x14ac:dyDescent="0.2">
      <c r="A104" t="s">
        <v>42</v>
      </c>
      <c r="B104" t="s">
        <v>103</v>
      </c>
      <c r="C104">
        <v>5</v>
      </c>
      <c r="D104" t="s">
        <v>95</v>
      </c>
      <c r="E104" t="s">
        <v>283</v>
      </c>
      <c r="F104" s="6" t="s">
        <v>104</v>
      </c>
      <c r="G104">
        <v>99</v>
      </c>
      <c r="O104" t="s">
        <v>301</v>
      </c>
    </row>
    <row r="105" spans="1:15" x14ac:dyDescent="0.2">
      <c r="A105" t="s">
        <v>42</v>
      </c>
      <c r="B105" t="s">
        <v>103</v>
      </c>
      <c r="C105">
        <v>5</v>
      </c>
      <c r="D105" t="s">
        <v>95</v>
      </c>
      <c r="E105" t="s">
        <v>284</v>
      </c>
      <c r="F105" s="6" t="s">
        <v>118</v>
      </c>
      <c r="G105">
        <v>5</v>
      </c>
      <c r="O105" t="s">
        <v>302</v>
      </c>
    </row>
    <row r="106" spans="1:15" x14ac:dyDescent="0.2">
      <c r="A106" t="s">
        <v>42</v>
      </c>
      <c r="B106" t="s">
        <v>103</v>
      </c>
      <c r="C106">
        <v>5</v>
      </c>
      <c r="D106" t="s">
        <v>95</v>
      </c>
      <c r="E106" t="s">
        <v>285</v>
      </c>
      <c r="F106" s="6" t="s">
        <v>130</v>
      </c>
      <c r="G106">
        <v>1</v>
      </c>
      <c r="O106" t="s">
        <v>303</v>
      </c>
    </row>
    <row r="107" spans="1:15" x14ac:dyDescent="0.2">
      <c r="A107" t="s">
        <v>42</v>
      </c>
      <c r="B107" t="s">
        <v>103</v>
      </c>
      <c r="C107">
        <v>5</v>
      </c>
      <c r="D107" t="s">
        <v>95</v>
      </c>
      <c r="E107" t="s">
        <v>286</v>
      </c>
      <c r="F107" s="6" t="s">
        <v>214</v>
      </c>
      <c r="G107">
        <v>16</v>
      </c>
      <c r="I107">
        <v>175</v>
      </c>
      <c r="K107">
        <v>168</v>
      </c>
    </row>
    <row r="108" spans="1:15" x14ac:dyDescent="0.2">
      <c r="A108" t="s">
        <v>42</v>
      </c>
      <c r="B108" t="s">
        <v>103</v>
      </c>
      <c r="C108">
        <v>5</v>
      </c>
      <c r="D108" t="s">
        <v>95</v>
      </c>
      <c r="E108" t="s">
        <v>287</v>
      </c>
      <c r="F108" s="6" t="s">
        <v>214</v>
      </c>
      <c r="G108">
        <v>5</v>
      </c>
      <c r="I108">
        <v>111</v>
      </c>
      <c r="K108">
        <v>108</v>
      </c>
    </row>
    <row r="109" spans="1:15" x14ac:dyDescent="0.2">
      <c r="A109" t="s">
        <v>42</v>
      </c>
      <c r="B109" t="s">
        <v>103</v>
      </c>
      <c r="C109">
        <v>5</v>
      </c>
      <c r="D109" t="s">
        <v>95</v>
      </c>
      <c r="E109" t="s">
        <v>288</v>
      </c>
      <c r="F109" s="6" t="s">
        <v>182</v>
      </c>
      <c r="G109">
        <v>8</v>
      </c>
      <c r="I109">
        <v>78</v>
      </c>
      <c r="K109">
        <v>70</v>
      </c>
    </row>
    <row r="110" spans="1:15" x14ac:dyDescent="0.2">
      <c r="A110" t="s">
        <v>42</v>
      </c>
      <c r="B110" t="s">
        <v>103</v>
      </c>
      <c r="C110">
        <v>5</v>
      </c>
      <c r="D110" t="s">
        <v>95</v>
      </c>
      <c r="E110" t="s">
        <v>289</v>
      </c>
      <c r="F110" s="6" t="s">
        <v>182</v>
      </c>
      <c r="G110">
        <v>8</v>
      </c>
      <c r="I110">
        <v>77</v>
      </c>
      <c r="K110">
        <v>66</v>
      </c>
    </row>
    <row r="111" spans="1:15" x14ac:dyDescent="0.2">
      <c r="A111" t="s">
        <v>42</v>
      </c>
      <c r="B111" t="s">
        <v>103</v>
      </c>
      <c r="C111">
        <v>5</v>
      </c>
      <c r="D111" t="s">
        <v>95</v>
      </c>
      <c r="E111" t="s">
        <v>290</v>
      </c>
      <c r="F111" s="6" t="s">
        <v>182</v>
      </c>
      <c r="G111">
        <v>4</v>
      </c>
      <c r="I111">
        <v>63</v>
      </c>
      <c r="K111">
        <v>54</v>
      </c>
    </row>
    <row r="112" spans="1:15" x14ac:dyDescent="0.2">
      <c r="A112" t="s">
        <v>42</v>
      </c>
      <c r="B112" t="s">
        <v>103</v>
      </c>
      <c r="C112">
        <v>5</v>
      </c>
      <c r="D112" t="s">
        <v>95</v>
      </c>
      <c r="E112" t="s">
        <v>291</v>
      </c>
      <c r="F112" s="6" t="s">
        <v>182</v>
      </c>
      <c r="G112">
        <v>5</v>
      </c>
      <c r="I112">
        <v>61</v>
      </c>
      <c r="K112">
        <v>53</v>
      </c>
    </row>
    <row r="113" spans="1:15" x14ac:dyDescent="0.2">
      <c r="A113" t="s">
        <v>42</v>
      </c>
      <c r="B113" t="s">
        <v>103</v>
      </c>
      <c r="C113">
        <v>5</v>
      </c>
      <c r="D113" t="s">
        <v>95</v>
      </c>
      <c r="E113" t="s">
        <v>292</v>
      </c>
      <c r="F113" s="6" t="s">
        <v>228</v>
      </c>
      <c r="G113">
        <v>10</v>
      </c>
      <c r="O113" t="s">
        <v>123</v>
      </c>
    </row>
    <row r="114" spans="1:15" x14ac:dyDescent="0.2">
      <c r="A114" t="s">
        <v>42</v>
      </c>
      <c r="B114" t="s">
        <v>103</v>
      </c>
      <c r="C114">
        <v>5</v>
      </c>
      <c r="D114" t="s">
        <v>95</v>
      </c>
      <c r="E114" t="s">
        <v>293</v>
      </c>
      <c r="F114" s="6" t="s">
        <v>304</v>
      </c>
      <c r="G114">
        <v>1</v>
      </c>
      <c r="I114">
        <v>50</v>
      </c>
      <c r="K114">
        <v>47</v>
      </c>
    </row>
    <row r="115" spans="1:15" x14ac:dyDescent="0.2">
      <c r="A115" t="s">
        <v>42</v>
      </c>
      <c r="B115" t="s">
        <v>103</v>
      </c>
      <c r="C115">
        <v>5</v>
      </c>
      <c r="D115" t="s">
        <v>95</v>
      </c>
      <c r="E115" t="s">
        <v>294</v>
      </c>
      <c r="F115" s="6" t="s">
        <v>192</v>
      </c>
      <c r="G115" t="s">
        <v>114</v>
      </c>
      <c r="I115">
        <v>32</v>
      </c>
      <c r="K115">
        <v>30</v>
      </c>
    </row>
    <row r="116" spans="1:15" x14ac:dyDescent="0.2">
      <c r="A116" t="s">
        <v>42</v>
      </c>
      <c r="B116" t="s">
        <v>103</v>
      </c>
      <c r="C116">
        <v>5</v>
      </c>
      <c r="D116" t="s">
        <v>95</v>
      </c>
      <c r="E116" t="s">
        <v>295</v>
      </c>
      <c r="F116" s="6" t="s">
        <v>305</v>
      </c>
      <c r="G116" t="s">
        <v>114</v>
      </c>
      <c r="I116">
        <v>27</v>
      </c>
      <c r="K116">
        <v>22</v>
      </c>
    </row>
    <row r="117" spans="1:15" x14ac:dyDescent="0.2">
      <c r="A117" t="s">
        <v>42</v>
      </c>
      <c r="B117" t="s">
        <v>103</v>
      </c>
      <c r="C117">
        <v>5</v>
      </c>
      <c r="D117" t="s">
        <v>95</v>
      </c>
      <c r="E117" t="s">
        <v>296</v>
      </c>
      <c r="F117" s="6" t="s">
        <v>182</v>
      </c>
      <c r="G117">
        <v>1</v>
      </c>
      <c r="O117" t="s">
        <v>306</v>
      </c>
    </row>
    <row r="118" spans="1:15" x14ac:dyDescent="0.2">
      <c r="A118" t="s">
        <v>42</v>
      </c>
      <c r="B118" t="s">
        <v>103</v>
      </c>
      <c r="C118">
        <v>5</v>
      </c>
      <c r="D118" t="s">
        <v>95</v>
      </c>
      <c r="E118" t="s">
        <v>297</v>
      </c>
      <c r="F118" s="6" t="s">
        <v>307</v>
      </c>
      <c r="G118">
        <v>1</v>
      </c>
      <c r="O118" t="s">
        <v>308</v>
      </c>
    </row>
    <row r="119" spans="1:15" x14ac:dyDescent="0.2">
      <c r="A119" t="s">
        <v>1275</v>
      </c>
      <c r="B119" t="s">
        <v>461</v>
      </c>
      <c r="C119" t="s">
        <v>462</v>
      </c>
      <c r="D119" t="s">
        <v>463</v>
      </c>
      <c r="E119" t="s">
        <v>464</v>
      </c>
      <c r="F119" t="s">
        <v>547</v>
      </c>
      <c r="H119">
        <v>0.41</v>
      </c>
      <c r="I119">
        <v>364</v>
      </c>
      <c r="K119">
        <v>342</v>
      </c>
      <c r="L119" t="s">
        <v>300</v>
      </c>
      <c r="O119" t="s">
        <v>466</v>
      </c>
    </row>
    <row r="120" spans="1:15" x14ac:dyDescent="0.2">
      <c r="A120" t="s">
        <v>1275</v>
      </c>
      <c r="B120" t="s">
        <v>461</v>
      </c>
      <c r="C120" t="s">
        <v>462</v>
      </c>
      <c r="D120" t="s">
        <v>463</v>
      </c>
      <c r="E120" t="s">
        <v>467</v>
      </c>
      <c r="F120" t="s">
        <v>471</v>
      </c>
      <c r="H120">
        <v>1E-3</v>
      </c>
      <c r="I120">
        <v>99</v>
      </c>
      <c r="K120">
        <v>90</v>
      </c>
      <c r="L120" t="s">
        <v>300</v>
      </c>
      <c r="O120" t="s">
        <v>472</v>
      </c>
    </row>
    <row r="121" spans="1:15" x14ac:dyDescent="0.2">
      <c r="A121" t="s">
        <v>1275</v>
      </c>
      <c r="B121" t="s">
        <v>461</v>
      </c>
      <c r="C121" t="s">
        <v>462</v>
      </c>
      <c r="D121" t="s">
        <v>463</v>
      </c>
      <c r="E121" t="s">
        <v>468</v>
      </c>
      <c r="F121" t="s">
        <v>473</v>
      </c>
      <c r="H121">
        <v>8.0000000000000002E-3</v>
      </c>
      <c r="K121">
        <v>58</v>
      </c>
      <c r="L121" t="s">
        <v>300</v>
      </c>
      <c r="O121" t="s">
        <v>474</v>
      </c>
    </row>
    <row r="122" spans="1:15" x14ac:dyDescent="0.2">
      <c r="A122" t="s">
        <v>1275</v>
      </c>
      <c r="B122" t="s">
        <v>461</v>
      </c>
      <c r="C122" t="s">
        <v>462</v>
      </c>
      <c r="D122" t="s">
        <v>463</v>
      </c>
      <c r="E122" t="s">
        <v>469</v>
      </c>
      <c r="F122" t="s">
        <v>115</v>
      </c>
      <c r="H122">
        <v>6.0000000000000001E-3</v>
      </c>
      <c r="L122" t="s">
        <v>300</v>
      </c>
      <c r="O122" t="s">
        <v>475</v>
      </c>
    </row>
    <row r="123" spans="1:15" x14ac:dyDescent="0.2">
      <c r="A123" t="s">
        <v>1275</v>
      </c>
      <c r="B123" t="s">
        <v>461</v>
      </c>
      <c r="C123" t="s">
        <v>462</v>
      </c>
      <c r="D123" t="s">
        <v>463</v>
      </c>
      <c r="E123" t="s">
        <v>470</v>
      </c>
      <c r="L123" t="s">
        <v>300</v>
      </c>
      <c r="O123" t="s">
        <v>5855</v>
      </c>
    </row>
    <row r="124" spans="1:15" x14ac:dyDescent="0.2">
      <c r="A124" t="s">
        <v>1275</v>
      </c>
      <c r="B124" t="s">
        <v>461</v>
      </c>
      <c r="C124">
        <v>1</v>
      </c>
      <c r="D124" t="s">
        <v>463</v>
      </c>
      <c r="E124" t="s">
        <v>476</v>
      </c>
      <c r="F124" t="s">
        <v>477</v>
      </c>
      <c r="H124">
        <v>1.4510000000000001</v>
      </c>
      <c r="I124">
        <v>445</v>
      </c>
      <c r="K124">
        <v>399</v>
      </c>
      <c r="L124" t="s">
        <v>300</v>
      </c>
      <c r="O124" t="s">
        <v>478</v>
      </c>
    </row>
    <row r="125" spans="1:15" x14ac:dyDescent="0.2">
      <c r="A125" t="s">
        <v>1275</v>
      </c>
      <c r="B125" t="s">
        <v>461</v>
      </c>
      <c r="C125">
        <v>1</v>
      </c>
      <c r="D125" t="s">
        <v>463</v>
      </c>
      <c r="E125" t="s">
        <v>479</v>
      </c>
      <c r="F125" t="s">
        <v>480</v>
      </c>
      <c r="H125">
        <v>1.488</v>
      </c>
      <c r="O125" t="s">
        <v>481</v>
      </c>
    </row>
    <row r="126" spans="1:15" x14ac:dyDescent="0.2">
      <c r="A126" t="s">
        <v>1275</v>
      </c>
      <c r="B126" t="s">
        <v>461</v>
      </c>
      <c r="C126">
        <v>1</v>
      </c>
      <c r="D126" t="s">
        <v>463</v>
      </c>
      <c r="E126" t="s">
        <v>482</v>
      </c>
      <c r="F126" t="s">
        <v>483</v>
      </c>
      <c r="H126">
        <v>0.22900000000000001</v>
      </c>
      <c r="O126" t="s">
        <v>481</v>
      </c>
    </row>
    <row r="127" spans="1:15" x14ac:dyDescent="0.2">
      <c r="A127" t="s">
        <v>1275</v>
      </c>
      <c r="B127" t="s">
        <v>461</v>
      </c>
      <c r="C127">
        <v>1</v>
      </c>
      <c r="D127" t="s">
        <v>463</v>
      </c>
      <c r="E127" t="s">
        <v>484</v>
      </c>
      <c r="F127" t="s">
        <v>332</v>
      </c>
      <c r="H127">
        <v>4.7E-2</v>
      </c>
      <c r="I127">
        <v>170</v>
      </c>
      <c r="K127">
        <v>159</v>
      </c>
    </row>
    <row r="128" spans="1:15" x14ac:dyDescent="0.2">
      <c r="A128" t="s">
        <v>1275</v>
      </c>
      <c r="B128" t="s">
        <v>461</v>
      </c>
      <c r="C128">
        <v>1</v>
      </c>
      <c r="D128" t="s">
        <v>463</v>
      </c>
      <c r="E128" t="s">
        <v>485</v>
      </c>
      <c r="F128" t="s">
        <v>332</v>
      </c>
      <c r="H128">
        <v>3.2000000000000001E-2</v>
      </c>
      <c r="I128">
        <v>153</v>
      </c>
      <c r="K128">
        <v>140</v>
      </c>
    </row>
    <row r="129" spans="1:11" x14ac:dyDescent="0.2">
      <c r="A129" t="s">
        <v>1275</v>
      </c>
      <c r="B129" t="s">
        <v>461</v>
      </c>
      <c r="C129">
        <v>1</v>
      </c>
      <c r="D129" t="s">
        <v>463</v>
      </c>
      <c r="E129" t="s">
        <v>486</v>
      </c>
      <c r="F129" t="s">
        <v>332</v>
      </c>
      <c r="H129">
        <v>1.9E-2</v>
      </c>
      <c r="I129">
        <v>159</v>
      </c>
      <c r="K129">
        <v>151</v>
      </c>
    </row>
    <row r="130" spans="1:11" x14ac:dyDescent="0.2">
      <c r="A130" t="s">
        <v>1275</v>
      </c>
      <c r="B130" t="s">
        <v>461</v>
      </c>
      <c r="C130">
        <v>1</v>
      </c>
      <c r="D130" t="s">
        <v>463</v>
      </c>
      <c r="E130" t="s">
        <v>487</v>
      </c>
      <c r="F130" t="s">
        <v>332</v>
      </c>
      <c r="H130">
        <v>4.3999999999999997E-2</v>
      </c>
      <c r="I130">
        <v>157</v>
      </c>
      <c r="K130">
        <v>152</v>
      </c>
    </row>
    <row r="131" spans="1:11" x14ac:dyDescent="0.2">
      <c r="A131" t="s">
        <v>1275</v>
      </c>
      <c r="B131" t="s">
        <v>461</v>
      </c>
      <c r="C131">
        <v>1</v>
      </c>
      <c r="D131" t="s">
        <v>463</v>
      </c>
      <c r="E131" t="s">
        <v>488</v>
      </c>
      <c r="F131" t="s">
        <v>332</v>
      </c>
      <c r="H131">
        <v>0.04</v>
      </c>
      <c r="I131">
        <v>168</v>
      </c>
      <c r="K131">
        <v>157</v>
      </c>
    </row>
    <row r="132" spans="1:11" x14ac:dyDescent="0.2">
      <c r="A132" t="s">
        <v>1275</v>
      </c>
      <c r="B132" t="s">
        <v>461</v>
      </c>
      <c r="C132">
        <v>1</v>
      </c>
      <c r="D132" t="s">
        <v>463</v>
      </c>
      <c r="E132" t="s">
        <v>489</v>
      </c>
      <c r="F132" t="s">
        <v>332</v>
      </c>
      <c r="H132">
        <v>4.9000000000000002E-2</v>
      </c>
      <c r="I132">
        <v>196</v>
      </c>
      <c r="K132">
        <v>171</v>
      </c>
    </row>
    <row r="133" spans="1:11" x14ac:dyDescent="0.2">
      <c r="A133" t="s">
        <v>1275</v>
      </c>
      <c r="B133" t="s">
        <v>461</v>
      </c>
      <c r="C133">
        <v>1</v>
      </c>
      <c r="D133" t="s">
        <v>463</v>
      </c>
      <c r="E133" t="s">
        <v>490</v>
      </c>
      <c r="F133" t="s">
        <v>332</v>
      </c>
      <c r="H133">
        <v>6.3E-2</v>
      </c>
      <c r="I133">
        <v>182</v>
      </c>
      <c r="K133">
        <v>173</v>
      </c>
    </row>
    <row r="134" spans="1:11" x14ac:dyDescent="0.2">
      <c r="A134" t="s">
        <v>1275</v>
      </c>
      <c r="B134" t="s">
        <v>461</v>
      </c>
      <c r="C134">
        <v>1</v>
      </c>
      <c r="D134" t="s">
        <v>463</v>
      </c>
      <c r="E134" t="s">
        <v>491</v>
      </c>
      <c r="F134" t="s">
        <v>332</v>
      </c>
      <c r="H134">
        <v>3.6999999999999998E-2</v>
      </c>
      <c r="I134">
        <v>157</v>
      </c>
      <c r="K134">
        <v>150</v>
      </c>
    </row>
    <row r="135" spans="1:11" x14ac:dyDescent="0.2">
      <c r="A135" t="s">
        <v>1275</v>
      </c>
      <c r="B135" t="s">
        <v>461</v>
      </c>
      <c r="C135">
        <v>1</v>
      </c>
      <c r="D135" t="s">
        <v>463</v>
      </c>
      <c r="E135" t="s">
        <v>492</v>
      </c>
      <c r="F135" t="s">
        <v>332</v>
      </c>
      <c r="H135">
        <v>3.1E-2</v>
      </c>
      <c r="I135">
        <v>154</v>
      </c>
      <c r="K135">
        <v>146</v>
      </c>
    </row>
    <row r="136" spans="1:11" x14ac:dyDescent="0.2">
      <c r="A136" t="s">
        <v>1275</v>
      </c>
      <c r="B136" t="s">
        <v>461</v>
      </c>
      <c r="C136">
        <v>1</v>
      </c>
      <c r="D136" t="s">
        <v>463</v>
      </c>
      <c r="E136" t="s">
        <v>493</v>
      </c>
      <c r="F136" t="s">
        <v>332</v>
      </c>
      <c r="H136">
        <v>2.8000000000000001E-2</v>
      </c>
      <c r="I136">
        <v>149</v>
      </c>
      <c r="K136">
        <v>140</v>
      </c>
    </row>
    <row r="137" spans="1:11" x14ac:dyDescent="0.2">
      <c r="A137" t="s">
        <v>1275</v>
      </c>
      <c r="B137" t="s">
        <v>461</v>
      </c>
      <c r="C137">
        <v>1</v>
      </c>
      <c r="D137" t="s">
        <v>463</v>
      </c>
      <c r="E137" t="s">
        <v>494</v>
      </c>
      <c r="F137" t="s">
        <v>332</v>
      </c>
      <c r="H137">
        <v>2.7E-2</v>
      </c>
      <c r="I137">
        <v>144</v>
      </c>
      <c r="K137">
        <v>139</v>
      </c>
    </row>
    <row r="138" spans="1:11" x14ac:dyDescent="0.2">
      <c r="A138" t="s">
        <v>1275</v>
      </c>
      <c r="B138" t="s">
        <v>461</v>
      </c>
      <c r="C138">
        <v>1</v>
      </c>
      <c r="D138" t="s">
        <v>463</v>
      </c>
      <c r="E138" t="s">
        <v>495</v>
      </c>
      <c r="F138" t="s">
        <v>332</v>
      </c>
      <c r="H138">
        <v>1.7999999999999999E-2</v>
      </c>
      <c r="I138">
        <v>131</v>
      </c>
      <c r="K138">
        <v>126</v>
      </c>
    </row>
    <row r="139" spans="1:11" x14ac:dyDescent="0.2">
      <c r="A139" t="s">
        <v>1275</v>
      </c>
      <c r="B139" t="s">
        <v>461</v>
      </c>
      <c r="C139">
        <v>1</v>
      </c>
      <c r="D139" t="s">
        <v>463</v>
      </c>
      <c r="E139" t="s">
        <v>496</v>
      </c>
      <c r="F139" t="s">
        <v>332</v>
      </c>
      <c r="H139">
        <v>1.7000000000000001E-2</v>
      </c>
      <c r="I139">
        <v>134</v>
      </c>
      <c r="K139">
        <v>122</v>
      </c>
    </row>
    <row r="140" spans="1:11" x14ac:dyDescent="0.2">
      <c r="A140" t="s">
        <v>1275</v>
      </c>
      <c r="B140" t="s">
        <v>461</v>
      </c>
      <c r="C140">
        <v>1</v>
      </c>
      <c r="D140" t="s">
        <v>463</v>
      </c>
      <c r="E140" t="s">
        <v>497</v>
      </c>
      <c r="F140" t="s">
        <v>332</v>
      </c>
      <c r="H140">
        <v>1.2999999999999999E-2</v>
      </c>
      <c r="I140">
        <v>128</v>
      </c>
      <c r="K140">
        <v>121</v>
      </c>
    </row>
    <row r="141" spans="1:11" x14ac:dyDescent="0.2">
      <c r="A141" t="s">
        <v>1275</v>
      </c>
      <c r="B141" t="s">
        <v>461</v>
      </c>
      <c r="C141">
        <v>1</v>
      </c>
      <c r="D141" t="s">
        <v>463</v>
      </c>
      <c r="E141" t="s">
        <v>498</v>
      </c>
      <c r="F141" t="s">
        <v>332</v>
      </c>
      <c r="H141">
        <v>1.4999999999999999E-2</v>
      </c>
      <c r="I141">
        <v>127</v>
      </c>
      <c r="K141">
        <v>121</v>
      </c>
    </row>
    <row r="142" spans="1:11" x14ac:dyDescent="0.2">
      <c r="A142" t="s">
        <v>1275</v>
      </c>
      <c r="B142" t="s">
        <v>461</v>
      </c>
      <c r="C142">
        <v>1</v>
      </c>
      <c r="D142" t="s">
        <v>463</v>
      </c>
      <c r="E142" t="s">
        <v>499</v>
      </c>
      <c r="F142" t="s">
        <v>332</v>
      </c>
      <c r="H142">
        <v>6.0000000000000001E-3</v>
      </c>
      <c r="I142">
        <v>100</v>
      </c>
      <c r="K142">
        <v>95</v>
      </c>
    </row>
    <row r="143" spans="1:11" x14ac:dyDescent="0.2">
      <c r="A143" t="s">
        <v>1275</v>
      </c>
      <c r="B143" t="s">
        <v>461</v>
      </c>
      <c r="C143">
        <v>1</v>
      </c>
      <c r="D143" t="s">
        <v>463</v>
      </c>
      <c r="E143" t="s">
        <v>500</v>
      </c>
      <c r="F143" t="s">
        <v>332</v>
      </c>
      <c r="H143">
        <v>8.9999999999999993E-3</v>
      </c>
      <c r="I143">
        <v>113</v>
      </c>
      <c r="K143">
        <v>106</v>
      </c>
    </row>
    <row r="144" spans="1:11" x14ac:dyDescent="0.2">
      <c r="A144" t="s">
        <v>1275</v>
      </c>
      <c r="B144" t="s">
        <v>461</v>
      </c>
      <c r="C144">
        <v>1</v>
      </c>
      <c r="D144" t="s">
        <v>463</v>
      </c>
      <c r="E144" t="s">
        <v>501</v>
      </c>
      <c r="F144" t="s">
        <v>332</v>
      </c>
      <c r="H144">
        <v>8.0000000000000002E-3</v>
      </c>
      <c r="I144">
        <v>106</v>
      </c>
      <c r="K144">
        <v>100</v>
      </c>
    </row>
    <row r="145" spans="1:15" x14ac:dyDescent="0.2">
      <c r="A145" t="s">
        <v>1275</v>
      </c>
      <c r="B145" t="s">
        <v>461</v>
      </c>
      <c r="C145">
        <v>1</v>
      </c>
      <c r="D145" t="s">
        <v>463</v>
      </c>
      <c r="E145" t="s">
        <v>502</v>
      </c>
      <c r="F145" t="s">
        <v>332</v>
      </c>
      <c r="H145">
        <v>4.0000000000000001E-3</v>
      </c>
      <c r="I145">
        <v>92</v>
      </c>
      <c r="K145">
        <v>88</v>
      </c>
    </row>
    <row r="146" spans="1:15" x14ac:dyDescent="0.2">
      <c r="A146" t="s">
        <v>1275</v>
      </c>
      <c r="B146" t="s">
        <v>461</v>
      </c>
      <c r="C146">
        <v>1</v>
      </c>
      <c r="D146" t="s">
        <v>463</v>
      </c>
      <c r="E146" t="s">
        <v>1084</v>
      </c>
      <c r="F146" t="s">
        <v>480</v>
      </c>
      <c r="H146">
        <v>5</v>
      </c>
      <c r="O146" t="s">
        <v>503</v>
      </c>
    </row>
    <row r="147" spans="1:15" x14ac:dyDescent="0.2">
      <c r="A147" t="s">
        <v>1275</v>
      </c>
      <c r="B147" t="s">
        <v>461</v>
      </c>
      <c r="C147">
        <v>1</v>
      </c>
      <c r="D147" t="s">
        <v>463</v>
      </c>
      <c r="E147" t="s">
        <v>1085</v>
      </c>
      <c r="F147" t="s">
        <v>504</v>
      </c>
      <c r="H147">
        <v>3.1</v>
      </c>
      <c r="O147" t="s">
        <v>503</v>
      </c>
    </row>
    <row r="148" spans="1:15" x14ac:dyDescent="0.2">
      <c r="A148" t="s">
        <v>1275</v>
      </c>
      <c r="B148" t="s">
        <v>461</v>
      </c>
      <c r="C148">
        <v>1</v>
      </c>
      <c r="D148" t="s">
        <v>463</v>
      </c>
      <c r="E148" t="s">
        <v>1086</v>
      </c>
      <c r="F148" t="s">
        <v>505</v>
      </c>
      <c r="H148">
        <v>1.65</v>
      </c>
      <c r="O148" t="s">
        <v>503</v>
      </c>
    </row>
    <row r="149" spans="1:15" x14ac:dyDescent="0.2">
      <c r="A149" t="s">
        <v>1275</v>
      </c>
      <c r="B149" s="6" t="s">
        <v>461</v>
      </c>
      <c r="C149" s="6">
        <v>1</v>
      </c>
      <c r="D149" s="6" t="s">
        <v>463</v>
      </c>
      <c r="E149" t="s">
        <v>1087</v>
      </c>
      <c r="F149" s="6" t="s">
        <v>332</v>
      </c>
      <c r="H149" s="6">
        <f>0.889-0.36</f>
        <v>0.52900000000000003</v>
      </c>
      <c r="N149">
        <v>0</v>
      </c>
      <c r="O149" t="s">
        <v>506</v>
      </c>
    </row>
    <row r="150" spans="1:15" x14ac:dyDescent="0.2">
      <c r="A150" t="s">
        <v>1275</v>
      </c>
      <c r="B150" s="6" t="s">
        <v>461</v>
      </c>
      <c r="C150" s="6">
        <v>1</v>
      </c>
      <c r="D150" s="6" t="s">
        <v>463</v>
      </c>
      <c r="E150" t="s">
        <v>2480</v>
      </c>
      <c r="F150" s="6" t="s">
        <v>332</v>
      </c>
      <c r="H150" s="6">
        <v>0.18</v>
      </c>
    </row>
    <row r="151" spans="1:15" x14ac:dyDescent="0.2">
      <c r="A151" t="s">
        <v>1275</v>
      </c>
      <c r="B151" s="6" t="s">
        <v>461</v>
      </c>
      <c r="C151" s="6">
        <v>1</v>
      </c>
      <c r="D151" s="6" t="s">
        <v>463</v>
      </c>
      <c r="E151" t="s">
        <v>507</v>
      </c>
      <c r="F151" s="6" t="s">
        <v>504</v>
      </c>
      <c r="H151">
        <v>0.5</v>
      </c>
    </row>
    <row r="152" spans="1:15" x14ac:dyDescent="0.2">
      <c r="A152" t="s">
        <v>1275</v>
      </c>
      <c r="B152" t="s">
        <v>461</v>
      </c>
      <c r="C152">
        <v>1</v>
      </c>
      <c r="D152" t="s">
        <v>463</v>
      </c>
      <c r="E152" t="s">
        <v>508</v>
      </c>
      <c r="F152" t="s">
        <v>332</v>
      </c>
      <c r="H152">
        <v>4.0000000000000001E-3</v>
      </c>
      <c r="I152">
        <v>88</v>
      </c>
      <c r="K152">
        <v>86</v>
      </c>
    </row>
    <row r="153" spans="1:15" x14ac:dyDescent="0.2">
      <c r="A153" t="s">
        <v>1275</v>
      </c>
      <c r="B153" t="s">
        <v>461</v>
      </c>
      <c r="C153">
        <v>1</v>
      </c>
      <c r="D153" t="s">
        <v>463</v>
      </c>
      <c r="E153" t="s">
        <v>509</v>
      </c>
      <c r="F153" t="s">
        <v>332</v>
      </c>
      <c r="H153">
        <v>5.0000000000000001E-3</v>
      </c>
      <c r="I153">
        <v>95</v>
      </c>
      <c r="K153">
        <v>89</v>
      </c>
    </row>
    <row r="154" spans="1:15" x14ac:dyDescent="0.2">
      <c r="A154" t="s">
        <v>1275</v>
      </c>
      <c r="B154" t="s">
        <v>461</v>
      </c>
      <c r="C154">
        <v>1</v>
      </c>
      <c r="D154" t="s">
        <v>463</v>
      </c>
      <c r="E154" t="s">
        <v>510</v>
      </c>
      <c r="F154" t="s">
        <v>511</v>
      </c>
      <c r="H154">
        <v>0.03</v>
      </c>
      <c r="O154" t="s">
        <v>512</v>
      </c>
    </row>
    <row r="155" spans="1:15" x14ac:dyDescent="0.2">
      <c r="A155" t="s">
        <v>1275</v>
      </c>
      <c r="B155" t="s">
        <v>461</v>
      </c>
      <c r="C155">
        <v>1</v>
      </c>
      <c r="D155" t="s">
        <v>463</v>
      </c>
      <c r="E155" t="s">
        <v>513</v>
      </c>
      <c r="F155" t="s">
        <v>339</v>
      </c>
      <c r="H155">
        <v>2.5000000000000001E-2</v>
      </c>
    </row>
    <row r="156" spans="1:15" x14ac:dyDescent="0.2">
      <c r="A156" t="s">
        <v>1275</v>
      </c>
      <c r="B156" t="s">
        <v>461</v>
      </c>
      <c r="C156">
        <v>1</v>
      </c>
      <c r="D156" t="s">
        <v>463</v>
      </c>
      <c r="E156" t="s">
        <v>514</v>
      </c>
      <c r="F156" t="s">
        <v>363</v>
      </c>
      <c r="L156" t="s">
        <v>300</v>
      </c>
    </row>
    <row r="157" spans="1:15" x14ac:dyDescent="0.2">
      <c r="A157" t="s">
        <v>1275</v>
      </c>
      <c r="B157" t="s">
        <v>461</v>
      </c>
      <c r="C157">
        <v>1</v>
      </c>
      <c r="D157" t="s">
        <v>463</v>
      </c>
      <c r="E157" t="s">
        <v>516</v>
      </c>
      <c r="F157" t="s">
        <v>228</v>
      </c>
      <c r="H157">
        <v>1.6E-2</v>
      </c>
      <c r="I157">
        <v>117</v>
      </c>
      <c r="K157">
        <v>100</v>
      </c>
      <c r="O157" t="s">
        <v>548</v>
      </c>
    </row>
    <row r="158" spans="1:15" x14ac:dyDescent="0.2">
      <c r="A158" t="s">
        <v>1275</v>
      </c>
      <c r="B158" t="s">
        <v>461</v>
      </c>
      <c r="C158">
        <v>1</v>
      </c>
      <c r="D158" t="s">
        <v>463</v>
      </c>
      <c r="E158" t="s">
        <v>517</v>
      </c>
      <c r="F158" t="s">
        <v>515</v>
      </c>
    </row>
    <row r="159" spans="1:15" x14ac:dyDescent="0.2">
      <c r="A159" t="s">
        <v>1275</v>
      </c>
      <c r="B159" t="s">
        <v>461</v>
      </c>
      <c r="C159">
        <v>1</v>
      </c>
      <c r="D159" t="s">
        <v>463</v>
      </c>
      <c r="E159" t="s">
        <v>518</v>
      </c>
      <c r="F159" t="s">
        <v>228</v>
      </c>
      <c r="H159">
        <v>1.4E-2</v>
      </c>
      <c r="I159">
        <v>120</v>
      </c>
      <c r="K159">
        <v>100</v>
      </c>
    </row>
    <row r="160" spans="1:15" x14ac:dyDescent="0.2">
      <c r="A160" t="s">
        <v>1275</v>
      </c>
      <c r="B160" t="s">
        <v>461</v>
      </c>
      <c r="C160">
        <v>1</v>
      </c>
      <c r="D160" t="s">
        <v>463</v>
      </c>
      <c r="E160" t="s">
        <v>519</v>
      </c>
      <c r="F160" t="s">
        <v>228</v>
      </c>
      <c r="H160">
        <v>1.4999999999999999E-2</v>
      </c>
      <c r="I160">
        <v>119</v>
      </c>
      <c r="K160">
        <v>100</v>
      </c>
    </row>
    <row r="161" spans="1:11" x14ac:dyDescent="0.2">
      <c r="A161" t="s">
        <v>1275</v>
      </c>
      <c r="B161" t="s">
        <v>461</v>
      </c>
      <c r="C161">
        <v>1</v>
      </c>
      <c r="D161" t="s">
        <v>463</v>
      </c>
      <c r="E161" t="s">
        <v>520</v>
      </c>
      <c r="F161" t="s">
        <v>228</v>
      </c>
      <c r="H161">
        <v>1.6E-2</v>
      </c>
      <c r="I161">
        <v>120</v>
      </c>
      <c r="K161">
        <v>99</v>
      </c>
    </row>
    <row r="162" spans="1:11" x14ac:dyDescent="0.2">
      <c r="A162" t="s">
        <v>1275</v>
      </c>
      <c r="B162" t="s">
        <v>461</v>
      </c>
      <c r="C162">
        <v>1</v>
      </c>
      <c r="D162" t="s">
        <v>463</v>
      </c>
      <c r="E162" t="s">
        <v>521</v>
      </c>
      <c r="F162" t="s">
        <v>228</v>
      </c>
      <c r="H162">
        <v>1.6E-2</v>
      </c>
      <c r="I162">
        <v>121</v>
      </c>
      <c r="K162">
        <v>100</v>
      </c>
    </row>
    <row r="163" spans="1:11" x14ac:dyDescent="0.2">
      <c r="A163" t="s">
        <v>1275</v>
      </c>
      <c r="B163" t="s">
        <v>461</v>
      </c>
      <c r="C163">
        <v>1</v>
      </c>
      <c r="D163" t="s">
        <v>463</v>
      </c>
      <c r="E163" t="s">
        <v>522</v>
      </c>
      <c r="F163" t="s">
        <v>228</v>
      </c>
      <c r="H163">
        <v>4.0000000000000001E-3</v>
      </c>
      <c r="I163">
        <v>75</v>
      </c>
      <c r="K163">
        <v>66</v>
      </c>
    </row>
    <row r="164" spans="1:11" x14ac:dyDescent="0.2">
      <c r="A164" t="s">
        <v>1275</v>
      </c>
      <c r="B164" t="s">
        <v>461</v>
      </c>
      <c r="C164">
        <v>1</v>
      </c>
      <c r="D164" t="s">
        <v>463</v>
      </c>
      <c r="E164" t="s">
        <v>523</v>
      </c>
      <c r="F164" t="s">
        <v>228</v>
      </c>
      <c r="H164">
        <v>1.2E-2</v>
      </c>
    </row>
    <row r="165" spans="1:11" x14ac:dyDescent="0.2">
      <c r="A165" t="s">
        <v>1275</v>
      </c>
      <c r="B165" t="s">
        <v>461</v>
      </c>
      <c r="C165">
        <v>1</v>
      </c>
      <c r="D165" t="s">
        <v>463</v>
      </c>
      <c r="E165" t="s">
        <v>524</v>
      </c>
      <c r="F165" t="s">
        <v>228</v>
      </c>
      <c r="H165">
        <v>1.4999999999999999E-2</v>
      </c>
      <c r="I165">
        <v>118</v>
      </c>
      <c r="K165">
        <v>99</v>
      </c>
    </row>
    <row r="166" spans="1:11" x14ac:dyDescent="0.2">
      <c r="A166" t="s">
        <v>1275</v>
      </c>
      <c r="B166" t="s">
        <v>461</v>
      </c>
      <c r="C166">
        <v>1</v>
      </c>
      <c r="D166" t="s">
        <v>463</v>
      </c>
      <c r="E166" t="s">
        <v>525</v>
      </c>
      <c r="F166" t="s">
        <v>228</v>
      </c>
      <c r="H166">
        <v>1.6E-2</v>
      </c>
      <c r="I166">
        <v>122</v>
      </c>
      <c r="K166">
        <v>100</v>
      </c>
    </row>
    <row r="167" spans="1:11" x14ac:dyDescent="0.2">
      <c r="A167" t="s">
        <v>1275</v>
      </c>
      <c r="B167" t="s">
        <v>461</v>
      </c>
      <c r="C167">
        <v>1</v>
      </c>
      <c r="D167" t="s">
        <v>463</v>
      </c>
      <c r="E167" t="s">
        <v>526</v>
      </c>
      <c r="F167" t="s">
        <v>228</v>
      </c>
      <c r="H167">
        <v>1.4999999999999999E-2</v>
      </c>
      <c r="I167">
        <v>122</v>
      </c>
      <c r="K167">
        <v>101</v>
      </c>
    </row>
    <row r="168" spans="1:11" x14ac:dyDescent="0.2">
      <c r="A168" t="s">
        <v>1275</v>
      </c>
      <c r="B168" t="s">
        <v>461</v>
      </c>
      <c r="C168">
        <v>1</v>
      </c>
      <c r="D168" t="s">
        <v>463</v>
      </c>
      <c r="E168" t="s">
        <v>527</v>
      </c>
      <c r="F168" t="s">
        <v>228</v>
      </c>
      <c r="H168">
        <v>1.2999999999999999E-2</v>
      </c>
      <c r="I168">
        <v>114</v>
      </c>
      <c r="K168">
        <v>94</v>
      </c>
    </row>
    <row r="169" spans="1:11" x14ac:dyDescent="0.2">
      <c r="A169" t="s">
        <v>1275</v>
      </c>
      <c r="B169" t="s">
        <v>461</v>
      </c>
      <c r="C169">
        <v>1</v>
      </c>
      <c r="D169" t="s">
        <v>463</v>
      </c>
      <c r="E169" t="s">
        <v>528</v>
      </c>
      <c r="F169" t="s">
        <v>228</v>
      </c>
      <c r="H169">
        <v>7.0000000000000001E-3</v>
      </c>
      <c r="I169">
        <v>96</v>
      </c>
      <c r="K169">
        <v>80</v>
      </c>
    </row>
    <row r="170" spans="1:11" x14ac:dyDescent="0.2">
      <c r="A170" t="s">
        <v>1275</v>
      </c>
      <c r="B170" t="s">
        <v>461</v>
      </c>
      <c r="C170">
        <v>1</v>
      </c>
      <c r="D170" t="s">
        <v>463</v>
      </c>
      <c r="E170" t="s">
        <v>529</v>
      </c>
      <c r="F170" t="s">
        <v>228</v>
      </c>
      <c r="H170">
        <v>5.0000000000000001E-3</v>
      </c>
      <c r="I170">
        <v>81</v>
      </c>
      <c r="K170">
        <v>73</v>
      </c>
    </row>
    <row r="171" spans="1:11" x14ac:dyDescent="0.2">
      <c r="A171" t="s">
        <v>1275</v>
      </c>
      <c r="B171" t="s">
        <v>461</v>
      </c>
      <c r="C171">
        <v>1</v>
      </c>
      <c r="D171" t="s">
        <v>463</v>
      </c>
      <c r="E171" t="s">
        <v>530</v>
      </c>
      <c r="F171" t="s">
        <v>228</v>
      </c>
      <c r="H171">
        <v>5.0000000000000001E-3</v>
      </c>
      <c r="I171">
        <v>87</v>
      </c>
      <c r="K171">
        <v>75</v>
      </c>
    </row>
    <row r="172" spans="1:11" x14ac:dyDescent="0.2">
      <c r="A172" t="s">
        <v>1275</v>
      </c>
      <c r="B172" t="s">
        <v>461</v>
      </c>
      <c r="C172">
        <v>1</v>
      </c>
      <c r="D172" t="s">
        <v>463</v>
      </c>
      <c r="E172" t="s">
        <v>531</v>
      </c>
      <c r="F172" t="s">
        <v>228</v>
      </c>
      <c r="H172">
        <v>5.0000000000000001E-3</v>
      </c>
      <c r="I172">
        <v>84</v>
      </c>
      <c r="K172">
        <v>71</v>
      </c>
    </row>
    <row r="173" spans="1:11" x14ac:dyDescent="0.2">
      <c r="A173" t="s">
        <v>1275</v>
      </c>
      <c r="B173" t="s">
        <v>461</v>
      </c>
      <c r="C173">
        <v>1</v>
      </c>
      <c r="D173" t="s">
        <v>463</v>
      </c>
      <c r="E173" t="s">
        <v>532</v>
      </c>
      <c r="F173" t="s">
        <v>228</v>
      </c>
      <c r="H173">
        <v>4.0000000000000001E-3</v>
      </c>
      <c r="I173">
        <v>77</v>
      </c>
      <c r="K173">
        <v>65</v>
      </c>
    </row>
    <row r="174" spans="1:11" x14ac:dyDescent="0.2">
      <c r="A174" t="s">
        <v>1275</v>
      </c>
      <c r="B174" t="s">
        <v>461</v>
      </c>
      <c r="C174">
        <v>1</v>
      </c>
      <c r="D174" t="s">
        <v>463</v>
      </c>
      <c r="E174" t="s">
        <v>533</v>
      </c>
      <c r="F174" t="s">
        <v>228</v>
      </c>
      <c r="H174">
        <v>3.0000000000000001E-3</v>
      </c>
      <c r="I174">
        <v>67</v>
      </c>
      <c r="K174">
        <v>62</v>
      </c>
    </row>
    <row r="175" spans="1:11" x14ac:dyDescent="0.2">
      <c r="A175" t="s">
        <v>1275</v>
      </c>
      <c r="B175" t="s">
        <v>461</v>
      </c>
      <c r="C175">
        <v>1</v>
      </c>
      <c r="D175" t="s">
        <v>463</v>
      </c>
      <c r="E175" t="s">
        <v>534</v>
      </c>
      <c r="F175" t="s">
        <v>228</v>
      </c>
      <c r="H175">
        <v>3.0000000000000001E-3</v>
      </c>
      <c r="I175">
        <v>69</v>
      </c>
      <c r="K175">
        <v>62</v>
      </c>
    </row>
    <row r="176" spans="1:11" x14ac:dyDescent="0.2">
      <c r="A176" t="s">
        <v>1275</v>
      </c>
      <c r="B176" t="s">
        <v>461</v>
      </c>
      <c r="C176">
        <v>1</v>
      </c>
      <c r="D176" t="s">
        <v>463</v>
      </c>
      <c r="E176" t="s">
        <v>535</v>
      </c>
      <c r="F176" t="s">
        <v>228</v>
      </c>
      <c r="H176">
        <v>3.0000000000000001E-3</v>
      </c>
      <c r="I176">
        <v>64</v>
      </c>
      <c r="K176">
        <v>59</v>
      </c>
    </row>
    <row r="177" spans="1:15" x14ac:dyDescent="0.2">
      <c r="A177" t="s">
        <v>1275</v>
      </c>
      <c r="B177" t="s">
        <v>461</v>
      </c>
      <c r="C177">
        <v>1</v>
      </c>
      <c r="D177" t="s">
        <v>463</v>
      </c>
      <c r="E177" t="s">
        <v>536</v>
      </c>
      <c r="F177" t="s">
        <v>228</v>
      </c>
      <c r="H177">
        <v>3.0000000000000001E-3</v>
      </c>
      <c r="I177">
        <v>62</v>
      </c>
      <c r="K177">
        <v>57</v>
      </c>
    </row>
    <row r="178" spans="1:15" x14ac:dyDescent="0.2">
      <c r="A178" t="s">
        <v>1275</v>
      </c>
      <c r="B178" t="s">
        <v>461</v>
      </c>
      <c r="C178">
        <v>1</v>
      </c>
      <c r="D178" t="s">
        <v>463</v>
      </c>
      <c r="E178" t="s">
        <v>537</v>
      </c>
      <c r="F178" t="s">
        <v>228</v>
      </c>
      <c r="H178">
        <v>2E-3</v>
      </c>
      <c r="I178">
        <v>63</v>
      </c>
      <c r="K178">
        <v>55</v>
      </c>
    </row>
    <row r="179" spans="1:15" x14ac:dyDescent="0.2">
      <c r="A179" t="s">
        <v>1275</v>
      </c>
      <c r="B179" t="s">
        <v>461</v>
      </c>
      <c r="C179">
        <v>1</v>
      </c>
      <c r="D179" t="s">
        <v>463</v>
      </c>
      <c r="E179" t="s">
        <v>538</v>
      </c>
      <c r="F179" t="s">
        <v>228</v>
      </c>
      <c r="H179">
        <v>1E-3</v>
      </c>
      <c r="I179">
        <v>50</v>
      </c>
      <c r="K179">
        <v>47</v>
      </c>
    </row>
    <row r="180" spans="1:15" x14ac:dyDescent="0.2">
      <c r="A180" t="s">
        <v>1275</v>
      </c>
      <c r="B180" t="s">
        <v>461</v>
      </c>
      <c r="C180">
        <v>1</v>
      </c>
      <c r="D180" t="s">
        <v>463</v>
      </c>
      <c r="E180" t="s">
        <v>539</v>
      </c>
      <c r="F180" t="s">
        <v>547</v>
      </c>
      <c r="H180">
        <v>2.7E-2</v>
      </c>
      <c r="I180">
        <v>129</v>
      </c>
      <c r="K180">
        <v>112</v>
      </c>
      <c r="O180" t="s">
        <v>549</v>
      </c>
    </row>
    <row r="181" spans="1:15" x14ac:dyDescent="0.2">
      <c r="A181" t="s">
        <v>1275</v>
      </c>
      <c r="B181" t="s">
        <v>461</v>
      </c>
      <c r="C181">
        <v>1</v>
      </c>
      <c r="D181" t="s">
        <v>463</v>
      </c>
      <c r="E181" t="s">
        <v>540</v>
      </c>
      <c r="F181" t="s">
        <v>547</v>
      </c>
      <c r="H181">
        <v>1.6E-2</v>
      </c>
      <c r="I181">
        <v>142</v>
      </c>
      <c r="K181">
        <v>138</v>
      </c>
      <c r="O181" t="s">
        <v>549</v>
      </c>
    </row>
    <row r="182" spans="1:15" x14ac:dyDescent="0.2">
      <c r="A182" t="s">
        <v>1275</v>
      </c>
      <c r="B182" t="s">
        <v>461</v>
      </c>
      <c r="C182">
        <v>1</v>
      </c>
      <c r="D182" t="s">
        <v>463</v>
      </c>
      <c r="E182" t="s">
        <v>541</v>
      </c>
      <c r="F182" t="s">
        <v>547</v>
      </c>
      <c r="H182">
        <v>1.7000000000000001E-2</v>
      </c>
      <c r="I182">
        <v>161</v>
      </c>
      <c r="K182">
        <v>145</v>
      </c>
      <c r="O182" t="s">
        <v>549</v>
      </c>
    </row>
    <row r="183" spans="1:15" x14ac:dyDescent="0.2">
      <c r="A183" t="s">
        <v>1275</v>
      </c>
      <c r="B183" t="s">
        <v>461</v>
      </c>
      <c r="C183">
        <v>1</v>
      </c>
      <c r="D183" t="s">
        <v>463</v>
      </c>
      <c r="E183" t="s">
        <v>542</v>
      </c>
      <c r="F183" t="s">
        <v>547</v>
      </c>
      <c r="H183">
        <v>1.4E-2</v>
      </c>
      <c r="I183">
        <v>158</v>
      </c>
      <c r="K183">
        <v>142</v>
      </c>
      <c r="O183" t="s">
        <v>549</v>
      </c>
    </row>
    <row r="184" spans="1:15" x14ac:dyDescent="0.2">
      <c r="A184" t="s">
        <v>1275</v>
      </c>
      <c r="B184" t="s">
        <v>461</v>
      </c>
      <c r="C184">
        <v>1</v>
      </c>
      <c r="D184" t="s">
        <v>463</v>
      </c>
      <c r="E184" t="s">
        <v>543</v>
      </c>
      <c r="F184" t="s">
        <v>547</v>
      </c>
      <c r="H184">
        <v>2.1999999999999999E-2</v>
      </c>
      <c r="I184">
        <v>170</v>
      </c>
      <c r="K184">
        <v>162</v>
      </c>
      <c r="O184" t="s">
        <v>549</v>
      </c>
    </row>
    <row r="185" spans="1:15" x14ac:dyDescent="0.2">
      <c r="A185" t="s">
        <v>1275</v>
      </c>
      <c r="B185" t="s">
        <v>461</v>
      </c>
      <c r="C185">
        <v>1</v>
      </c>
      <c r="D185" t="s">
        <v>463</v>
      </c>
      <c r="E185" t="s">
        <v>544</v>
      </c>
      <c r="F185" t="s">
        <v>547</v>
      </c>
      <c r="H185">
        <v>3.0000000000000001E-3</v>
      </c>
      <c r="I185">
        <v>80</v>
      </c>
      <c r="K185">
        <v>75</v>
      </c>
      <c r="O185" t="s">
        <v>549</v>
      </c>
    </row>
    <row r="186" spans="1:15" x14ac:dyDescent="0.2">
      <c r="A186" t="s">
        <v>1275</v>
      </c>
      <c r="B186" t="s">
        <v>461</v>
      </c>
      <c r="C186">
        <v>1</v>
      </c>
      <c r="D186" t="s">
        <v>463</v>
      </c>
      <c r="E186" t="s">
        <v>545</v>
      </c>
      <c r="F186" t="s">
        <v>547</v>
      </c>
      <c r="H186">
        <v>2E-3</v>
      </c>
      <c r="I186">
        <v>77</v>
      </c>
      <c r="K186">
        <v>72</v>
      </c>
      <c r="O186" t="s">
        <v>549</v>
      </c>
    </row>
    <row r="187" spans="1:15" x14ac:dyDescent="0.2">
      <c r="A187" t="s">
        <v>1275</v>
      </c>
      <c r="B187" t="s">
        <v>461</v>
      </c>
      <c r="C187">
        <v>1</v>
      </c>
      <c r="D187" t="s">
        <v>463</v>
      </c>
      <c r="E187" t="s">
        <v>546</v>
      </c>
      <c r="F187" t="s">
        <v>547</v>
      </c>
      <c r="H187">
        <v>3.0000000000000001E-3</v>
      </c>
      <c r="I187">
        <v>73</v>
      </c>
      <c r="K187">
        <v>69</v>
      </c>
      <c r="O187" t="s">
        <v>549</v>
      </c>
    </row>
    <row r="188" spans="1:15" x14ac:dyDescent="0.2">
      <c r="A188" t="s">
        <v>1275</v>
      </c>
      <c r="B188" t="s">
        <v>461</v>
      </c>
      <c r="C188">
        <v>1</v>
      </c>
      <c r="D188" t="s">
        <v>463</v>
      </c>
      <c r="E188" t="s">
        <v>550</v>
      </c>
      <c r="F188" t="s">
        <v>228</v>
      </c>
      <c r="H188">
        <v>0.111</v>
      </c>
      <c r="O188" t="s">
        <v>551</v>
      </c>
    </row>
    <row r="189" spans="1:15" x14ac:dyDescent="0.2">
      <c r="A189" t="s">
        <v>1275</v>
      </c>
      <c r="B189" t="s">
        <v>461</v>
      </c>
      <c r="C189">
        <v>1</v>
      </c>
      <c r="D189" t="s">
        <v>463</v>
      </c>
      <c r="E189" t="s">
        <v>550</v>
      </c>
      <c r="F189" t="s">
        <v>332</v>
      </c>
      <c r="H189">
        <v>2.5999999999999999E-2</v>
      </c>
      <c r="O189" t="s">
        <v>303</v>
      </c>
    </row>
    <row r="190" spans="1:15" x14ac:dyDescent="0.2">
      <c r="A190" t="s">
        <v>1275</v>
      </c>
      <c r="B190" t="s">
        <v>461</v>
      </c>
      <c r="C190">
        <v>1</v>
      </c>
      <c r="D190" t="s">
        <v>463</v>
      </c>
      <c r="E190" t="s">
        <v>552</v>
      </c>
      <c r="F190" t="s">
        <v>547</v>
      </c>
      <c r="G190">
        <v>2</v>
      </c>
      <c r="I190">
        <v>65</v>
      </c>
      <c r="K190">
        <v>63</v>
      </c>
    </row>
    <row r="191" spans="1:15" x14ac:dyDescent="0.2">
      <c r="A191" t="s">
        <v>1275</v>
      </c>
      <c r="B191" t="s">
        <v>461</v>
      </c>
      <c r="C191">
        <v>1</v>
      </c>
      <c r="D191" t="s">
        <v>463</v>
      </c>
      <c r="E191" t="s">
        <v>553</v>
      </c>
      <c r="F191" t="s">
        <v>547</v>
      </c>
      <c r="G191">
        <v>1</v>
      </c>
      <c r="I191">
        <v>57</v>
      </c>
      <c r="K191">
        <v>53</v>
      </c>
    </row>
    <row r="192" spans="1:15" x14ac:dyDescent="0.2">
      <c r="A192" t="s">
        <v>1275</v>
      </c>
      <c r="B192" t="s">
        <v>461</v>
      </c>
      <c r="C192">
        <v>1</v>
      </c>
      <c r="D192" t="s">
        <v>463</v>
      </c>
      <c r="E192" t="s">
        <v>554</v>
      </c>
      <c r="F192" t="s">
        <v>547</v>
      </c>
      <c r="G192">
        <v>1</v>
      </c>
      <c r="I192">
        <v>57</v>
      </c>
      <c r="K192">
        <v>53</v>
      </c>
    </row>
    <row r="193" spans="1:15" x14ac:dyDescent="0.2">
      <c r="A193" t="s">
        <v>1275</v>
      </c>
      <c r="B193" t="s">
        <v>461</v>
      </c>
      <c r="C193">
        <v>1</v>
      </c>
      <c r="D193" t="s">
        <v>463</v>
      </c>
      <c r="E193" t="s">
        <v>555</v>
      </c>
      <c r="F193" t="s">
        <v>547</v>
      </c>
      <c r="G193">
        <v>1</v>
      </c>
      <c r="I193">
        <v>58</v>
      </c>
      <c r="K193">
        <v>54</v>
      </c>
    </row>
    <row r="194" spans="1:15" x14ac:dyDescent="0.2">
      <c r="A194" t="s">
        <v>1275</v>
      </c>
      <c r="B194" t="s">
        <v>461</v>
      </c>
      <c r="C194">
        <v>1</v>
      </c>
      <c r="D194" t="s">
        <v>463</v>
      </c>
      <c r="E194" t="s">
        <v>556</v>
      </c>
      <c r="F194" t="s">
        <v>547</v>
      </c>
      <c r="G194">
        <v>1</v>
      </c>
      <c r="I194">
        <v>51</v>
      </c>
      <c r="K194">
        <v>49</v>
      </c>
    </row>
    <row r="195" spans="1:15" x14ac:dyDescent="0.2">
      <c r="A195" t="s">
        <v>1275</v>
      </c>
      <c r="B195" t="s">
        <v>461</v>
      </c>
      <c r="C195">
        <v>1</v>
      </c>
      <c r="D195" t="s">
        <v>463</v>
      </c>
      <c r="E195" t="s">
        <v>557</v>
      </c>
      <c r="F195" t="s">
        <v>547</v>
      </c>
      <c r="G195">
        <v>1</v>
      </c>
      <c r="I195">
        <v>56</v>
      </c>
      <c r="K195">
        <v>52</v>
      </c>
    </row>
    <row r="196" spans="1:15" x14ac:dyDescent="0.2">
      <c r="A196" t="s">
        <v>1275</v>
      </c>
      <c r="B196" t="s">
        <v>461</v>
      </c>
      <c r="C196">
        <v>1</v>
      </c>
      <c r="D196" t="s">
        <v>463</v>
      </c>
      <c r="E196" t="s">
        <v>558</v>
      </c>
      <c r="F196" t="s">
        <v>343</v>
      </c>
      <c r="G196">
        <v>76</v>
      </c>
      <c r="I196">
        <v>213</v>
      </c>
      <c r="K196">
        <v>185</v>
      </c>
      <c r="O196" t="s">
        <v>613</v>
      </c>
    </row>
    <row r="197" spans="1:15" x14ac:dyDescent="0.2">
      <c r="A197" t="s">
        <v>1275</v>
      </c>
      <c r="B197" t="s">
        <v>461</v>
      </c>
      <c r="C197">
        <v>1</v>
      </c>
      <c r="D197" t="s">
        <v>463</v>
      </c>
      <c r="E197" t="s">
        <v>559</v>
      </c>
      <c r="F197" t="s">
        <v>343</v>
      </c>
      <c r="G197">
        <v>19</v>
      </c>
      <c r="I197">
        <v>160</v>
      </c>
      <c r="K197">
        <v>135</v>
      </c>
      <c r="O197" t="s">
        <v>613</v>
      </c>
    </row>
    <row r="198" spans="1:15" x14ac:dyDescent="0.2">
      <c r="A198" t="s">
        <v>1275</v>
      </c>
      <c r="B198" t="s">
        <v>461</v>
      </c>
      <c r="C198">
        <v>1</v>
      </c>
      <c r="D198" t="s">
        <v>463</v>
      </c>
      <c r="E198" t="s">
        <v>560</v>
      </c>
      <c r="F198" t="s">
        <v>343</v>
      </c>
      <c r="G198">
        <v>15</v>
      </c>
      <c r="I198">
        <v>139</v>
      </c>
      <c r="K198">
        <v>132</v>
      </c>
      <c r="O198" t="s">
        <v>614</v>
      </c>
    </row>
    <row r="199" spans="1:15" x14ac:dyDescent="0.2">
      <c r="A199" t="s">
        <v>1275</v>
      </c>
      <c r="B199" t="s">
        <v>461</v>
      </c>
      <c r="C199">
        <v>1</v>
      </c>
      <c r="D199" t="s">
        <v>463</v>
      </c>
      <c r="E199" t="s">
        <v>561</v>
      </c>
      <c r="F199" t="s">
        <v>343</v>
      </c>
      <c r="G199">
        <v>33</v>
      </c>
      <c r="I199">
        <v>152</v>
      </c>
      <c r="K199">
        <v>133</v>
      </c>
      <c r="O199" t="s">
        <v>615</v>
      </c>
    </row>
    <row r="200" spans="1:15" x14ac:dyDescent="0.2">
      <c r="A200" t="s">
        <v>1275</v>
      </c>
      <c r="B200" t="s">
        <v>461</v>
      </c>
      <c r="C200">
        <v>1</v>
      </c>
      <c r="D200" t="s">
        <v>463</v>
      </c>
      <c r="E200" t="s">
        <v>562</v>
      </c>
      <c r="F200" t="s">
        <v>343</v>
      </c>
      <c r="G200">
        <v>17</v>
      </c>
      <c r="I200">
        <v>132</v>
      </c>
      <c r="K200">
        <v>110</v>
      </c>
      <c r="O200" t="s">
        <v>615</v>
      </c>
    </row>
    <row r="201" spans="1:15" x14ac:dyDescent="0.2">
      <c r="A201" t="s">
        <v>1275</v>
      </c>
      <c r="B201" t="s">
        <v>461</v>
      </c>
      <c r="C201">
        <v>1</v>
      </c>
      <c r="D201" t="s">
        <v>463</v>
      </c>
      <c r="E201" t="s">
        <v>563</v>
      </c>
      <c r="F201" t="s">
        <v>343</v>
      </c>
      <c r="G201">
        <v>29</v>
      </c>
      <c r="I201">
        <v>173</v>
      </c>
      <c r="K201">
        <v>140</v>
      </c>
      <c r="O201" t="s">
        <v>616</v>
      </c>
    </row>
    <row r="202" spans="1:15" x14ac:dyDescent="0.2">
      <c r="A202" t="s">
        <v>1275</v>
      </c>
      <c r="B202" t="s">
        <v>461</v>
      </c>
      <c r="C202">
        <v>1</v>
      </c>
      <c r="D202" t="s">
        <v>463</v>
      </c>
      <c r="E202" t="s">
        <v>564</v>
      </c>
      <c r="F202" t="s">
        <v>343</v>
      </c>
      <c r="G202">
        <v>27</v>
      </c>
      <c r="I202">
        <v>168</v>
      </c>
      <c r="K202">
        <v>141</v>
      </c>
      <c r="O202" t="s">
        <v>617</v>
      </c>
    </row>
    <row r="203" spans="1:15" x14ac:dyDescent="0.2">
      <c r="A203" t="s">
        <v>1275</v>
      </c>
      <c r="B203" t="s">
        <v>461</v>
      </c>
      <c r="C203">
        <v>1</v>
      </c>
      <c r="D203" t="s">
        <v>463</v>
      </c>
      <c r="E203" t="s">
        <v>565</v>
      </c>
      <c r="F203" t="s">
        <v>343</v>
      </c>
      <c r="G203">
        <v>14</v>
      </c>
      <c r="I203">
        <v>134</v>
      </c>
      <c r="K203">
        <v>115</v>
      </c>
      <c r="O203" t="s">
        <v>617</v>
      </c>
    </row>
    <row r="204" spans="1:15" x14ac:dyDescent="0.2">
      <c r="A204" t="s">
        <v>1275</v>
      </c>
      <c r="B204" t="s">
        <v>461</v>
      </c>
      <c r="C204">
        <v>1</v>
      </c>
      <c r="D204" t="s">
        <v>463</v>
      </c>
      <c r="E204" t="s">
        <v>566</v>
      </c>
      <c r="F204" t="s">
        <v>343</v>
      </c>
      <c r="G204">
        <v>12</v>
      </c>
      <c r="I204">
        <v>128</v>
      </c>
      <c r="K204">
        <v>105</v>
      </c>
      <c r="O204" t="s">
        <v>617</v>
      </c>
    </row>
    <row r="205" spans="1:15" x14ac:dyDescent="0.2">
      <c r="A205" t="s">
        <v>1275</v>
      </c>
      <c r="B205" t="s">
        <v>461</v>
      </c>
      <c r="C205">
        <v>1</v>
      </c>
      <c r="D205" t="s">
        <v>463</v>
      </c>
      <c r="E205" t="s">
        <v>567</v>
      </c>
      <c r="F205" t="s">
        <v>343</v>
      </c>
      <c r="G205">
        <v>10</v>
      </c>
      <c r="I205">
        <v>129</v>
      </c>
      <c r="K205">
        <v>105</v>
      </c>
      <c r="O205" t="s">
        <v>617</v>
      </c>
    </row>
    <row r="206" spans="1:15" x14ac:dyDescent="0.2">
      <c r="A206" t="s">
        <v>1275</v>
      </c>
      <c r="B206" t="s">
        <v>461</v>
      </c>
      <c r="C206">
        <v>1</v>
      </c>
      <c r="D206" t="s">
        <v>463</v>
      </c>
      <c r="E206" t="s">
        <v>568</v>
      </c>
      <c r="F206" t="s">
        <v>343</v>
      </c>
      <c r="G206">
        <v>15</v>
      </c>
      <c r="I206">
        <v>138</v>
      </c>
      <c r="K206">
        <v>120</v>
      </c>
      <c r="O206" t="s">
        <v>617</v>
      </c>
    </row>
    <row r="207" spans="1:15" x14ac:dyDescent="0.2">
      <c r="A207" t="s">
        <v>1275</v>
      </c>
      <c r="B207" t="s">
        <v>461</v>
      </c>
      <c r="C207">
        <v>1</v>
      </c>
      <c r="D207" t="s">
        <v>463</v>
      </c>
      <c r="E207" t="s">
        <v>569</v>
      </c>
      <c r="F207" t="s">
        <v>343</v>
      </c>
      <c r="G207">
        <v>10</v>
      </c>
      <c r="I207">
        <v>126</v>
      </c>
      <c r="K207">
        <v>105</v>
      </c>
      <c r="O207" t="s">
        <v>617</v>
      </c>
    </row>
    <row r="208" spans="1:15" x14ac:dyDescent="0.2">
      <c r="A208" t="s">
        <v>1275</v>
      </c>
      <c r="B208" t="s">
        <v>461</v>
      </c>
      <c r="C208">
        <v>1</v>
      </c>
      <c r="D208" t="s">
        <v>463</v>
      </c>
      <c r="E208" t="s">
        <v>570</v>
      </c>
      <c r="F208" t="s">
        <v>343</v>
      </c>
      <c r="G208">
        <v>6</v>
      </c>
      <c r="I208">
        <v>109</v>
      </c>
      <c r="K208">
        <v>90</v>
      </c>
      <c r="O208" t="s">
        <v>617</v>
      </c>
    </row>
    <row r="209" spans="1:15" x14ac:dyDescent="0.2">
      <c r="A209" t="s">
        <v>1275</v>
      </c>
      <c r="B209" t="s">
        <v>461</v>
      </c>
      <c r="C209">
        <v>1</v>
      </c>
      <c r="D209" t="s">
        <v>463</v>
      </c>
      <c r="E209" t="s">
        <v>571</v>
      </c>
      <c r="F209" t="s">
        <v>343</v>
      </c>
      <c r="G209">
        <v>5</v>
      </c>
      <c r="I209">
        <v>104</v>
      </c>
      <c r="K209">
        <v>86</v>
      </c>
      <c r="O209" t="s">
        <v>617</v>
      </c>
    </row>
    <row r="210" spans="1:15" x14ac:dyDescent="0.2">
      <c r="A210" t="s">
        <v>1275</v>
      </c>
      <c r="B210" t="s">
        <v>461</v>
      </c>
      <c r="C210">
        <v>1</v>
      </c>
      <c r="D210" t="s">
        <v>463</v>
      </c>
      <c r="E210" t="s">
        <v>572</v>
      </c>
      <c r="F210" t="s">
        <v>343</v>
      </c>
      <c r="G210">
        <v>6</v>
      </c>
      <c r="I210">
        <v>109</v>
      </c>
      <c r="K210">
        <v>92</v>
      </c>
      <c r="O210" t="s">
        <v>617</v>
      </c>
    </row>
    <row r="211" spans="1:15" x14ac:dyDescent="0.2">
      <c r="A211" t="s">
        <v>1275</v>
      </c>
      <c r="B211" t="s">
        <v>461</v>
      </c>
      <c r="C211">
        <v>1</v>
      </c>
      <c r="D211" t="s">
        <v>463</v>
      </c>
      <c r="E211" t="s">
        <v>573</v>
      </c>
      <c r="F211" t="s">
        <v>343</v>
      </c>
      <c r="G211">
        <v>4</v>
      </c>
      <c r="I211">
        <v>95</v>
      </c>
      <c r="K211">
        <v>82</v>
      </c>
      <c r="O211" t="s">
        <v>617</v>
      </c>
    </row>
    <row r="212" spans="1:15" x14ac:dyDescent="0.2">
      <c r="A212" t="s">
        <v>1275</v>
      </c>
      <c r="B212" t="s">
        <v>461</v>
      </c>
      <c r="C212">
        <v>1</v>
      </c>
      <c r="D212" t="s">
        <v>463</v>
      </c>
      <c r="E212" t="s">
        <v>574</v>
      </c>
      <c r="F212" t="s">
        <v>343</v>
      </c>
      <c r="G212">
        <v>4</v>
      </c>
      <c r="I212">
        <v>94</v>
      </c>
      <c r="K212">
        <v>80</v>
      </c>
      <c r="O212" t="s">
        <v>617</v>
      </c>
    </row>
    <row r="213" spans="1:15" x14ac:dyDescent="0.2">
      <c r="A213" t="s">
        <v>1275</v>
      </c>
      <c r="B213" t="s">
        <v>461</v>
      </c>
      <c r="C213">
        <v>1</v>
      </c>
      <c r="D213" t="s">
        <v>463</v>
      </c>
      <c r="E213" t="s">
        <v>575</v>
      </c>
      <c r="F213" t="s">
        <v>343</v>
      </c>
      <c r="G213">
        <v>3</v>
      </c>
      <c r="I213">
        <v>83</v>
      </c>
      <c r="K213">
        <v>72</v>
      </c>
      <c r="O213" t="s">
        <v>617</v>
      </c>
    </row>
    <row r="214" spans="1:15" x14ac:dyDescent="0.2">
      <c r="A214" t="s">
        <v>1275</v>
      </c>
      <c r="B214" t="s">
        <v>461</v>
      </c>
      <c r="C214">
        <v>1</v>
      </c>
      <c r="D214" t="s">
        <v>463</v>
      </c>
      <c r="E214" t="s">
        <v>576</v>
      </c>
      <c r="F214" t="s">
        <v>343</v>
      </c>
      <c r="G214">
        <v>2</v>
      </c>
      <c r="I214">
        <v>89</v>
      </c>
      <c r="K214">
        <v>76</v>
      </c>
      <c r="O214" t="s">
        <v>617</v>
      </c>
    </row>
    <row r="215" spans="1:15" x14ac:dyDescent="0.2">
      <c r="A215" t="s">
        <v>1275</v>
      </c>
      <c r="B215" t="s">
        <v>461</v>
      </c>
      <c r="C215">
        <v>1</v>
      </c>
      <c r="D215" t="s">
        <v>463</v>
      </c>
      <c r="E215" t="s">
        <v>577</v>
      </c>
      <c r="F215" t="s">
        <v>343</v>
      </c>
      <c r="G215">
        <v>3</v>
      </c>
      <c r="I215">
        <v>93</v>
      </c>
      <c r="K215">
        <v>81</v>
      </c>
      <c r="O215" t="s">
        <v>617</v>
      </c>
    </row>
    <row r="216" spans="1:15" x14ac:dyDescent="0.2">
      <c r="A216" t="s">
        <v>1275</v>
      </c>
      <c r="B216" t="s">
        <v>461</v>
      </c>
      <c r="C216">
        <v>1</v>
      </c>
      <c r="D216" t="s">
        <v>463</v>
      </c>
      <c r="E216" t="s">
        <v>578</v>
      </c>
      <c r="F216" t="s">
        <v>343</v>
      </c>
      <c r="G216">
        <v>3</v>
      </c>
      <c r="I216">
        <v>87</v>
      </c>
      <c r="K216">
        <v>75</v>
      </c>
      <c r="O216" t="s">
        <v>617</v>
      </c>
    </row>
    <row r="217" spans="1:15" x14ac:dyDescent="0.2">
      <c r="A217" t="s">
        <v>1275</v>
      </c>
      <c r="B217" t="s">
        <v>461</v>
      </c>
      <c r="C217">
        <v>1</v>
      </c>
      <c r="D217" t="s">
        <v>463</v>
      </c>
      <c r="E217" t="s">
        <v>579</v>
      </c>
      <c r="F217" t="s">
        <v>610</v>
      </c>
      <c r="G217">
        <v>4</v>
      </c>
      <c r="I217">
        <v>77</v>
      </c>
      <c r="K217">
        <v>65</v>
      </c>
      <c r="O217" t="s">
        <v>367</v>
      </c>
    </row>
    <row r="218" spans="1:15" x14ac:dyDescent="0.2">
      <c r="A218" t="s">
        <v>1275</v>
      </c>
      <c r="B218" t="s">
        <v>461</v>
      </c>
      <c r="C218">
        <v>1</v>
      </c>
      <c r="D218" t="s">
        <v>463</v>
      </c>
      <c r="E218" t="s">
        <v>580</v>
      </c>
      <c r="F218" t="s">
        <v>610</v>
      </c>
      <c r="G218">
        <v>2</v>
      </c>
      <c r="I218">
        <v>69</v>
      </c>
      <c r="K218">
        <v>57</v>
      </c>
      <c r="O218" t="s">
        <v>367</v>
      </c>
    </row>
    <row r="219" spans="1:15" x14ac:dyDescent="0.2">
      <c r="A219" t="s">
        <v>1275</v>
      </c>
      <c r="B219" t="s">
        <v>461</v>
      </c>
      <c r="C219">
        <v>1</v>
      </c>
      <c r="D219" t="s">
        <v>463</v>
      </c>
      <c r="E219" t="s">
        <v>581</v>
      </c>
      <c r="F219" t="s">
        <v>610</v>
      </c>
      <c r="G219">
        <v>3</v>
      </c>
      <c r="I219">
        <v>73</v>
      </c>
      <c r="K219">
        <v>61</v>
      </c>
      <c r="O219" t="s">
        <v>367</v>
      </c>
    </row>
    <row r="220" spans="1:15" x14ac:dyDescent="0.2">
      <c r="A220" t="s">
        <v>1275</v>
      </c>
      <c r="B220" t="s">
        <v>461</v>
      </c>
      <c r="C220">
        <v>1</v>
      </c>
      <c r="D220" t="s">
        <v>463</v>
      </c>
      <c r="E220" t="s">
        <v>582</v>
      </c>
      <c r="F220" t="s">
        <v>610</v>
      </c>
      <c r="G220">
        <v>2</v>
      </c>
      <c r="I220">
        <v>62</v>
      </c>
      <c r="K220">
        <v>49</v>
      </c>
      <c r="O220" t="s">
        <v>367</v>
      </c>
    </row>
    <row r="221" spans="1:15" x14ac:dyDescent="0.2">
      <c r="A221" t="s">
        <v>1275</v>
      </c>
      <c r="B221" t="s">
        <v>461</v>
      </c>
      <c r="C221">
        <v>1</v>
      </c>
      <c r="D221" t="s">
        <v>463</v>
      </c>
      <c r="E221" t="s">
        <v>583</v>
      </c>
      <c r="F221" t="s">
        <v>610</v>
      </c>
      <c r="G221">
        <v>1</v>
      </c>
      <c r="I221">
        <v>63</v>
      </c>
      <c r="K221">
        <v>53</v>
      </c>
      <c r="O221" t="s">
        <v>367</v>
      </c>
    </row>
    <row r="222" spans="1:15" x14ac:dyDescent="0.2">
      <c r="A222" t="s">
        <v>1275</v>
      </c>
      <c r="B222" t="s">
        <v>461</v>
      </c>
      <c r="C222">
        <v>1</v>
      </c>
      <c r="D222" t="s">
        <v>463</v>
      </c>
      <c r="E222" t="s">
        <v>584</v>
      </c>
      <c r="F222" t="s">
        <v>610</v>
      </c>
      <c r="G222">
        <v>1</v>
      </c>
      <c r="I222">
        <v>52</v>
      </c>
      <c r="K222">
        <v>43</v>
      </c>
      <c r="O222" t="s">
        <v>367</v>
      </c>
    </row>
    <row r="223" spans="1:15" x14ac:dyDescent="0.2">
      <c r="A223" t="s">
        <v>1275</v>
      </c>
      <c r="B223" t="s">
        <v>461</v>
      </c>
      <c r="C223">
        <v>1</v>
      </c>
      <c r="D223" t="s">
        <v>463</v>
      </c>
      <c r="E223" t="s">
        <v>585</v>
      </c>
      <c r="F223" t="s">
        <v>610</v>
      </c>
      <c r="G223">
        <v>2</v>
      </c>
      <c r="I223">
        <v>60</v>
      </c>
      <c r="K223">
        <v>48</v>
      </c>
      <c r="O223" t="s">
        <v>367</v>
      </c>
    </row>
    <row r="224" spans="1:15" x14ac:dyDescent="0.2">
      <c r="A224" t="s">
        <v>1275</v>
      </c>
      <c r="B224" t="s">
        <v>461</v>
      </c>
      <c r="C224">
        <v>1</v>
      </c>
      <c r="D224" t="s">
        <v>463</v>
      </c>
      <c r="E224" t="s">
        <v>586</v>
      </c>
      <c r="F224" t="s">
        <v>610</v>
      </c>
      <c r="G224">
        <v>2</v>
      </c>
      <c r="I224">
        <v>53</v>
      </c>
      <c r="K224">
        <v>44</v>
      </c>
      <c r="O224" t="s">
        <v>367</v>
      </c>
    </row>
    <row r="225" spans="1:15" x14ac:dyDescent="0.2">
      <c r="A225" t="s">
        <v>1275</v>
      </c>
      <c r="B225" t="s">
        <v>461</v>
      </c>
      <c r="C225">
        <v>1</v>
      </c>
      <c r="D225" t="s">
        <v>463</v>
      </c>
      <c r="E225" t="s">
        <v>587</v>
      </c>
      <c r="F225" t="s">
        <v>610</v>
      </c>
      <c r="G225">
        <v>1</v>
      </c>
      <c r="I225">
        <v>53</v>
      </c>
      <c r="K225">
        <v>44</v>
      </c>
      <c r="O225" t="s">
        <v>367</v>
      </c>
    </row>
    <row r="226" spans="1:15" x14ac:dyDescent="0.2">
      <c r="A226" t="s">
        <v>1275</v>
      </c>
      <c r="B226" t="s">
        <v>461</v>
      </c>
      <c r="C226">
        <v>1</v>
      </c>
      <c r="D226" t="s">
        <v>463</v>
      </c>
      <c r="E226" t="s">
        <v>588</v>
      </c>
      <c r="F226" t="s">
        <v>610</v>
      </c>
      <c r="G226">
        <v>1</v>
      </c>
      <c r="I226">
        <v>45</v>
      </c>
      <c r="K226">
        <v>36</v>
      </c>
      <c r="O226" t="s">
        <v>367</v>
      </c>
    </row>
    <row r="227" spans="1:15" x14ac:dyDescent="0.2">
      <c r="A227" t="s">
        <v>1275</v>
      </c>
      <c r="B227" t="s">
        <v>461</v>
      </c>
      <c r="C227">
        <v>1</v>
      </c>
      <c r="D227" t="s">
        <v>463</v>
      </c>
      <c r="E227" t="s">
        <v>589</v>
      </c>
      <c r="F227" t="s">
        <v>610</v>
      </c>
      <c r="G227">
        <v>1</v>
      </c>
      <c r="I227">
        <v>50</v>
      </c>
      <c r="K227">
        <v>42</v>
      </c>
      <c r="O227" t="s">
        <v>367</v>
      </c>
    </row>
    <row r="228" spans="1:15" x14ac:dyDescent="0.2">
      <c r="A228" t="s">
        <v>1275</v>
      </c>
      <c r="B228" t="s">
        <v>461</v>
      </c>
      <c r="C228">
        <v>1</v>
      </c>
      <c r="D228" t="s">
        <v>463</v>
      </c>
      <c r="E228" t="s">
        <v>550</v>
      </c>
      <c r="F228" t="s">
        <v>619</v>
      </c>
      <c r="G228">
        <v>7</v>
      </c>
      <c r="O228" t="s">
        <v>620</v>
      </c>
    </row>
    <row r="229" spans="1:15" x14ac:dyDescent="0.2">
      <c r="A229" t="s">
        <v>1275</v>
      </c>
      <c r="B229" t="s">
        <v>461</v>
      </c>
      <c r="C229">
        <v>1</v>
      </c>
      <c r="D229" t="s">
        <v>463</v>
      </c>
      <c r="E229" t="s">
        <v>550</v>
      </c>
      <c r="F229" t="s">
        <v>547</v>
      </c>
      <c r="G229">
        <v>2</v>
      </c>
      <c r="O229" t="s">
        <v>618</v>
      </c>
    </row>
    <row r="230" spans="1:15" x14ac:dyDescent="0.2">
      <c r="A230" t="s">
        <v>1275</v>
      </c>
      <c r="B230" t="s">
        <v>461</v>
      </c>
      <c r="C230">
        <v>1</v>
      </c>
      <c r="D230" t="s">
        <v>463</v>
      </c>
      <c r="E230" t="s">
        <v>590</v>
      </c>
      <c r="F230" t="s">
        <v>228</v>
      </c>
      <c r="G230" t="s">
        <v>114</v>
      </c>
      <c r="I230">
        <v>35</v>
      </c>
      <c r="K230">
        <v>32</v>
      </c>
      <c r="O230" t="s">
        <v>614</v>
      </c>
    </row>
    <row r="231" spans="1:15" x14ac:dyDescent="0.2">
      <c r="A231" t="s">
        <v>1275</v>
      </c>
      <c r="B231" t="s">
        <v>461</v>
      </c>
      <c r="C231">
        <v>1</v>
      </c>
      <c r="D231" t="s">
        <v>463</v>
      </c>
      <c r="E231" t="s">
        <v>591</v>
      </c>
      <c r="F231" t="s">
        <v>228</v>
      </c>
      <c r="G231" t="s">
        <v>114</v>
      </c>
      <c r="I231">
        <v>33</v>
      </c>
      <c r="K231">
        <v>30</v>
      </c>
      <c r="O231" t="s">
        <v>614</v>
      </c>
    </row>
    <row r="232" spans="1:15" x14ac:dyDescent="0.2">
      <c r="A232" t="s">
        <v>1275</v>
      </c>
      <c r="B232" t="s">
        <v>461</v>
      </c>
      <c r="C232">
        <v>1</v>
      </c>
      <c r="D232" t="s">
        <v>463</v>
      </c>
      <c r="E232" t="s">
        <v>592</v>
      </c>
      <c r="F232" t="s">
        <v>228</v>
      </c>
      <c r="G232" t="s">
        <v>114</v>
      </c>
      <c r="I232">
        <v>32</v>
      </c>
      <c r="K232">
        <v>30</v>
      </c>
      <c r="O232" t="s">
        <v>614</v>
      </c>
    </row>
    <row r="233" spans="1:15" x14ac:dyDescent="0.2">
      <c r="A233" t="s">
        <v>1275</v>
      </c>
      <c r="B233" t="s">
        <v>461</v>
      </c>
      <c r="C233">
        <v>1</v>
      </c>
      <c r="D233" t="s">
        <v>463</v>
      </c>
      <c r="E233" t="s">
        <v>593</v>
      </c>
      <c r="F233" t="s">
        <v>228</v>
      </c>
      <c r="G233" t="s">
        <v>114</v>
      </c>
      <c r="I233">
        <v>27</v>
      </c>
      <c r="K233">
        <v>26</v>
      </c>
      <c r="O233" t="s">
        <v>614</v>
      </c>
    </row>
    <row r="234" spans="1:15" x14ac:dyDescent="0.2">
      <c r="A234" t="s">
        <v>1275</v>
      </c>
      <c r="B234" t="s">
        <v>461</v>
      </c>
      <c r="C234">
        <v>1</v>
      </c>
      <c r="D234" t="s">
        <v>463</v>
      </c>
      <c r="E234" t="s">
        <v>594</v>
      </c>
      <c r="F234" t="s">
        <v>228</v>
      </c>
      <c r="G234">
        <v>5</v>
      </c>
      <c r="I234">
        <v>81</v>
      </c>
      <c r="K234">
        <v>73</v>
      </c>
      <c r="O234" t="s">
        <v>614</v>
      </c>
    </row>
    <row r="235" spans="1:15" x14ac:dyDescent="0.2">
      <c r="A235" t="s">
        <v>1275</v>
      </c>
      <c r="B235" t="s">
        <v>461</v>
      </c>
      <c r="C235">
        <v>1</v>
      </c>
      <c r="D235" t="s">
        <v>463</v>
      </c>
      <c r="E235" t="s">
        <v>595</v>
      </c>
      <c r="F235" t="s">
        <v>228</v>
      </c>
      <c r="G235">
        <v>7</v>
      </c>
      <c r="I235">
        <v>97</v>
      </c>
      <c r="K235">
        <v>80</v>
      </c>
      <c r="O235" t="s">
        <v>614</v>
      </c>
    </row>
    <row r="236" spans="1:15" x14ac:dyDescent="0.2">
      <c r="A236" t="s">
        <v>1275</v>
      </c>
      <c r="B236" t="s">
        <v>461</v>
      </c>
      <c r="C236">
        <v>1</v>
      </c>
      <c r="D236" t="s">
        <v>463</v>
      </c>
      <c r="E236" t="s">
        <v>596</v>
      </c>
      <c r="F236" t="s">
        <v>228</v>
      </c>
      <c r="G236">
        <v>6</v>
      </c>
      <c r="I236">
        <v>88</v>
      </c>
      <c r="K236">
        <v>77</v>
      </c>
      <c r="O236" t="s">
        <v>614</v>
      </c>
    </row>
    <row r="237" spans="1:15" x14ac:dyDescent="0.2">
      <c r="A237" t="s">
        <v>1275</v>
      </c>
      <c r="B237" t="s">
        <v>461</v>
      </c>
      <c r="C237">
        <v>1</v>
      </c>
      <c r="D237" t="s">
        <v>463</v>
      </c>
      <c r="E237" t="s">
        <v>597</v>
      </c>
      <c r="F237" t="s">
        <v>228</v>
      </c>
      <c r="G237">
        <v>5</v>
      </c>
      <c r="I237">
        <v>79</v>
      </c>
      <c r="K237">
        <v>70</v>
      </c>
      <c r="O237" t="s">
        <v>614</v>
      </c>
    </row>
    <row r="238" spans="1:15" x14ac:dyDescent="0.2">
      <c r="A238" t="s">
        <v>1275</v>
      </c>
      <c r="B238" t="s">
        <v>461</v>
      </c>
      <c r="C238">
        <v>1</v>
      </c>
      <c r="D238" t="s">
        <v>463</v>
      </c>
      <c r="E238" t="s">
        <v>598</v>
      </c>
      <c r="F238" t="s">
        <v>228</v>
      </c>
      <c r="G238">
        <v>5</v>
      </c>
      <c r="I238">
        <v>89</v>
      </c>
      <c r="K238">
        <v>70</v>
      </c>
      <c r="O238" t="s">
        <v>614</v>
      </c>
    </row>
    <row r="239" spans="1:15" x14ac:dyDescent="0.2">
      <c r="A239" t="s">
        <v>1275</v>
      </c>
      <c r="B239" t="s">
        <v>461</v>
      </c>
      <c r="C239">
        <v>1</v>
      </c>
      <c r="D239" t="s">
        <v>463</v>
      </c>
      <c r="E239" t="s">
        <v>599</v>
      </c>
      <c r="F239" t="s">
        <v>228</v>
      </c>
      <c r="G239">
        <v>2</v>
      </c>
      <c r="I239">
        <v>60</v>
      </c>
      <c r="K239">
        <v>57</v>
      </c>
      <c r="O239" t="s">
        <v>614</v>
      </c>
    </row>
    <row r="240" spans="1:15" x14ac:dyDescent="0.2">
      <c r="A240" t="s">
        <v>1275</v>
      </c>
      <c r="B240" t="s">
        <v>461</v>
      </c>
      <c r="C240">
        <v>1</v>
      </c>
      <c r="D240" t="s">
        <v>463</v>
      </c>
      <c r="E240" t="s">
        <v>600</v>
      </c>
      <c r="F240" t="s">
        <v>228</v>
      </c>
      <c r="G240">
        <v>3</v>
      </c>
      <c r="I240">
        <v>64</v>
      </c>
      <c r="K240">
        <v>58</v>
      </c>
      <c r="O240" t="s">
        <v>614</v>
      </c>
    </row>
    <row r="241" spans="1:15" x14ac:dyDescent="0.2">
      <c r="A241" t="s">
        <v>1275</v>
      </c>
      <c r="B241" t="s">
        <v>461</v>
      </c>
      <c r="C241">
        <v>1</v>
      </c>
      <c r="D241" t="s">
        <v>463</v>
      </c>
      <c r="E241" t="s">
        <v>601</v>
      </c>
      <c r="F241" t="s">
        <v>228</v>
      </c>
      <c r="G241">
        <v>3</v>
      </c>
      <c r="I241">
        <v>65</v>
      </c>
      <c r="K241">
        <v>59</v>
      </c>
      <c r="O241" t="s">
        <v>614</v>
      </c>
    </row>
    <row r="242" spans="1:15" x14ac:dyDescent="0.2">
      <c r="A242" t="s">
        <v>1275</v>
      </c>
      <c r="B242" t="s">
        <v>461</v>
      </c>
      <c r="C242">
        <v>1</v>
      </c>
      <c r="D242" t="s">
        <v>463</v>
      </c>
      <c r="E242" t="s">
        <v>602</v>
      </c>
      <c r="F242" t="s">
        <v>228</v>
      </c>
      <c r="G242">
        <v>2</v>
      </c>
      <c r="I242">
        <v>62</v>
      </c>
      <c r="K242">
        <v>56</v>
      </c>
      <c r="O242" t="s">
        <v>614</v>
      </c>
    </row>
    <row r="243" spans="1:15" x14ac:dyDescent="0.2">
      <c r="A243" t="s">
        <v>1275</v>
      </c>
      <c r="B243" t="s">
        <v>461</v>
      </c>
      <c r="C243">
        <v>1</v>
      </c>
      <c r="D243" t="s">
        <v>463</v>
      </c>
      <c r="E243" t="s">
        <v>603</v>
      </c>
      <c r="F243" t="s">
        <v>228</v>
      </c>
      <c r="G243">
        <v>2</v>
      </c>
      <c r="I243">
        <v>64</v>
      </c>
      <c r="K243">
        <v>56</v>
      </c>
      <c r="O243" t="s">
        <v>614</v>
      </c>
    </row>
    <row r="244" spans="1:15" x14ac:dyDescent="0.2">
      <c r="A244" t="s">
        <v>1275</v>
      </c>
      <c r="B244" t="s">
        <v>461</v>
      </c>
      <c r="C244">
        <v>1</v>
      </c>
      <c r="D244" t="s">
        <v>463</v>
      </c>
      <c r="E244" t="s">
        <v>604</v>
      </c>
      <c r="F244" t="s">
        <v>228</v>
      </c>
      <c r="G244">
        <v>1</v>
      </c>
      <c r="I244">
        <v>50</v>
      </c>
      <c r="K244">
        <v>45</v>
      </c>
      <c r="O244" t="s">
        <v>614</v>
      </c>
    </row>
    <row r="245" spans="1:15" x14ac:dyDescent="0.2">
      <c r="A245" t="s">
        <v>1275</v>
      </c>
      <c r="B245" t="s">
        <v>461</v>
      </c>
      <c r="C245">
        <v>1</v>
      </c>
      <c r="D245" t="s">
        <v>463</v>
      </c>
      <c r="E245" t="s">
        <v>605</v>
      </c>
      <c r="F245" t="s">
        <v>228</v>
      </c>
      <c r="G245">
        <v>1</v>
      </c>
      <c r="I245">
        <v>49</v>
      </c>
      <c r="K245">
        <v>45</v>
      </c>
      <c r="O245" t="s">
        <v>614</v>
      </c>
    </row>
    <row r="246" spans="1:15" x14ac:dyDescent="0.2">
      <c r="A246" t="s">
        <v>1275</v>
      </c>
      <c r="B246" t="s">
        <v>461</v>
      </c>
      <c r="C246">
        <v>1</v>
      </c>
      <c r="D246" t="s">
        <v>463</v>
      </c>
      <c r="E246" t="s">
        <v>606</v>
      </c>
      <c r="F246" t="s">
        <v>611</v>
      </c>
      <c r="G246">
        <v>23</v>
      </c>
      <c r="I246">
        <v>299</v>
      </c>
      <c r="K246">
        <v>282</v>
      </c>
      <c r="O246" t="s">
        <v>613</v>
      </c>
    </row>
    <row r="247" spans="1:15" x14ac:dyDescent="0.2">
      <c r="A247" t="s">
        <v>1275</v>
      </c>
      <c r="B247" t="s">
        <v>461</v>
      </c>
      <c r="C247">
        <v>1</v>
      </c>
      <c r="D247" t="s">
        <v>463</v>
      </c>
      <c r="E247" t="s">
        <v>607</v>
      </c>
      <c r="F247" t="s">
        <v>376</v>
      </c>
      <c r="G247">
        <v>6</v>
      </c>
      <c r="I247">
        <v>180</v>
      </c>
      <c r="K247">
        <v>166</v>
      </c>
      <c r="O247" t="s">
        <v>614</v>
      </c>
    </row>
    <row r="248" spans="1:15" x14ac:dyDescent="0.2">
      <c r="A248" t="s">
        <v>1275</v>
      </c>
      <c r="B248" t="s">
        <v>461</v>
      </c>
      <c r="C248">
        <v>1</v>
      </c>
      <c r="D248" t="s">
        <v>463</v>
      </c>
      <c r="E248" t="s">
        <v>608</v>
      </c>
      <c r="F248" t="s">
        <v>612</v>
      </c>
      <c r="G248">
        <v>4</v>
      </c>
    </row>
    <row r="249" spans="1:15" x14ac:dyDescent="0.2">
      <c r="A249" t="s">
        <v>1275</v>
      </c>
      <c r="B249" t="s">
        <v>461</v>
      </c>
      <c r="C249">
        <v>1</v>
      </c>
      <c r="D249" t="s">
        <v>463</v>
      </c>
      <c r="E249" t="s">
        <v>609</v>
      </c>
      <c r="F249" t="s">
        <v>611</v>
      </c>
      <c r="G249">
        <v>1</v>
      </c>
      <c r="I249">
        <v>81</v>
      </c>
      <c r="K249">
        <v>75</v>
      </c>
      <c r="O249" t="s">
        <v>614</v>
      </c>
    </row>
    <row r="250" spans="1:15" x14ac:dyDescent="0.2">
      <c r="A250" t="s">
        <v>1275</v>
      </c>
      <c r="B250" t="s">
        <v>461</v>
      </c>
      <c r="C250">
        <v>1</v>
      </c>
      <c r="D250" t="s">
        <v>463</v>
      </c>
      <c r="E250" t="s">
        <v>550</v>
      </c>
      <c r="F250" t="s">
        <v>610</v>
      </c>
      <c r="G250">
        <v>3</v>
      </c>
      <c r="O250" t="s">
        <v>2472</v>
      </c>
    </row>
    <row r="251" spans="1:15" x14ac:dyDescent="0.2">
      <c r="A251" t="s">
        <v>1275</v>
      </c>
      <c r="B251" t="s">
        <v>461</v>
      </c>
      <c r="C251">
        <v>1</v>
      </c>
      <c r="D251" t="s">
        <v>463</v>
      </c>
      <c r="E251" t="s">
        <v>550</v>
      </c>
      <c r="F251" t="s">
        <v>624</v>
      </c>
      <c r="G251">
        <v>21</v>
      </c>
      <c r="O251" t="s">
        <v>625</v>
      </c>
    </row>
    <row r="252" spans="1:15" x14ac:dyDescent="0.2">
      <c r="A252" t="s">
        <v>1275</v>
      </c>
      <c r="B252" t="s">
        <v>461</v>
      </c>
      <c r="C252">
        <v>1</v>
      </c>
      <c r="D252" t="s">
        <v>463</v>
      </c>
      <c r="E252" t="s">
        <v>550</v>
      </c>
      <c r="F252" t="s">
        <v>623</v>
      </c>
      <c r="G252">
        <v>19</v>
      </c>
      <c r="O252" t="s">
        <v>626</v>
      </c>
    </row>
    <row r="253" spans="1:15" x14ac:dyDescent="0.2">
      <c r="A253" t="s">
        <v>1275</v>
      </c>
      <c r="B253" t="s">
        <v>461</v>
      </c>
      <c r="C253">
        <v>6</v>
      </c>
      <c r="D253" t="s">
        <v>463</v>
      </c>
      <c r="E253" t="s">
        <v>621</v>
      </c>
      <c r="F253" t="s">
        <v>627</v>
      </c>
      <c r="G253">
        <v>88</v>
      </c>
      <c r="M253">
        <v>6</v>
      </c>
      <c r="O253" t="s">
        <v>233</v>
      </c>
    </row>
    <row r="254" spans="1:15" x14ac:dyDescent="0.2">
      <c r="A254" t="s">
        <v>1275</v>
      </c>
      <c r="B254" t="s">
        <v>461</v>
      </c>
      <c r="C254">
        <v>6</v>
      </c>
      <c r="D254" t="s">
        <v>463</v>
      </c>
      <c r="E254" t="s">
        <v>622</v>
      </c>
      <c r="F254" t="s">
        <v>332</v>
      </c>
      <c r="G254">
        <v>80</v>
      </c>
      <c r="M254">
        <v>3</v>
      </c>
      <c r="O254" t="s">
        <v>390</v>
      </c>
    </row>
    <row r="255" spans="1:15" x14ac:dyDescent="0.2">
      <c r="A255" t="s">
        <v>1275</v>
      </c>
      <c r="B255" t="s">
        <v>461</v>
      </c>
      <c r="C255">
        <v>6</v>
      </c>
      <c r="D255" t="s">
        <v>463</v>
      </c>
      <c r="E255" t="s">
        <v>628</v>
      </c>
      <c r="F255" t="s">
        <v>640</v>
      </c>
      <c r="G255">
        <v>84</v>
      </c>
      <c r="M255">
        <v>4</v>
      </c>
      <c r="O255" t="s">
        <v>641</v>
      </c>
    </row>
    <row r="256" spans="1:15" x14ac:dyDescent="0.2">
      <c r="A256" t="s">
        <v>1275</v>
      </c>
      <c r="B256" t="s">
        <v>461</v>
      </c>
      <c r="C256">
        <v>6</v>
      </c>
      <c r="D256" t="s">
        <v>463</v>
      </c>
      <c r="E256" t="s">
        <v>629</v>
      </c>
      <c r="F256" t="s">
        <v>547</v>
      </c>
      <c r="G256">
        <v>28</v>
      </c>
      <c r="I256">
        <v>120</v>
      </c>
      <c r="K256">
        <v>115</v>
      </c>
    </row>
    <row r="257" spans="1:15" x14ac:dyDescent="0.2">
      <c r="A257" t="s">
        <v>1275</v>
      </c>
      <c r="B257" t="s">
        <v>461</v>
      </c>
      <c r="C257">
        <v>6</v>
      </c>
      <c r="D257" t="s">
        <v>463</v>
      </c>
      <c r="E257" t="s">
        <v>630</v>
      </c>
      <c r="F257" t="s">
        <v>642</v>
      </c>
      <c r="G257">
        <v>8</v>
      </c>
      <c r="M257">
        <v>11</v>
      </c>
      <c r="O257" t="s">
        <v>340</v>
      </c>
    </row>
    <row r="258" spans="1:15" x14ac:dyDescent="0.2">
      <c r="A258" t="s">
        <v>1275</v>
      </c>
      <c r="B258" t="s">
        <v>461</v>
      </c>
      <c r="C258">
        <v>6</v>
      </c>
      <c r="D258" t="s">
        <v>463</v>
      </c>
      <c r="E258" t="s">
        <v>631</v>
      </c>
      <c r="F258" t="s">
        <v>643</v>
      </c>
      <c r="G258">
        <v>2</v>
      </c>
      <c r="I258">
        <v>51</v>
      </c>
      <c r="K258">
        <v>49</v>
      </c>
    </row>
    <row r="259" spans="1:15" x14ac:dyDescent="0.2">
      <c r="A259" t="s">
        <v>1275</v>
      </c>
      <c r="B259" t="s">
        <v>461</v>
      </c>
      <c r="C259">
        <v>6</v>
      </c>
      <c r="D259" t="s">
        <v>463</v>
      </c>
      <c r="E259" t="s">
        <v>632</v>
      </c>
      <c r="F259" t="s">
        <v>644</v>
      </c>
      <c r="G259">
        <v>62</v>
      </c>
    </row>
    <row r="260" spans="1:15" x14ac:dyDescent="0.2">
      <c r="A260" t="s">
        <v>1275</v>
      </c>
      <c r="B260" t="s">
        <v>461</v>
      </c>
      <c r="C260">
        <v>6</v>
      </c>
      <c r="D260" t="s">
        <v>463</v>
      </c>
      <c r="E260" t="s">
        <v>633</v>
      </c>
      <c r="F260" t="s">
        <v>645</v>
      </c>
      <c r="H260">
        <v>5</v>
      </c>
      <c r="O260" t="s">
        <v>2475</v>
      </c>
    </row>
    <row r="261" spans="1:15" x14ac:dyDescent="0.2">
      <c r="A261" t="s">
        <v>1275</v>
      </c>
      <c r="B261" t="s">
        <v>461</v>
      </c>
      <c r="C261">
        <v>6</v>
      </c>
      <c r="D261" t="s">
        <v>463</v>
      </c>
      <c r="E261" t="s">
        <v>634</v>
      </c>
      <c r="F261" t="s">
        <v>334</v>
      </c>
      <c r="H261">
        <v>4.0999999999999996</v>
      </c>
      <c r="O261" t="s">
        <v>2474</v>
      </c>
    </row>
    <row r="262" spans="1:15" x14ac:dyDescent="0.2">
      <c r="A262" t="s">
        <v>1275</v>
      </c>
      <c r="B262" t="s">
        <v>461</v>
      </c>
      <c r="C262">
        <v>6</v>
      </c>
      <c r="D262" t="s">
        <v>463</v>
      </c>
      <c r="E262" t="s">
        <v>635</v>
      </c>
      <c r="F262" t="s">
        <v>335</v>
      </c>
      <c r="G262">
        <v>547</v>
      </c>
      <c r="M262">
        <v>3</v>
      </c>
      <c r="O262" t="s">
        <v>2473</v>
      </c>
    </row>
    <row r="263" spans="1:15" x14ac:dyDescent="0.2">
      <c r="A263" t="s">
        <v>1275</v>
      </c>
      <c r="B263" t="s">
        <v>461</v>
      </c>
      <c r="C263">
        <v>6</v>
      </c>
      <c r="D263" t="s">
        <v>463</v>
      </c>
      <c r="E263" t="s">
        <v>636</v>
      </c>
      <c r="F263" t="s">
        <v>646</v>
      </c>
      <c r="G263">
        <v>1</v>
      </c>
    </row>
    <row r="264" spans="1:15" x14ac:dyDescent="0.2">
      <c r="A264" t="s">
        <v>1275</v>
      </c>
      <c r="B264" t="s">
        <v>461</v>
      </c>
      <c r="C264">
        <v>6</v>
      </c>
      <c r="D264" t="s">
        <v>463</v>
      </c>
      <c r="E264" t="s">
        <v>637</v>
      </c>
      <c r="F264" t="s">
        <v>405</v>
      </c>
      <c r="G264">
        <v>1</v>
      </c>
      <c r="M264">
        <v>3</v>
      </c>
      <c r="O264" t="s">
        <v>390</v>
      </c>
    </row>
    <row r="265" spans="1:15" x14ac:dyDescent="0.2">
      <c r="A265" t="s">
        <v>1275</v>
      </c>
      <c r="B265" t="s">
        <v>461</v>
      </c>
      <c r="C265">
        <v>6</v>
      </c>
      <c r="D265" t="s">
        <v>463</v>
      </c>
      <c r="E265" t="s">
        <v>638</v>
      </c>
      <c r="F265" t="s">
        <v>405</v>
      </c>
      <c r="G265">
        <v>86</v>
      </c>
      <c r="M265">
        <v>2</v>
      </c>
      <c r="O265" t="s">
        <v>212</v>
      </c>
    </row>
    <row r="266" spans="1:15" x14ac:dyDescent="0.2">
      <c r="A266" t="s">
        <v>1275</v>
      </c>
      <c r="B266" t="s">
        <v>461</v>
      </c>
      <c r="C266">
        <v>6</v>
      </c>
      <c r="D266" t="s">
        <v>463</v>
      </c>
      <c r="E266" t="s">
        <v>639</v>
      </c>
      <c r="F266" t="s">
        <v>647</v>
      </c>
      <c r="G266">
        <v>1</v>
      </c>
    </row>
    <row r="267" spans="1:15" x14ac:dyDescent="0.2">
      <c r="A267" t="s">
        <v>1275</v>
      </c>
      <c r="B267" t="s">
        <v>461</v>
      </c>
      <c r="C267">
        <v>6</v>
      </c>
      <c r="D267" t="s">
        <v>463</v>
      </c>
      <c r="E267" t="s">
        <v>648</v>
      </c>
      <c r="F267" t="s">
        <v>651</v>
      </c>
      <c r="G267">
        <v>1</v>
      </c>
    </row>
    <row r="268" spans="1:15" x14ac:dyDescent="0.2">
      <c r="A268" t="s">
        <v>1275</v>
      </c>
      <c r="B268" t="s">
        <v>461</v>
      </c>
      <c r="C268">
        <v>6</v>
      </c>
      <c r="D268" t="s">
        <v>463</v>
      </c>
      <c r="E268" t="s">
        <v>649</v>
      </c>
      <c r="F268" t="s">
        <v>440</v>
      </c>
      <c r="G268">
        <v>9</v>
      </c>
      <c r="M268">
        <v>2</v>
      </c>
      <c r="O268" t="s">
        <v>212</v>
      </c>
    </row>
    <row r="269" spans="1:15" x14ac:dyDescent="0.2">
      <c r="A269" t="s">
        <v>1275</v>
      </c>
      <c r="B269" t="s">
        <v>461</v>
      </c>
      <c r="C269">
        <v>6</v>
      </c>
      <c r="D269" t="s">
        <v>463</v>
      </c>
      <c r="E269" t="s">
        <v>650</v>
      </c>
      <c r="F269" t="s">
        <v>652</v>
      </c>
      <c r="G269">
        <v>44</v>
      </c>
    </row>
    <row r="270" spans="1:15" x14ac:dyDescent="0.2">
      <c r="A270" t="s">
        <v>1275</v>
      </c>
      <c r="B270" t="s">
        <v>461</v>
      </c>
      <c r="C270">
        <v>6</v>
      </c>
      <c r="D270" t="s">
        <v>463</v>
      </c>
      <c r="E270" t="s">
        <v>550</v>
      </c>
      <c r="F270" t="s">
        <v>645</v>
      </c>
      <c r="G270">
        <v>5000</v>
      </c>
      <c r="O270" t="s">
        <v>678</v>
      </c>
    </row>
    <row r="271" spans="1:15" x14ac:dyDescent="0.2">
      <c r="A271" t="s">
        <v>1275</v>
      </c>
      <c r="B271" t="s">
        <v>461</v>
      </c>
      <c r="C271">
        <v>6</v>
      </c>
      <c r="D271" t="s">
        <v>463</v>
      </c>
      <c r="E271" t="s">
        <v>550</v>
      </c>
      <c r="F271" t="s">
        <v>335</v>
      </c>
      <c r="G271">
        <v>547</v>
      </c>
      <c r="O271" t="s">
        <v>678</v>
      </c>
    </row>
    <row r="272" spans="1:15" x14ac:dyDescent="0.2">
      <c r="A272" t="s">
        <v>1275</v>
      </c>
      <c r="B272" t="s">
        <v>461</v>
      </c>
      <c r="C272">
        <v>6</v>
      </c>
      <c r="D272" t="s">
        <v>463</v>
      </c>
      <c r="E272" t="s">
        <v>550</v>
      </c>
      <c r="F272" t="s">
        <v>392</v>
      </c>
      <c r="G272">
        <v>4100</v>
      </c>
      <c r="O272" t="s">
        <v>678</v>
      </c>
    </row>
    <row r="273" spans="1:15" x14ac:dyDescent="0.2">
      <c r="A273" t="s">
        <v>1275</v>
      </c>
      <c r="B273" t="s">
        <v>461</v>
      </c>
      <c r="C273">
        <v>2</v>
      </c>
      <c r="D273" t="s">
        <v>463</v>
      </c>
      <c r="E273" t="s">
        <v>550</v>
      </c>
      <c r="F273" t="s">
        <v>392</v>
      </c>
      <c r="H273">
        <f>1.57-0.059</f>
        <v>1.5110000000000001</v>
      </c>
      <c r="O273" t="s">
        <v>679</v>
      </c>
    </row>
    <row r="274" spans="1:15" x14ac:dyDescent="0.2">
      <c r="A274" t="s">
        <v>1275</v>
      </c>
      <c r="B274" t="s">
        <v>461</v>
      </c>
      <c r="C274">
        <v>2</v>
      </c>
      <c r="D274" t="s">
        <v>463</v>
      </c>
      <c r="E274" t="s">
        <v>653</v>
      </c>
      <c r="F274" t="s">
        <v>332</v>
      </c>
      <c r="G274">
        <v>245</v>
      </c>
      <c r="M274">
        <v>5</v>
      </c>
      <c r="O274" t="s">
        <v>336</v>
      </c>
    </row>
    <row r="275" spans="1:15" x14ac:dyDescent="0.2">
      <c r="A275" t="s">
        <v>1275</v>
      </c>
      <c r="B275" t="s">
        <v>461</v>
      </c>
      <c r="C275">
        <v>2</v>
      </c>
      <c r="D275" t="s">
        <v>463</v>
      </c>
      <c r="E275" t="s">
        <v>654</v>
      </c>
      <c r="F275" t="s">
        <v>547</v>
      </c>
      <c r="G275">
        <v>37</v>
      </c>
      <c r="M275" t="s">
        <v>802</v>
      </c>
      <c r="O275" t="s">
        <v>667</v>
      </c>
    </row>
    <row r="276" spans="1:15" x14ac:dyDescent="0.2">
      <c r="A276" t="s">
        <v>1275</v>
      </c>
      <c r="B276" t="s">
        <v>461</v>
      </c>
      <c r="C276">
        <v>2</v>
      </c>
      <c r="D276" t="s">
        <v>463</v>
      </c>
      <c r="E276" t="s">
        <v>655</v>
      </c>
      <c r="F276" t="s">
        <v>364</v>
      </c>
      <c r="G276">
        <v>68</v>
      </c>
      <c r="M276">
        <v>13</v>
      </c>
      <c r="O276" t="s">
        <v>668</v>
      </c>
    </row>
    <row r="277" spans="1:15" x14ac:dyDescent="0.2">
      <c r="A277" t="s">
        <v>1275</v>
      </c>
      <c r="B277" t="s">
        <v>461</v>
      </c>
      <c r="C277">
        <v>2</v>
      </c>
      <c r="D277" t="s">
        <v>463</v>
      </c>
      <c r="E277" t="s">
        <v>656</v>
      </c>
      <c r="F277" t="s">
        <v>547</v>
      </c>
      <c r="G277">
        <v>14</v>
      </c>
      <c r="M277">
        <v>2</v>
      </c>
      <c r="O277" t="s">
        <v>212</v>
      </c>
    </row>
    <row r="278" spans="1:15" x14ac:dyDescent="0.2">
      <c r="A278" t="s">
        <v>1275</v>
      </c>
      <c r="B278" t="s">
        <v>461</v>
      </c>
      <c r="C278">
        <v>2</v>
      </c>
      <c r="D278" t="s">
        <v>463</v>
      </c>
      <c r="E278" t="s">
        <v>657</v>
      </c>
      <c r="F278" t="s">
        <v>664</v>
      </c>
      <c r="G278">
        <v>65</v>
      </c>
    </row>
    <row r="279" spans="1:15" x14ac:dyDescent="0.2">
      <c r="A279" t="s">
        <v>1275</v>
      </c>
      <c r="B279" t="s">
        <v>461</v>
      </c>
      <c r="C279">
        <v>2</v>
      </c>
      <c r="D279" t="s">
        <v>463</v>
      </c>
      <c r="E279" t="s">
        <v>658</v>
      </c>
      <c r="F279" t="s">
        <v>547</v>
      </c>
      <c r="G279">
        <v>85</v>
      </c>
    </row>
    <row r="280" spans="1:15" x14ac:dyDescent="0.2">
      <c r="A280" t="s">
        <v>1275</v>
      </c>
      <c r="B280" t="s">
        <v>461</v>
      </c>
      <c r="C280">
        <v>2</v>
      </c>
      <c r="D280" t="s">
        <v>463</v>
      </c>
      <c r="E280" t="s">
        <v>659</v>
      </c>
      <c r="F280" t="s">
        <v>665</v>
      </c>
      <c r="G280">
        <v>11</v>
      </c>
      <c r="M280">
        <v>3</v>
      </c>
      <c r="O280" t="s">
        <v>390</v>
      </c>
    </row>
    <row r="281" spans="1:15" x14ac:dyDescent="0.2">
      <c r="A281" t="s">
        <v>1275</v>
      </c>
      <c r="B281" t="s">
        <v>461</v>
      </c>
      <c r="C281">
        <v>2</v>
      </c>
      <c r="D281" t="s">
        <v>463</v>
      </c>
      <c r="E281" t="s">
        <v>660</v>
      </c>
      <c r="F281" t="s">
        <v>666</v>
      </c>
      <c r="G281">
        <v>8</v>
      </c>
    </row>
    <row r="282" spans="1:15" x14ac:dyDescent="0.2">
      <c r="A282" t="s">
        <v>1275</v>
      </c>
      <c r="B282" t="s">
        <v>461</v>
      </c>
      <c r="C282">
        <v>2</v>
      </c>
      <c r="D282" t="s">
        <v>463</v>
      </c>
      <c r="E282" t="s">
        <v>661</v>
      </c>
      <c r="F282" t="s">
        <v>339</v>
      </c>
      <c r="G282">
        <v>5</v>
      </c>
      <c r="M282">
        <v>4</v>
      </c>
      <c r="O282" t="s">
        <v>641</v>
      </c>
    </row>
    <row r="283" spans="1:15" x14ac:dyDescent="0.2">
      <c r="A283" t="s">
        <v>1275</v>
      </c>
      <c r="B283" t="s">
        <v>461</v>
      </c>
      <c r="C283">
        <v>2</v>
      </c>
      <c r="D283" t="s">
        <v>463</v>
      </c>
      <c r="E283" t="s">
        <v>662</v>
      </c>
      <c r="F283" t="s">
        <v>363</v>
      </c>
      <c r="G283">
        <v>1</v>
      </c>
    </row>
    <row r="284" spans="1:15" x14ac:dyDescent="0.2">
      <c r="A284" t="s">
        <v>1275</v>
      </c>
      <c r="B284" t="s">
        <v>461</v>
      </c>
      <c r="C284">
        <v>2</v>
      </c>
      <c r="D284" t="s">
        <v>463</v>
      </c>
      <c r="E284" t="s">
        <v>663</v>
      </c>
      <c r="F284" t="s">
        <v>130</v>
      </c>
      <c r="G284" t="s">
        <v>114</v>
      </c>
    </row>
    <row r="285" spans="1:15" x14ac:dyDescent="0.2">
      <c r="A285" t="s">
        <v>1275</v>
      </c>
      <c r="B285" t="s">
        <v>461</v>
      </c>
      <c r="C285">
        <v>5</v>
      </c>
      <c r="D285" t="s">
        <v>463</v>
      </c>
      <c r="E285" t="s">
        <v>669</v>
      </c>
      <c r="F285" t="s">
        <v>364</v>
      </c>
      <c r="G285">
        <v>70</v>
      </c>
      <c r="M285">
        <v>27</v>
      </c>
      <c r="O285" t="s">
        <v>676</v>
      </c>
    </row>
    <row r="286" spans="1:15" x14ac:dyDescent="0.2">
      <c r="A286" t="s">
        <v>1275</v>
      </c>
      <c r="B286" t="s">
        <v>461</v>
      </c>
      <c r="C286">
        <v>5</v>
      </c>
      <c r="D286" t="s">
        <v>463</v>
      </c>
      <c r="E286" t="s">
        <v>670</v>
      </c>
      <c r="F286" t="s">
        <v>112</v>
      </c>
      <c r="G286">
        <v>77</v>
      </c>
    </row>
    <row r="287" spans="1:15" x14ac:dyDescent="0.2">
      <c r="A287" t="s">
        <v>1275</v>
      </c>
      <c r="B287" t="s">
        <v>461</v>
      </c>
      <c r="C287">
        <v>5</v>
      </c>
      <c r="D287" t="s">
        <v>463</v>
      </c>
      <c r="E287" t="s">
        <v>671</v>
      </c>
      <c r="F287" t="s">
        <v>335</v>
      </c>
      <c r="G287">
        <v>293</v>
      </c>
      <c r="M287">
        <v>7</v>
      </c>
      <c r="O287" t="s">
        <v>677</v>
      </c>
    </row>
    <row r="288" spans="1:15" x14ac:dyDescent="0.2">
      <c r="A288" t="s">
        <v>1275</v>
      </c>
      <c r="B288" t="s">
        <v>461</v>
      </c>
      <c r="C288">
        <v>5</v>
      </c>
      <c r="D288" t="s">
        <v>463</v>
      </c>
      <c r="E288" t="s">
        <v>672</v>
      </c>
      <c r="F288" t="s">
        <v>364</v>
      </c>
      <c r="G288">
        <v>50</v>
      </c>
      <c r="M288">
        <v>3</v>
      </c>
      <c r="O288" t="s">
        <v>390</v>
      </c>
    </row>
    <row r="289" spans="1:15" x14ac:dyDescent="0.2">
      <c r="A289" t="s">
        <v>1275</v>
      </c>
      <c r="B289" t="s">
        <v>461</v>
      </c>
      <c r="C289">
        <v>5</v>
      </c>
      <c r="D289" t="s">
        <v>463</v>
      </c>
      <c r="E289" t="s">
        <v>673</v>
      </c>
      <c r="F289" t="s">
        <v>343</v>
      </c>
      <c r="G289">
        <v>64</v>
      </c>
      <c r="M289">
        <v>3</v>
      </c>
      <c r="O289" t="s">
        <v>390</v>
      </c>
    </row>
    <row r="290" spans="1:15" x14ac:dyDescent="0.2">
      <c r="A290" t="s">
        <v>1275</v>
      </c>
      <c r="B290" t="s">
        <v>461</v>
      </c>
      <c r="C290">
        <v>5</v>
      </c>
      <c r="D290" t="s">
        <v>463</v>
      </c>
      <c r="E290" t="s">
        <v>674</v>
      </c>
      <c r="F290" t="s">
        <v>675</v>
      </c>
      <c r="G290">
        <v>464</v>
      </c>
    </row>
    <row r="291" spans="1:15" x14ac:dyDescent="0.2">
      <c r="A291" t="s">
        <v>1275</v>
      </c>
      <c r="B291" t="s">
        <v>461</v>
      </c>
      <c r="C291">
        <v>4</v>
      </c>
      <c r="D291" t="s">
        <v>463</v>
      </c>
      <c r="E291" t="s">
        <v>688</v>
      </c>
      <c r="F291" t="s">
        <v>338</v>
      </c>
      <c r="G291">
        <v>10</v>
      </c>
      <c r="M291">
        <v>3</v>
      </c>
      <c r="O291" t="s">
        <v>390</v>
      </c>
    </row>
    <row r="292" spans="1:15" x14ac:dyDescent="0.2">
      <c r="A292" t="s">
        <v>1275</v>
      </c>
      <c r="B292" t="s">
        <v>461</v>
      </c>
      <c r="C292">
        <v>4</v>
      </c>
      <c r="D292" t="s">
        <v>463</v>
      </c>
      <c r="E292" t="s">
        <v>689</v>
      </c>
      <c r="F292" t="s">
        <v>697</v>
      </c>
      <c r="H292">
        <f>2.108-0.355</f>
        <v>1.7530000000000001</v>
      </c>
      <c r="O292" t="s">
        <v>2476</v>
      </c>
    </row>
    <row r="293" spans="1:15" x14ac:dyDescent="0.2">
      <c r="A293" t="s">
        <v>1275</v>
      </c>
      <c r="B293" t="s">
        <v>461</v>
      </c>
      <c r="C293">
        <v>4</v>
      </c>
      <c r="D293" t="s">
        <v>463</v>
      </c>
      <c r="E293" t="s">
        <v>690</v>
      </c>
      <c r="F293" t="s">
        <v>332</v>
      </c>
      <c r="G293">
        <v>34</v>
      </c>
      <c r="M293">
        <v>28</v>
      </c>
      <c r="O293" t="s">
        <v>700</v>
      </c>
    </row>
    <row r="294" spans="1:15" x14ac:dyDescent="0.2">
      <c r="A294" t="s">
        <v>1275</v>
      </c>
      <c r="B294" t="s">
        <v>461</v>
      </c>
      <c r="C294">
        <v>4</v>
      </c>
      <c r="D294" t="s">
        <v>463</v>
      </c>
      <c r="E294" t="s">
        <v>691</v>
      </c>
      <c r="F294" t="s">
        <v>364</v>
      </c>
      <c r="G294">
        <v>114</v>
      </c>
      <c r="M294">
        <v>20</v>
      </c>
      <c r="O294" t="s">
        <v>699</v>
      </c>
    </row>
    <row r="295" spans="1:15" x14ac:dyDescent="0.2">
      <c r="A295" t="s">
        <v>1275</v>
      </c>
      <c r="B295" t="s">
        <v>461</v>
      </c>
      <c r="C295">
        <v>4</v>
      </c>
      <c r="D295" t="s">
        <v>463</v>
      </c>
      <c r="E295" t="s">
        <v>692</v>
      </c>
      <c r="F295" t="s">
        <v>343</v>
      </c>
      <c r="G295">
        <v>125</v>
      </c>
      <c r="M295">
        <v>3</v>
      </c>
      <c r="O295" t="s">
        <v>390</v>
      </c>
    </row>
    <row r="296" spans="1:15" x14ac:dyDescent="0.2">
      <c r="A296" t="s">
        <v>1275</v>
      </c>
      <c r="B296" t="s">
        <v>461</v>
      </c>
      <c r="C296">
        <v>4</v>
      </c>
      <c r="D296" t="s">
        <v>463</v>
      </c>
      <c r="E296" t="s">
        <v>693</v>
      </c>
      <c r="F296" t="s">
        <v>547</v>
      </c>
      <c r="G296">
        <v>5</v>
      </c>
    </row>
    <row r="297" spans="1:15" x14ac:dyDescent="0.2">
      <c r="A297" t="s">
        <v>1275</v>
      </c>
      <c r="B297" t="s">
        <v>461</v>
      </c>
      <c r="C297">
        <v>4</v>
      </c>
      <c r="D297" t="s">
        <v>463</v>
      </c>
      <c r="E297" t="s">
        <v>694</v>
      </c>
      <c r="F297" t="s">
        <v>610</v>
      </c>
      <c r="G297">
        <v>1</v>
      </c>
    </row>
    <row r="298" spans="1:15" x14ac:dyDescent="0.2">
      <c r="A298" t="s">
        <v>1275</v>
      </c>
      <c r="B298" t="s">
        <v>461</v>
      </c>
      <c r="C298">
        <v>4</v>
      </c>
      <c r="D298" t="s">
        <v>463</v>
      </c>
      <c r="E298" t="s">
        <v>695</v>
      </c>
      <c r="F298" t="s">
        <v>515</v>
      </c>
      <c r="G298">
        <v>1</v>
      </c>
      <c r="M298">
        <v>2</v>
      </c>
      <c r="O298" t="s">
        <v>212</v>
      </c>
    </row>
    <row r="299" spans="1:15" x14ac:dyDescent="0.2">
      <c r="A299" t="s">
        <v>1275</v>
      </c>
      <c r="B299" t="s">
        <v>461</v>
      </c>
      <c r="C299">
        <v>4</v>
      </c>
      <c r="D299" t="s">
        <v>463</v>
      </c>
      <c r="E299" t="s">
        <v>696</v>
      </c>
      <c r="F299" t="s">
        <v>698</v>
      </c>
      <c r="G299">
        <v>1</v>
      </c>
    </row>
    <row r="300" spans="1:15" x14ac:dyDescent="0.2">
      <c r="A300" t="s">
        <v>1275</v>
      </c>
      <c r="B300" t="s">
        <v>461</v>
      </c>
      <c r="C300">
        <v>3</v>
      </c>
      <c r="D300" t="s">
        <v>463</v>
      </c>
      <c r="E300" t="s">
        <v>680</v>
      </c>
      <c r="F300" t="s">
        <v>701</v>
      </c>
      <c r="G300">
        <v>13</v>
      </c>
      <c r="M300">
        <v>5</v>
      </c>
      <c r="O300" t="s">
        <v>702</v>
      </c>
    </row>
    <row r="301" spans="1:15" x14ac:dyDescent="0.2">
      <c r="A301" t="s">
        <v>1275</v>
      </c>
      <c r="B301" t="s">
        <v>461</v>
      </c>
      <c r="C301">
        <v>3</v>
      </c>
      <c r="D301" t="s">
        <v>463</v>
      </c>
      <c r="E301" t="s">
        <v>681</v>
      </c>
      <c r="F301" t="s">
        <v>610</v>
      </c>
      <c r="G301">
        <v>48</v>
      </c>
      <c r="M301">
        <v>5</v>
      </c>
      <c r="O301" t="s">
        <v>336</v>
      </c>
    </row>
    <row r="302" spans="1:15" x14ac:dyDescent="0.2">
      <c r="A302" t="s">
        <v>1275</v>
      </c>
      <c r="B302" t="s">
        <v>461</v>
      </c>
      <c r="C302">
        <v>3</v>
      </c>
      <c r="D302" t="s">
        <v>463</v>
      </c>
      <c r="E302" t="s">
        <v>682</v>
      </c>
      <c r="F302" t="s">
        <v>343</v>
      </c>
      <c r="G302">
        <v>556</v>
      </c>
      <c r="M302">
        <v>8</v>
      </c>
      <c r="O302" t="s">
        <v>703</v>
      </c>
    </row>
    <row r="303" spans="1:15" x14ac:dyDescent="0.2">
      <c r="A303" t="s">
        <v>1275</v>
      </c>
      <c r="B303" t="s">
        <v>461</v>
      </c>
      <c r="C303">
        <v>3</v>
      </c>
      <c r="D303" t="s">
        <v>463</v>
      </c>
      <c r="E303" t="s">
        <v>683</v>
      </c>
      <c r="F303" t="s">
        <v>332</v>
      </c>
      <c r="G303">
        <v>44</v>
      </c>
      <c r="M303">
        <v>19</v>
      </c>
      <c r="O303" t="s">
        <v>704</v>
      </c>
    </row>
    <row r="304" spans="1:15" x14ac:dyDescent="0.2">
      <c r="A304" t="s">
        <v>1275</v>
      </c>
      <c r="B304" t="s">
        <v>461</v>
      </c>
      <c r="C304">
        <v>3</v>
      </c>
      <c r="D304" t="s">
        <v>463</v>
      </c>
      <c r="E304" t="s">
        <v>684</v>
      </c>
      <c r="F304" t="s">
        <v>364</v>
      </c>
      <c r="G304">
        <v>44</v>
      </c>
      <c r="M304">
        <v>12</v>
      </c>
      <c r="O304" t="s">
        <v>705</v>
      </c>
    </row>
    <row r="305" spans="1:17" x14ac:dyDescent="0.2">
      <c r="A305" t="s">
        <v>1275</v>
      </c>
      <c r="B305" t="s">
        <v>461</v>
      </c>
      <c r="C305">
        <v>3</v>
      </c>
      <c r="D305" t="s">
        <v>463</v>
      </c>
      <c r="E305" t="s">
        <v>685</v>
      </c>
      <c r="F305" t="s">
        <v>547</v>
      </c>
      <c r="G305">
        <v>14</v>
      </c>
      <c r="M305">
        <v>9</v>
      </c>
      <c r="O305" t="s">
        <v>706</v>
      </c>
    </row>
    <row r="306" spans="1:17" x14ac:dyDescent="0.2">
      <c r="A306" t="s">
        <v>1275</v>
      </c>
      <c r="B306" t="s">
        <v>461</v>
      </c>
      <c r="C306">
        <v>3</v>
      </c>
      <c r="D306" t="s">
        <v>463</v>
      </c>
      <c r="E306" t="s">
        <v>686</v>
      </c>
      <c r="F306" t="s">
        <v>112</v>
      </c>
      <c r="G306">
        <v>14</v>
      </c>
      <c r="M306">
        <v>4</v>
      </c>
      <c r="O306" t="s">
        <v>641</v>
      </c>
    </row>
    <row r="307" spans="1:17" x14ac:dyDescent="0.2">
      <c r="A307" t="s">
        <v>1275</v>
      </c>
      <c r="B307" t="s">
        <v>461</v>
      </c>
      <c r="C307">
        <v>3</v>
      </c>
      <c r="D307" t="s">
        <v>463</v>
      </c>
      <c r="E307" t="s">
        <v>2477</v>
      </c>
      <c r="F307" t="s">
        <v>1264</v>
      </c>
      <c r="H307">
        <f>1.929-0.589</f>
        <v>1.34</v>
      </c>
    </row>
    <row r="308" spans="1:17" x14ac:dyDescent="0.2">
      <c r="A308" t="s">
        <v>1275</v>
      </c>
      <c r="B308" t="s">
        <v>461</v>
      </c>
      <c r="C308">
        <v>3</v>
      </c>
      <c r="D308" t="s">
        <v>463</v>
      </c>
      <c r="E308" t="s">
        <v>687</v>
      </c>
      <c r="F308" t="s">
        <v>130</v>
      </c>
      <c r="G308">
        <v>1</v>
      </c>
    </row>
    <row r="309" spans="1:17" x14ac:dyDescent="0.2">
      <c r="A309" t="s">
        <v>708</v>
      </c>
      <c r="B309" t="s">
        <v>709</v>
      </c>
      <c r="C309">
        <v>4</v>
      </c>
      <c r="D309" t="s">
        <v>314</v>
      </c>
      <c r="E309" t="s">
        <v>2469</v>
      </c>
      <c r="F309" t="s">
        <v>332</v>
      </c>
      <c r="G309">
        <f>794-SUM(G310:G314)</f>
        <v>567</v>
      </c>
    </row>
    <row r="310" spans="1:17" x14ac:dyDescent="0.2">
      <c r="A310" t="s">
        <v>708</v>
      </c>
      <c r="B310" t="s">
        <v>709</v>
      </c>
      <c r="C310">
        <v>4</v>
      </c>
      <c r="D310" t="s">
        <v>314</v>
      </c>
      <c r="E310" t="s">
        <v>316</v>
      </c>
      <c r="F310" s="6" t="s">
        <v>332</v>
      </c>
      <c r="G310">
        <v>99</v>
      </c>
      <c r="I310">
        <v>229</v>
      </c>
      <c r="J310">
        <v>210</v>
      </c>
      <c r="K310">
        <v>205</v>
      </c>
      <c r="O310" t="s">
        <v>424</v>
      </c>
    </row>
    <row r="311" spans="1:17" x14ac:dyDescent="0.2">
      <c r="A311" t="s">
        <v>708</v>
      </c>
      <c r="B311" t="s">
        <v>709</v>
      </c>
      <c r="C311">
        <v>4</v>
      </c>
      <c r="D311" t="s">
        <v>314</v>
      </c>
      <c r="E311" t="s">
        <v>317</v>
      </c>
      <c r="F311" s="6" t="s">
        <v>332</v>
      </c>
      <c r="G311">
        <v>4</v>
      </c>
      <c r="I311">
        <v>86</v>
      </c>
      <c r="J311">
        <v>83</v>
      </c>
      <c r="K311">
        <v>81</v>
      </c>
      <c r="Q311" t="s">
        <v>8603</v>
      </c>
    </row>
    <row r="312" spans="1:17" x14ac:dyDescent="0.2">
      <c r="A312" t="s">
        <v>708</v>
      </c>
      <c r="B312" t="s">
        <v>709</v>
      </c>
      <c r="C312">
        <v>4</v>
      </c>
      <c r="D312" t="s">
        <v>314</v>
      </c>
      <c r="E312" t="s">
        <v>318</v>
      </c>
      <c r="F312" s="6" t="s">
        <v>332</v>
      </c>
      <c r="G312">
        <v>45</v>
      </c>
      <c r="I312">
        <v>176</v>
      </c>
      <c r="J312">
        <v>169</v>
      </c>
      <c r="K312">
        <v>165</v>
      </c>
      <c r="Q312" t="s">
        <v>8604</v>
      </c>
    </row>
    <row r="313" spans="1:17" x14ac:dyDescent="0.2">
      <c r="A313" t="s">
        <v>708</v>
      </c>
      <c r="B313" t="s">
        <v>709</v>
      </c>
      <c r="C313">
        <v>4</v>
      </c>
      <c r="D313" t="s">
        <v>314</v>
      </c>
      <c r="E313" t="s">
        <v>319</v>
      </c>
      <c r="F313" s="6" t="s">
        <v>332</v>
      </c>
      <c r="G313">
        <v>38</v>
      </c>
      <c r="I313">
        <v>157</v>
      </c>
      <c r="J313">
        <v>153</v>
      </c>
      <c r="K313">
        <v>150</v>
      </c>
      <c r="Q313" t="s">
        <v>8605</v>
      </c>
    </row>
    <row r="314" spans="1:17" x14ac:dyDescent="0.2">
      <c r="A314" t="s">
        <v>708</v>
      </c>
      <c r="B314" t="s">
        <v>709</v>
      </c>
      <c r="C314">
        <v>4</v>
      </c>
      <c r="D314" t="s">
        <v>314</v>
      </c>
      <c r="E314" t="s">
        <v>320</v>
      </c>
      <c r="F314" s="6" t="s">
        <v>332</v>
      </c>
      <c r="G314">
        <v>41</v>
      </c>
      <c r="I314">
        <v>165</v>
      </c>
      <c r="J314">
        <v>159</v>
      </c>
      <c r="K314">
        <v>155</v>
      </c>
      <c r="Q314" t="s">
        <v>8606</v>
      </c>
    </row>
    <row r="315" spans="1:17" x14ac:dyDescent="0.2">
      <c r="A315" t="s">
        <v>708</v>
      </c>
      <c r="B315" t="s">
        <v>709</v>
      </c>
      <c r="C315">
        <v>4</v>
      </c>
      <c r="D315" t="s">
        <v>314</v>
      </c>
      <c r="E315" t="s">
        <v>321</v>
      </c>
      <c r="F315" s="6" t="s">
        <v>333</v>
      </c>
      <c r="G315">
        <v>553</v>
      </c>
      <c r="O315" t="s">
        <v>2467</v>
      </c>
    </row>
    <row r="316" spans="1:17" x14ac:dyDescent="0.2">
      <c r="A316" t="s">
        <v>708</v>
      </c>
      <c r="B316" t="s">
        <v>709</v>
      </c>
      <c r="C316">
        <v>4</v>
      </c>
      <c r="D316" t="s">
        <v>314</v>
      </c>
      <c r="E316" t="s">
        <v>425</v>
      </c>
      <c r="F316" s="6" t="s">
        <v>426</v>
      </c>
      <c r="G316">
        <v>231</v>
      </c>
      <c r="O316" t="s">
        <v>2468</v>
      </c>
    </row>
    <row r="317" spans="1:17" x14ac:dyDescent="0.2">
      <c r="A317" t="s">
        <v>708</v>
      </c>
      <c r="B317" t="s">
        <v>709</v>
      </c>
      <c r="C317">
        <v>4</v>
      </c>
      <c r="D317" t="s">
        <v>314</v>
      </c>
      <c r="E317" t="s">
        <v>322</v>
      </c>
      <c r="F317" s="6" t="s">
        <v>334</v>
      </c>
      <c r="H317">
        <v>1.0329999999999999</v>
      </c>
      <c r="O317" t="s">
        <v>2466</v>
      </c>
    </row>
    <row r="318" spans="1:17" x14ac:dyDescent="0.2">
      <c r="A318" t="s">
        <v>708</v>
      </c>
      <c r="B318" t="s">
        <v>709</v>
      </c>
      <c r="C318">
        <v>4</v>
      </c>
      <c r="D318" t="s">
        <v>314</v>
      </c>
      <c r="E318" t="s">
        <v>323</v>
      </c>
      <c r="F318" s="6" t="s">
        <v>335</v>
      </c>
      <c r="H318">
        <v>1</v>
      </c>
      <c r="M318">
        <v>5</v>
      </c>
      <c r="O318" t="s">
        <v>2465</v>
      </c>
    </row>
    <row r="319" spans="1:17" x14ac:dyDescent="0.2">
      <c r="A319" t="s">
        <v>708</v>
      </c>
      <c r="B319" t="s">
        <v>709</v>
      </c>
      <c r="C319">
        <v>4</v>
      </c>
      <c r="D319" t="s">
        <v>314</v>
      </c>
      <c r="E319" t="s">
        <v>324</v>
      </c>
      <c r="F319" s="6" t="s">
        <v>337</v>
      </c>
      <c r="G319">
        <v>52</v>
      </c>
    </row>
    <row r="320" spans="1:17" x14ac:dyDescent="0.2">
      <c r="A320" t="s">
        <v>708</v>
      </c>
      <c r="B320" t="s">
        <v>709</v>
      </c>
      <c r="C320">
        <v>4</v>
      </c>
      <c r="D320" t="s">
        <v>314</v>
      </c>
      <c r="E320" t="s">
        <v>325</v>
      </c>
      <c r="F320" s="6" t="s">
        <v>338</v>
      </c>
      <c r="G320">
        <v>23</v>
      </c>
      <c r="M320">
        <v>5</v>
      </c>
      <c r="O320" t="s">
        <v>336</v>
      </c>
    </row>
    <row r="321" spans="1:17" x14ac:dyDescent="0.2">
      <c r="A321" t="s">
        <v>708</v>
      </c>
      <c r="B321" t="s">
        <v>709</v>
      </c>
      <c r="C321">
        <v>4</v>
      </c>
      <c r="D321" t="s">
        <v>314</v>
      </c>
      <c r="E321" t="s">
        <v>326</v>
      </c>
      <c r="F321" s="6" t="s">
        <v>339</v>
      </c>
      <c r="G321">
        <v>16</v>
      </c>
      <c r="M321">
        <v>11</v>
      </c>
      <c r="O321" t="s">
        <v>340</v>
      </c>
    </row>
    <row r="322" spans="1:17" x14ac:dyDescent="0.2">
      <c r="A322" t="s">
        <v>708</v>
      </c>
      <c r="B322" t="s">
        <v>709</v>
      </c>
      <c r="C322">
        <v>4</v>
      </c>
      <c r="D322" t="s">
        <v>314</v>
      </c>
      <c r="E322" t="s">
        <v>327</v>
      </c>
      <c r="F322" s="6" t="s">
        <v>341</v>
      </c>
      <c r="G322" t="s">
        <v>114</v>
      </c>
      <c r="M322">
        <v>11</v>
      </c>
      <c r="O322" t="s">
        <v>342</v>
      </c>
    </row>
    <row r="323" spans="1:17" x14ac:dyDescent="0.2">
      <c r="A323" t="s">
        <v>708</v>
      </c>
      <c r="B323" t="s">
        <v>709</v>
      </c>
      <c r="C323">
        <v>4</v>
      </c>
      <c r="D323" t="s">
        <v>314</v>
      </c>
      <c r="E323" t="s">
        <v>328</v>
      </c>
      <c r="F323" s="6" t="s">
        <v>7990</v>
      </c>
      <c r="G323">
        <v>16</v>
      </c>
      <c r="I323">
        <v>149</v>
      </c>
      <c r="J323">
        <v>133</v>
      </c>
      <c r="K323">
        <v>128</v>
      </c>
      <c r="Q323" t="s">
        <v>8611</v>
      </c>
    </row>
    <row r="324" spans="1:17" x14ac:dyDescent="0.2">
      <c r="A324" t="s">
        <v>708</v>
      </c>
      <c r="B324" t="s">
        <v>709</v>
      </c>
      <c r="C324">
        <v>4</v>
      </c>
      <c r="D324" t="s">
        <v>314</v>
      </c>
      <c r="E324" t="s">
        <v>329</v>
      </c>
      <c r="F324" s="6" t="s">
        <v>343</v>
      </c>
      <c r="G324">
        <v>1</v>
      </c>
      <c r="I324">
        <v>78</v>
      </c>
      <c r="J324">
        <v>69</v>
      </c>
      <c r="K324">
        <v>64</v>
      </c>
      <c r="Q324" t="s">
        <v>8607</v>
      </c>
    </row>
    <row r="325" spans="1:17" x14ac:dyDescent="0.2">
      <c r="A325" t="s">
        <v>708</v>
      </c>
      <c r="B325" t="s">
        <v>709</v>
      </c>
      <c r="C325">
        <v>4</v>
      </c>
      <c r="D325" t="s">
        <v>314</v>
      </c>
      <c r="E325" t="s">
        <v>330</v>
      </c>
      <c r="F325" s="6" t="s">
        <v>343</v>
      </c>
      <c r="G325">
        <v>6</v>
      </c>
      <c r="I325">
        <v>108</v>
      </c>
      <c r="J325">
        <v>95</v>
      </c>
      <c r="K325">
        <v>89</v>
      </c>
      <c r="Q325" t="s">
        <v>8608</v>
      </c>
    </row>
    <row r="326" spans="1:17" x14ac:dyDescent="0.2">
      <c r="A326" t="s">
        <v>708</v>
      </c>
      <c r="B326" t="s">
        <v>709</v>
      </c>
      <c r="C326">
        <v>4</v>
      </c>
      <c r="D326" t="s">
        <v>314</v>
      </c>
      <c r="E326" t="s">
        <v>331</v>
      </c>
      <c r="F326" s="6" t="s">
        <v>343</v>
      </c>
      <c r="G326">
        <v>9</v>
      </c>
      <c r="I326">
        <v>123</v>
      </c>
      <c r="J326">
        <v>108</v>
      </c>
      <c r="K326">
        <v>99</v>
      </c>
      <c r="Q326" t="s">
        <v>8609</v>
      </c>
    </row>
    <row r="327" spans="1:17" x14ac:dyDescent="0.2">
      <c r="A327" t="s">
        <v>708</v>
      </c>
      <c r="B327" t="s">
        <v>709</v>
      </c>
      <c r="C327">
        <v>4</v>
      </c>
      <c r="D327" t="s">
        <v>314</v>
      </c>
      <c r="E327" t="s">
        <v>344</v>
      </c>
      <c r="F327" s="6" t="s">
        <v>343</v>
      </c>
      <c r="G327">
        <v>6</v>
      </c>
      <c r="I327">
        <v>106</v>
      </c>
      <c r="J327">
        <v>100</v>
      </c>
      <c r="K327">
        <v>94</v>
      </c>
      <c r="Q327" t="s">
        <v>8610</v>
      </c>
    </row>
    <row r="328" spans="1:17" x14ac:dyDescent="0.2">
      <c r="A328" t="s">
        <v>708</v>
      </c>
      <c r="B328" t="s">
        <v>709</v>
      </c>
      <c r="C328">
        <v>4</v>
      </c>
      <c r="D328" t="s">
        <v>314</v>
      </c>
      <c r="E328" t="s">
        <v>345</v>
      </c>
      <c r="F328" s="6" t="s">
        <v>360</v>
      </c>
      <c r="G328">
        <v>10</v>
      </c>
      <c r="M328">
        <v>6</v>
      </c>
      <c r="O328" t="s">
        <v>361</v>
      </c>
    </row>
    <row r="329" spans="1:17" x14ac:dyDescent="0.2">
      <c r="A329" t="s">
        <v>708</v>
      </c>
      <c r="B329" t="s">
        <v>709</v>
      </c>
      <c r="C329">
        <v>4</v>
      </c>
      <c r="D329" t="s">
        <v>314</v>
      </c>
      <c r="E329" t="s">
        <v>346</v>
      </c>
      <c r="F329" s="6" t="s">
        <v>362</v>
      </c>
      <c r="G329" t="s">
        <v>114</v>
      </c>
      <c r="M329">
        <v>2</v>
      </c>
      <c r="O329" t="s">
        <v>212</v>
      </c>
    </row>
    <row r="330" spans="1:17" x14ac:dyDescent="0.2">
      <c r="A330" t="s">
        <v>708</v>
      </c>
      <c r="B330" t="s">
        <v>709</v>
      </c>
      <c r="C330">
        <v>4</v>
      </c>
      <c r="D330" t="s">
        <v>314</v>
      </c>
      <c r="E330" t="s">
        <v>347</v>
      </c>
      <c r="F330" s="6" t="s">
        <v>363</v>
      </c>
      <c r="G330">
        <v>2</v>
      </c>
    </row>
    <row r="331" spans="1:17" x14ac:dyDescent="0.2">
      <c r="A331" t="s">
        <v>708</v>
      </c>
      <c r="B331" t="s">
        <v>709</v>
      </c>
      <c r="C331">
        <v>4</v>
      </c>
      <c r="D331" t="s">
        <v>314</v>
      </c>
      <c r="E331" t="s">
        <v>348</v>
      </c>
      <c r="F331" s="6" t="s">
        <v>364</v>
      </c>
      <c r="G331">
        <v>6</v>
      </c>
      <c r="I331">
        <v>85</v>
      </c>
      <c r="J331">
        <v>80</v>
      </c>
      <c r="K331">
        <v>73</v>
      </c>
      <c r="Q331" t="s">
        <v>8612</v>
      </c>
    </row>
    <row r="332" spans="1:17" x14ac:dyDescent="0.2">
      <c r="A332" t="s">
        <v>708</v>
      </c>
      <c r="B332" t="s">
        <v>709</v>
      </c>
      <c r="C332">
        <v>4</v>
      </c>
      <c r="D332" t="s">
        <v>314</v>
      </c>
      <c r="E332" t="s">
        <v>349</v>
      </c>
      <c r="F332" s="6" t="s">
        <v>364</v>
      </c>
      <c r="G332">
        <v>4</v>
      </c>
      <c r="I332">
        <v>80</v>
      </c>
      <c r="J332">
        <v>75</v>
      </c>
      <c r="K332">
        <v>70</v>
      </c>
      <c r="Q332" t="s">
        <v>8613</v>
      </c>
    </row>
    <row r="333" spans="1:17" x14ac:dyDescent="0.2">
      <c r="A333" t="s">
        <v>708</v>
      </c>
      <c r="B333" t="s">
        <v>709</v>
      </c>
      <c r="C333">
        <v>4</v>
      </c>
      <c r="D333" t="s">
        <v>314</v>
      </c>
      <c r="E333" t="s">
        <v>350</v>
      </c>
      <c r="F333" s="6" t="s">
        <v>364</v>
      </c>
      <c r="G333">
        <v>3</v>
      </c>
      <c r="I333">
        <v>68</v>
      </c>
      <c r="K333">
        <v>61</v>
      </c>
      <c r="Q333" t="s">
        <v>8614</v>
      </c>
    </row>
    <row r="334" spans="1:17" x14ac:dyDescent="0.2">
      <c r="A334" t="s">
        <v>708</v>
      </c>
      <c r="B334" t="s">
        <v>709</v>
      </c>
      <c r="C334">
        <v>4</v>
      </c>
      <c r="D334" t="s">
        <v>314</v>
      </c>
      <c r="E334" t="s">
        <v>351</v>
      </c>
      <c r="F334" s="6" t="s">
        <v>364</v>
      </c>
      <c r="G334">
        <v>2</v>
      </c>
      <c r="I334">
        <v>65</v>
      </c>
      <c r="J334">
        <v>61</v>
      </c>
      <c r="K334">
        <v>56</v>
      </c>
      <c r="Q334" t="s">
        <v>8615</v>
      </c>
    </row>
    <row r="335" spans="1:17" x14ac:dyDescent="0.2">
      <c r="A335" t="s">
        <v>708</v>
      </c>
      <c r="B335" t="s">
        <v>709</v>
      </c>
      <c r="C335">
        <v>4</v>
      </c>
      <c r="D335" t="s">
        <v>314</v>
      </c>
      <c r="E335" t="s">
        <v>352</v>
      </c>
      <c r="F335" s="6" t="s">
        <v>1538</v>
      </c>
      <c r="G335">
        <v>2</v>
      </c>
      <c r="I335">
        <v>76</v>
      </c>
      <c r="K335">
        <v>73</v>
      </c>
      <c r="Q335" t="s">
        <v>8619</v>
      </c>
    </row>
    <row r="336" spans="1:17" x14ac:dyDescent="0.2">
      <c r="A336" t="s">
        <v>708</v>
      </c>
      <c r="B336" t="s">
        <v>709</v>
      </c>
      <c r="C336">
        <v>4</v>
      </c>
      <c r="D336" t="s">
        <v>314</v>
      </c>
      <c r="E336" t="s">
        <v>353</v>
      </c>
      <c r="F336" s="6" t="s">
        <v>6231</v>
      </c>
      <c r="G336">
        <v>20</v>
      </c>
      <c r="I336">
        <v>178</v>
      </c>
      <c r="K336">
        <v>162</v>
      </c>
      <c r="Q336" t="s">
        <v>8617</v>
      </c>
    </row>
    <row r="337" spans="1:17" x14ac:dyDescent="0.2">
      <c r="A337" t="s">
        <v>708</v>
      </c>
      <c r="B337" t="s">
        <v>709</v>
      </c>
      <c r="C337">
        <v>4</v>
      </c>
      <c r="D337" t="s">
        <v>314</v>
      </c>
      <c r="E337" t="s">
        <v>354</v>
      </c>
      <c r="F337" s="6" t="s">
        <v>6231</v>
      </c>
      <c r="G337">
        <v>13</v>
      </c>
      <c r="I337">
        <v>154</v>
      </c>
      <c r="K337">
        <v>140</v>
      </c>
      <c r="Q337" t="s">
        <v>8618</v>
      </c>
    </row>
    <row r="338" spans="1:17" x14ac:dyDescent="0.2">
      <c r="A338" t="s">
        <v>708</v>
      </c>
      <c r="B338" t="s">
        <v>709</v>
      </c>
      <c r="C338">
        <v>4</v>
      </c>
      <c r="D338" t="s">
        <v>314</v>
      </c>
      <c r="E338" t="s">
        <v>355</v>
      </c>
      <c r="F338" s="6" t="s">
        <v>364</v>
      </c>
      <c r="G338">
        <v>13</v>
      </c>
      <c r="I338">
        <v>106</v>
      </c>
      <c r="J338">
        <v>102</v>
      </c>
      <c r="K338">
        <v>93</v>
      </c>
      <c r="Q338" t="s">
        <v>8616</v>
      </c>
    </row>
    <row r="339" spans="1:17" x14ac:dyDescent="0.2">
      <c r="A339" t="s">
        <v>708</v>
      </c>
      <c r="B339" t="s">
        <v>709</v>
      </c>
      <c r="C339">
        <v>4</v>
      </c>
      <c r="D339" t="s">
        <v>314</v>
      </c>
      <c r="E339" t="s">
        <v>356</v>
      </c>
      <c r="F339" s="6" t="s">
        <v>8624</v>
      </c>
      <c r="G339" t="s">
        <v>114</v>
      </c>
      <c r="K339">
        <v>33</v>
      </c>
      <c r="Q339" t="s">
        <v>8620</v>
      </c>
    </row>
    <row r="340" spans="1:17" x14ac:dyDescent="0.2">
      <c r="A340" t="s">
        <v>708</v>
      </c>
      <c r="B340" t="s">
        <v>709</v>
      </c>
      <c r="C340">
        <v>4</v>
      </c>
      <c r="D340" t="s">
        <v>314</v>
      </c>
      <c r="E340" t="s">
        <v>357</v>
      </c>
      <c r="F340" s="6" t="s">
        <v>1538</v>
      </c>
      <c r="G340">
        <v>2</v>
      </c>
      <c r="I340">
        <v>64</v>
      </c>
      <c r="K340">
        <v>62</v>
      </c>
      <c r="Q340" t="s">
        <v>8621</v>
      </c>
    </row>
    <row r="341" spans="1:17" x14ac:dyDescent="0.2">
      <c r="A341" t="s">
        <v>708</v>
      </c>
      <c r="B341" t="s">
        <v>709</v>
      </c>
      <c r="C341">
        <v>4</v>
      </c>
      <c r="D341" t="s">
        <v>314</v>
      </c>
      <c r="E341" t="s">
        <v>358</v>
      </c>
      <c r="F341" s="6" t="s">
        <v>1538</v>
      </c>
      <c r="G341" t="s">
        <v>114</v>
      </c>
      <c r="I341">
        <v>49</v>
      </c>
      <c r="K341">
        <v>46</v>
      </c>
      <c r="Q341" t="s">
        <v>8622</v>
      </c>
    </row>
    <row r="342" spans="1:17" x14ac:dyDescent="0.2">
      <c r="A342" t="s">
        <v>708</v>
      </c>
      <c r="B342" t="s">
        <v>709</v>
      </c>
      <c r="C342">
        <v>4</v>
      </c>
      <c r="D342" t="s">
        <v>314</v>
      </c>
      <c r="E342" t="s">
        <v>359</v>
      </c>
      <c r="F342" s="6" t="s">
        <v>1538</v>
      </c>
      <c r="G342" t="s">
        <v>114</v>
      </c>
      <c r="I342">
        <v>65</v>
      </c>
      <c r="K342">
        <v>63</v>
      </c>
      <c r="Q342" t="s">
        <v>8623</v>
      </c>
    </row>
    <row r="343" spans="1:17" x14ac:dyDescent="0.2">
      <c r="A343" t="s">
        <v>708</v>
      </c>
      <c r="B343" t="s">
        <v>709</v>
      </c>
      <c r="C343">
        <v>4</v>
      </c>
      <c r="D343" t="s">
        <v>314</v>
      </c>
      <c r="E343" t="s">
        <v>368</v>
      </c>
      <c r="F343" s="6" t="s">
        <v>1311</v>
      </c>
      <c r="G343">
        <v>3</v>
      </c>
      <c r="I343">
        <v>76</v>
      </c>
      <c r="J343">
        <v>72</v>
      </c>
      <c r="K343">
        <v>64</v>
      </c>
      <c r="P343" t="s">
        <v>5846</v>
      </c>
      <c r="Q343" t="s">
        <v>8625</v>
      </c>
    </row>
    <row r="344" spans="1:17" x14ac:dyDescent="0.2">
      <c r="A344" t="s">
        <v>708</v>
      </c>
      <c r="B344" t="s">
        <v>709</v>
      </c>
      <c r="C344">
        <v>4</v>
      </c>
      <c r="D344" t="s">
        <v>314</v>
      </c>
      <c r="E344" t="s">
        <v>369</v>
      </c>
      <c r="F344" s="6" t="s">
        <v>1311</v>
      </c>
      <c r="G344">
        <v>1</v>
      </c>
      <c r="I344">
        <v>70</v>
      </c>
      <c r="J344">
        <v>64</v>
      </c>
      <c r="K344">
        <v>59</v>
      </c>
      <c r="P344" t="s">
        <v>5846</v>
      </c>
      <c r="Q344" t="s">
        <v>8626</v>
      </c>
    </row>
    <row r="345" spans="1:17" x14ac:dyDescent="0.2">
      <c r="A345" t="s">
        <v>708</v>
      </c>
      <c r="B345" t="s">
        <v>709</v>
      </c>
      <c r="C345">
        <v>4</v>
      </c>
      <c r="D345" t="s">
        <v>314</v>
      </c>
      <c r="E345" t="s">
        <v>370</v>
      </c>
      <c r="F345" s="6" t="s">
        <v>1311</v>
      </c>
      <c r="G345">
        <v>1</v>
      </c>
      <c r="I345">
        <v>63</v>
      </c>
      <c r="J345">
        <v>60</v>
      </c>
      <c r="K345">
        <v>52</v>
      </c>
      <c r="P345" t="s">
        <v>5846</v>
      </c>
      <c r="Q345" t="s">
        <v>8627</v>
      </c>
    </row>
    <row r="346" spans="1:17" x14ac:dyDescent="0.2">
      <c r="A346" t="s">
        <v>708</v>
      </c>
      <c r="B346" t="s">
        <v>709</v>
      </c>
      <c r="C346">
        <v>4</v>
      </c>
      <c r="D346" t="s">
        <v>314</v>
      </c>
      <c r="E346" t="s">
        <v>371</v>
      </c>
      <c r="F346" s="6" t="s">
        <v>375</v>
      </c>
      <c r="G346">
        <v>8</v>
      </c>
    </row>
    <row r="347" spans="1:17" x14ac:dyDescent="0.2">
      <c r="A347" t="s">
        <v>708</v>
      </c>
      <c r="B347" t="s">
        <v>709</v>
      </c>
      <c r="C347">
        <v>4</v>
      </c>
      <c r="D347" t="s">
        <v>314</v>
      </c>
      <c r="E347" t="s">
        <v>372</v>
      </c>
      <c r="F347" t="s">
        <v>6862</v>
      </c>
      <c r="G347">
        <v>1</v>
      </c>
      <c r="I347">
        <v>85</v>
      </c>
      <c r="K347">
        <v>79</v>
      </c>
      <c r="P347" t="s">
        <v>5999</v>
      </c>
      <c r="Q347" t="s">
        <v>5927</v>
      </c>
    </row>
    <row r="348" spans="1:17" x14ac:dyDescent="0.2">
      <c r="A348" t="s">
        <v>708</v>
      </c>
      <c r="B348" t="s">
        <v>709</v>
      </c>
      <c r="C348">
        <v>4</v>
      </c>
      <c r="D348" t="s">
        <v>314</v>
      </c>
      <c r="E348" t="s">
        <v>373</v>
      </c>
      <c r="F348" t="s">
        <v>6862</v>
      </c>
      <c r="G348">
        <v>4</v>
      </c>
      <c r="I348">
        <v>145</v>
      </c>
      <c r="K348">
        <v>135</v>
      </c>
      <c r="P348" t="s">
        <v>5999</v>
      </c>
      <c r="Q348" t="s">
        <v>5928</v>
      </c>
    </row>
    <row r="349" spans="1:17" x14ac:dyDescent="0.2">
      <c r="A349" t="s">
        <v>708</v>
      </c>
      <c r="B349" t="s">
        <v>709</v>
      </c>
      <c r="C349">
        <v>5</v>
      </c>
      <c r="D349" t="s">
        <v>314</v>
      </c>
      <c r="E349" t="s">
        <v>377</v>
      </c>
      <c r="F349" s="6" t="s">
        <v>335</v>
      </c>
      <c r="G349">
        <v>118</v>
      </c>
      <c r="M349">
        <v>5</v>
      </c>
      <c r="O349" t="s">
        <v>336</v>
      </c>
    </row>
    <row r="350" spans="1:17" x14ac:dyDescent="0.2">
      <c r="A350" t="s">
        <v>708</v>
      </c>
      <c r="B350" t="s">
        <v>709</v>
      </c>
      <c r="C350">
        <v>5</v>
      </c>
      <c r="D350" t="s">
        <v>314</v>
      </c>
      <c r="E350" t="s">
        <v>378</v>
      </c>
      <c r="F350" s="6" t="s">
        <v>338</v>
      </c>
      <c r="G350">
        <v>6</v>
      </c>
      <c r="M350">
        <v>3</v>
      </c>
      <c r="O350" t="s">
        <v>390</v>
      </c>
    </row>
    <row r="351" spans="1:17" x14ac:dyDescent="0.2">
      <c r="A351" t="s">
        <v>708</v>
      </c>
      <c r="B351" t="s">
        <v>709</v>
      </c>
      <c r="C351">
        <v>5</v>
      </c>
      <c r="D351" t="s">
        <v>314</v>
      </c>
      <c r="E351" t="s">
        <v>379</v>
      </c>
      <c r="F351" s="6" t="s">
        <v>362</v>
      </c>
      <c r="G351">
        <v>392</v>
      </c>
      <c r="O351" t="s">
        <v>2470</v>
      </c>
    </row>
    <row r="352" spans="1:17" x14ac:dyDescent="0.2">
      <c r="A352" t="s">
        <v>708</v>
      </c>
      <c r="B352" t="s">
        <v>709</v>
      </c>
      <c r="C352">
        <v>5</v>
      </c>
      <c r="D352" t="s">
        <v>314</v>
      </c>
      <c r="E352" t="s">
        <v>380</v>
      </c>
      <c r="F352" s="6" t="s">
        <v>360</v>
      </c>
      <c r="G352">
        <v>5</v>
      </c>
      <c r="M352">
        <v>2</v>
      </c>
      <c r="O352" t="s">
        <v>212</v>
      </c>
    </row>
    <row r="353" spans="1:17" x14ac:dyDescent="0.2">
      <c r="A353" t="s">
        <v>708</v>
      </c>
      <c r="B353" t="s">
        <v>709</v>
      </c>
      <c r="C353">
        <v>5</v>
      </c>
      <c r="D353" t="s">
        <v>314</v>
      </c>
      <c r="E353" t="s">
        <v>381</v>
      </c>
      <c r="F353" s="6" t="s">
        <v>391</v>
      </c>
      <c r="G353" t="s">
        <v>114</v>
      </c>
      <c r="M353">
        <v>3</v>
      </c>
      <c r="O353" t="s">
        <v>390</v>
      </c>
    </row>
    <row r="354" spans="1:17" x14ac:dyDescent="0.2">
      <c r="A354" t="s">
        <v>708</v>
      </c>
      <c r="B354" t="s">
        <v>709</v>
      </c>
      <c r="C354">
        <v>5</v>
      </c>
      <c r="D354" t="s">
        <v>314</v>
      </c>
      <c r="E354" t="s">
        <v>382</v>
      </c>
      <c r="F354" s="6" t="s">
        <v>337</v>
      </c>
      <c r="G354" t="s">
        <v>114</v>
      </c>
    </row>
    <row r="355" spans="1:17" x14ac:dyDescent="0.2">
      <c r="A355" t="s">
        <v>708</v>
      </c>
      <c r="B355" t="s">
        <v>709</v>
      </c>
      <c r="C355">
        <v>5</v>
      </c>
      <c r="D355" t="s">
        <v>314</v>
      </c>
      <c r="E355" t="s">
        <v>383</v>
      </c>
      <c r="F355" s="6" t="s">
        <v>392</v>
      </c>
      <c r="G355" t="s">
        <v>114</v>
      </c>
    </row>
    <row r="356" spans="1:17" x14ac:dyDescent="0.2">
      <c r="A356" t="s">
        <v>708</v>
      </c>
      <c r="B356" t="s">
        <v>709</v>
      </c>
      <c r="C356">
        <v>5</v>
      </c>
      <c r="D356" t="s">
        <v>314</v>
      </c>
      <c r="E356" t="s">
        <v>384</v>
      </c>
      <c r="F356" s="6" t="s">
        <v>333</v>
      </c>
      <c r="G356" t="s">
        <v>114</v>
      </c>
    </row>
    <row r="357" spans="1:17" x14ac:dyDescent="0.2">
      <c r="A357" t="s">
        <v>708</v>
      </c>
      <c r="B357" t="s">
        <v>709</v>
      </c>
      <c r="C357">
        <v>5</v>
      </c>
      <c r="D357" t="s">
        <v>314</v>
      </c>
      <c r="E357" t="s">
        <v>385</v>
      </c>
      <c r="F357" s="6" t="s">
        <v>393</v>
      </c>
      <c r="G357" t="s">
        <v>114</v>
      </c>
      <c r="O357" t="s">
        <v>394</v>
      </c>
    </row>
    <row r="358" spans="1:17" x14ac:dyDescent="0.2">
      <c r="A358" t="s">
        <v>708</v>
      </c>
      <c r="B358" t="s">
        <v>709</v>
      </c>
      <c r="C358">
        <v>5</v>
      </c>
      <c r="D358" t="s">
        <v>314</v>
      </c>
      <c r="E358" t="s">
        <v>386</v>
      </c>
      <c r="F358" s="6" t="s">
        <v>395</v>
      </c>
      <c r="G358">
        <v>14</v>
      </c>
      <c r="M358" t="s">
        <v>802</v>
      </c>
      <c r="O358" t="s">
        <v>396</v>
      </c>
    </row>
    <row r="359" spans="1:17" x14ac:dyDescent="0.2">
      <c r="A359" t="s">
        <v>708</v>
      </c>
      <c r="B359" t="s">
        <v>709</v>
      </c>
      <c r="C359">
        <v>5</v>
      </c>
      <c r="D359" t="s">
        <v>314</v>
      </c>
      <c r="E359" t="s">
        <v>387</v>
      </c>
      <c r="F359" s="6" t="s">
        <v>397</v>
      </c>
      <c r="G359">
        <v>34</v>
      </c>
      <c r="M359">
        <v>16</v>
      </c>
      <c r="O359" t="s">
        <v>423</v>
      </c>
      <c r="Q359" t="s">
        <v>8628</v>
      </c>
    </row>
    <row r="360" spans="1:17" x14ac:dyDescent="0.2">
      <c r="A360" t="s">
        <v>708</v>
      </c>
      <c r="B360" t="s">
        <v>709</v>
      </c>
      <c r="C360">
        <v>5</v>
      </c>
      <c r="D360" t="s">
        <v>314</v>
      </c>
      <c r="E360" t="s">
        <v>388</v>
      </c>
      <c r="F360" s="6" t="s">
        <v>363</v>
      </c>
      <c r="G360">
        <v>3</v>
      </c>
    </row>
    <row r="361" spans="1:17" x14ac:dyDescent="0.2">
      <c r="A361" t="s">
        <v>708</v>
      </c>
      <c r="B361" t="s">
        <v>709</v>
      </c>
      <c r="C361">
        <v>5</v>
      </c>
      <c r="D361" t="s">
        <v>314</v>
      </c>
      <c r="E361" t="s">
        <v>389</v>
      </c>
      <c r="F361" s="6" t="s">
        <v>398</v>
      </c>
      <c r="G361">
        <v>3</v>
      </c>
    </row>
    <row r="362" spans="1:17" x14ac:dyDescent="0.2">
      <c r="A362" t="s">
        <v>708</v>
      </c>
      <c r="B362" t="s">
        <v>709</v>
      </c>
      <c r="C362">
        <v>6</v>
      </c>
      <c r="D362" t="s">
        <v>314</v>
      </c>
      <c r="E362" t="s">
        <v>399</v>
      </c>
      <c r="F362" s="6" t="s">
        <v>403</v>
      </c>
      <c r="G362">
        <f>758+926-590</f>
        <v>1094</v>
      </c>
      <c r="O362" t="s">
        <v>404</v>
      </c>
    </row>
    <row r="363" spans="1:17" x14ac:dyDescent="0.2">
      <c r="A363" t="s">
        <v>708</v>
      </c>
      <c r="B363" t="s">
        <v>709</v>
      </c>
      <c r="C363">
        <v>6</v>
      </c>
      <c r="D363" t="s">
        <v>314</v>
      </c>
      <c r="E363" t="s">
        <v>400</v>
      </c>
      <c r="F363" s="6" t="s">
        <v>405</v>
      </c>
      <c r="G363">
        <v>33</v>
      </c>
      <c r="M363">
        <v>3</v>
      </c>
      <c r="O363" t="s">
        <v>406</v>
      </c>
    </row>
    <row r="364" spans="1:17" x14ac:dyDescent="0.2">
      <c r="A364" t="s">
        <v>708</v>
      </c>
      <c r="B364" t="s">
        <v>709</v>
      </c>
      <c r="C364">
        <v>6</v>
      </c>
      <c r="D364" t="s">
        <v>314</v>
      </c>
      <c r="E364" t="s">
        <v>401</v>
      </c>
      <c r="F364" s="6" t="s">
        <v>407</v>
      </c>
      <c r="G364" t="s">
        <v>114</v>
      </c>
      <c r="M364">
        <v>3</v>
      </c>
      <c r="O364" t="s">
        <v>408</v>
      </c>
    </row>
    <row r="365" spans="1:17" x14ac:dyDescent="0.2">
      <c r="A365" t="s">
        <v>708</v>
      </c>
      <c r="B365" t="s">
        <v>709</v>
      </c>
      <c r="C365">
        <v>6</v>
      </c>
      <c r="D365" t="s">
        <v>314</v>
      </c>
      <c r="E365" t="s">
        <v>402</v>
      </c>
      <c r="F365" s="6" t="s">
        <v>397</v>
      </c>
      <c r="G365">
        <v>2</v>
      </c>
      <c r="L365" t="s">
        <v>315</v>
      </c>
      <c r="Q365" t="s">
        <v>8635</v>
      </c>
    </row>
    <row r="366" spans="1:17" x14ac:dyDescent="0.2">
      <c r="A366" t="s">
        <v>708</v>
      </c>
      <c r="B366" t="s">
        <v>709</v>
      </c>
      <c r="C366">
        <v>2</v>
      </c>
      <c r="D366" t="s">
        <v>314</v>
      </c>
      <c r="E366" t="s">
        <v>416</v>
      </c>
      <c r="F366" s="6" t="s">
        <v>7337</v>
      </c>
      <c r="G366" t="s">
        <v>42</v>
      </c>
      <c r="L366" t="s">
        <v>315</v>
      </c>
      <c r="O366" t="s">
        <v>2471</v>
      </c>
      <c r="Q366" t="s">
        <v>8636</v>
      </c>
    </row>
    <row r="367" spans="1:17" x14ac:dyDescent="0.2">
      <c r="A367" t="s">
        <v>708</v>
      </c>
      <c r="B367" t="s">
        <v>709</v>
      </c>
      <c r="C367">
        <v>2</v>
      </c>
      <c r="D367" t="s">
        <v>314</v>
      </c>
      <c r="E367" t="s">
        <v>417</v>
      </c>
      <c r="F367" s="6" t="s">
        <v>3930</v>
      </c>
      <c r="G367" t="s">
        <v>42</v>
      </c>
      <c r="O367" t="s">
        <v>2471</v>
      </c>
      <c r="Q367" t="s">
        <v>8637</v>
      </c>
    </row>
    <row r="368" spans="1:17" x14ac:dyDescent="0.2">
      <c r="A368" t="s">
        <v>708</v>
      </c>
      <c r="B368" t="s">
        <v>709</v>
      </c>
      <c r="C368">
        <v>2</v>
      </c>
      <c r="D368" t="s">
        <v>314</v>
      </c>
      <c r="E368" t="s">
        <v>418</v>
      </c>
      <c r="F368" s="6" t="s">
        <v>3930</v>
      </c>
      <c r="G368" t="s">
        <v>42</v>
      </c>
      <c r="O368" t="s">
        <v>2471</v>
      </c>
      <c r="Q368" t="s">
        <v>8638</v>
      </c>
    </row>
    <row r="369" spans="1:17" x14ac:dyDescent="0.2">
      <c r="A369" t="s">
        <v>708</v>
      </c>
      <c r="B369" t="s">
        <v>709</v>
      </c>
      <c r="C369">
        <v>2</v>
      </c>
      <c r="D369" t="s">
        <v>314</v>
      </c>
      <c r="E369" t="s">
        <v>419</v>
      </c>
      <c r="F369" s="6" t="s">
        <v>1538</v>
      </c>
      <c r="G369" t="s">
        <v>42</v>
      </c>
      <c r="O369" t="s">
        <v>2471</v>
      </c>
      <c r="Q369" t="s">
        <v>8639</v>
      </c>
    </row>
    <row r="370" spans="1:17" x14ac:dyDescent="0.2">
      <c r="A370" t="s">
        <v>708</v>
      </c>
      <c r="B370" t="s">
        <v>709</v>
      </c>
      <c r="C370">
        <v>2</v>
      </c>
      <c r="D370" t="s">
        <v>314</v>
      </c>
      <c r="E370" t="s">
        <v>420</v>
      </c>
      <c r="F370" s="6" t="s">
        <v>6239</v>
      </c>
      <c r="G370" t="s">
        <v>42</v>
      </c>
      <c r="O370" t="s">
        <v>2471</v>
      </c>
      <c r="Q370" t="s">
        <v>8640</v>
      </c>
    </row>
    <row r="371" spans="1:17" x14ac:dyDescent="0.2">
      <c r="A371" t="s">
        <v>708</v>
      </c>
      <c r="B371" t="s">
        <v>709</v>
      </c>
      <c r="C371">
        <v>2</v>
      </c>
      <c r="D371" t="s">
        <v>314</v>
      </c>
      <c r="E371" t="s">
        <v>421</v>
      </c>
      <c r="F371" s="6" t="s">
        <v>395</v>
      </c>
      <c r="G371">
        <v>15</v>
      </c>
      <c r="L371" t="s">
        <v>315</v>
      </c>
    </row>
    <row r="372" spans="1:17" x14ac:dyDescent="0.2">
      <c r="A372" t="s">
        <v>708</v>
      </c>
      <c r="B372" t="s">
        <v>709</v>
      </c>
      <c r="C372">
        <v>2</v>
      </c>
      <c r="D372" t="s">
        <v>314</v>
      </c>
      <c r="E372" t="s">
        <v>427</v>
      </c>
      <c r="F372" s="6" t="s">
        <v>428</v>
      </c>
      <c r="H372">
        <v>0.49</v>
      </c>
      <c r="O372" t="s">
        <v>429</v>
      </c>
    </row>
    <row r="373" spans="1:17" s="12" customFormat="1" x14ac:dyDescent="0.2">
      <c r="A373" s="12" t="s">
        <v>708</v>
      </c>
      <c r="B373" s="12" t="s">
        <v>709</v>
      </c>
      <c r="C373">
        <v>1</v>
      </c>
      <c r="D373" s="12" t="s">
        <v>314</v>
      </c>
      <c r="E373" s="12" t="s">
        <v>410</v>
      </c>
      <c r="F373" s="13" t="s">
        <v>411</v>
      </c>
      <c r="H373" s="12">
        <f>0.886-0.436</f>
        <v>0.45</v>
      </c>
      <c r="O373" s="12" t="s">
        <v>5847</v>
      </c>
      <c r="Q373" s="12" t="s">
        <v>8641</v>
      </c>
    </row>
    <row r="374" spans="1:17" s="12" customFormat="1" x14ac:dyDescent="0.2">
      <c r="A374" s="12" t="s">
        <v>708</v>
      </c>
      <c r="B374" s="12" t="s">
        <v>709</v>
      </c>
      <c r="C374">
        <v>1</v>
      </c>
      <c r="D374" s="12" t="s">
        <v>314</v>
      </c>
      <c r="E374" s="12" t="s">
        <v>412</v>
      </c>
      <c r="F374" s="13" t="s">
        <v>4982</v>
      </c>
      <c r="H374" s="12">
        <v>0.13</v>
      </c>
      <c r="O374" s="12" t="s">
        <v>422</v>
      </c>
      <c r="Q374" t="s">
        <v>8642</v>
      </c>
    </row>
    <row r="375" spans="1:17" x14ac:dyDescent="0.2">
      <c r="A375" t="s">
        <v>708</v>
      </c>
      <c r="B375" t="s">
        <v>709</v>
      </c>
      <c r="C375">
        <v>1</v>
      </c>
      <c r="D375" t="s">
        <v>314</v>
      </c>
      <c r="E375" t="s">
        <v>413</v>
      </c>
      <c r="F375" s="6" t="s">
        <v>430</v>
      </c>
      <c r="H375">
        <f>0.936-0.41</f>
        <v>0.52600000000000002</v>
      </c>
      <c r="O375" t="s">
        <v>431</v>
      </c>
    </row>
    <row r="376" spans="1:17" x14ac:dyDescent="0.2">
      <c r="A376" t="s">
        <v>708</v>
      </c>
      <c r="B376" t="s">
        <v>709</v>
      </c>
      <c r="C376">
        <v>1</v>
      </c>
      <c r="D376" t="s">
        <v>314</v>
      </c>
      <c r="E376" t="s">
        <v>414</v>
      </c>
      <c r="F376" s="6" t="s">
        <v>334</v>
      </c>
      <c r="H376">
        <f>1.237-0.344</f>
        <v>0.89300000000000013</v>
      </c>
      <c r="O376" t="s">
        <v>432</v>
      </c>
    </row>
    <row r="377" spans="1:17" x14ac:dyDescent="0.2">
      <c r="A377" t="s">
        <v>708</v>
      </c>
      <c r="B377" t="s">
        <v>709</v>
      </c>
      <c r="C377">
        <v>1</v>
      </c>
      <c r="D377" t="s">
        <v>314</v>
      </c>
      <c r="E377" t="s">
        <v>415</v>
      </c>
      <c r="F377" s="6" t="s">
        <v>405</v>
      </c>
      <c r="G377">
        <v>11</v>
      </c>
      <c r="L377" t="s">
        <v>315</v>
      </c>
      <c r="O377" t="s">
        <v>2464</v>
      </c>
    </row>
    <row r="378" spans="1:17" x14ac:dyDescent="0.2">
      <c r="A378" t="s">
        <v>708</v>
      </c>
      <c r="B378" t="s">
        <v>709</v>
      </c>
      <c r="C378">
        <v>3</v>
      </c>
      <c r="D378" t="s">
        <v>314</v>
      </c>
      <c r="E378" t="s">
        <v>433</v>
      </c>
      <c r="F378" s="6" t="s">
        <v>365</v>
      </c>
      <c r="G378">
        <v>34</v>
      </c>
      <c r="L378" t="s">
        <v>315</v>
      </c>
      <c r="O378" t="s">
        <v>443</v>
      </c>
      <c r="Q378" t="s">
        <v>8630</v>
      </c>
    </row>
    <row r="379" spans="1:17" x14ac:dyDescent="0.2">
      <c r="A379" t="s">
        <v>708</v>
      </c>
      <c r="B379" t="s">
        <v>709</v>
      </c>
      <c r="C379">
        <v>3</v>
      </c>
      <c r="D379" t="s">
        <v>314</v>
      </c>
      <c r="E379" t="s">
        <v>434</v>
      </c>
      <c r="F379" s="6" t="s">
        <v>5353</v>
      </c>
      <c r="G379">
        <v>6</v>
      </c>
      <c r="L379" t="s">
        <v>315</v>
      </c>
      <c r="O379" t="s">
        <v>443</v>
      </c>
      <c r="Q379" t="s">
        <v>8631</v>
      </c>
    </row>
    <row r="380" spans="1:17" x14ac:dyDescent="0.2">
      <c r="A380" t="s">
        <v>708</v>
      </c>
      <c r="B380" t="s">
        <v>709</v>
      </c>
      <c r="C380">
        <v>3</v>
      </c>
      <c r="D380" t="s">
        <v>314</v>
      </c>
      <c r="E380" t="s">
        <v>435</v>
      </c>
      <c r="F380" s="6" t="s">
        <v>8633</v>
      </c>
      <c r="G380">
        <v>51</v>
      </c>
      <c r="L380" t="s">
        <v>315</v>
      </c>
      <c r="O380" t="s">
        <v>443</v>
      </c>
      <c r="Q380" t="s">
        <v>8632</v>
      </c>
    </row>
    <row r="381" spans="1:17" x14ac:dyDescent="0.2">
      <c r="A381" t="s">
        <v>708</v>
      </c>
      <c r="B381" t="s">
        <v>709</v>
      </c>
      <c r="C381">
        <v>3</v>
      </c>
      <c r="D381" t="s">
        <v>314</v>
      </c>
      <c r="E381" t="s">
        <v>436</v>
      </c>
      <c r="F381" s="6" t="s">
        <v>5353</v>
      </c>
      <c r="G381">
        <v>2</v>
      </c>
      <c r="L381" t="s">
        <v>315</v>
      </c>
      <c r="O381" t="s">
        <v>444</v>
      </c>
      <c r="Q381" t="s">
        <v>8634</v>
      </c>
    </row>
    <row r="382" spans="1:17" x14ac:dyDescent="0.2">
      <c r="A382" t="s">
        <v>708</v>
      </c>
      <c r="B382" t="s">
        <v>709</v>
      </c>
      <c r="C382">
        <v>3</v>
      </c>
      <c r="D382" t="s">
        <v>314</v>
      </c>
      <c r="E382" t="s">
        <v>437</v>
      </c>
      <c r="F382" s="6" t="s">
        <v>6239</v>
      </c>
      <c r="M382">
        <v>8</v>
      </c>
      <c r="P382" t="s">
        <v>1525</v>
      </c>
      <c r="Q382" t="s">
        <v>8629</v>
      </c>
    </row>
    <row r="383" spans="1:17" x14ac:dyDescent="0.2">
      <c r="A383" t="s">
        <v>708</v>
      </c>
      <c r="B383" t="s">
        <v>709</v>
      </c>
      <c r="C383">
        <v>3</v>
      </c>
      <c r="D383" t="s">
        <v>314</v>
      </c>
      <c r="E383" t="s">
        <v>438</v>
      </c>
      <c r="F383" t="s">
        <v>405</v>
      </c>
      <c r="G383">
        <v>11</v>
      </c>
      <c r="O383" t="s">
        <v>441</v>
      </c>
    </row>
    <row r="384" spans="1:17" x14ac:dyDescent="0.2">
      <c r="A384" t="s">
        <v>708</v>
      </c>
      <c r="B384" t="s">
        <v>709</v>
      </c>
      <c r="C384">
        <v>3</v>
      </c>
      <c r="D384" t="s">
        <v>314</v>
      </c>
      <c r="E384" t="s">
        <v>439</v>
      </c>
      <c r="F384" t="s">
        <v>440</v>
      </c>
      <c r="H384">
        <f>0.554-0.424</f>
        <v>0.13000000000000006</v>
      </c>
      <c r="O384" t="s">
        <v>442</v>
      </c>
    </row>
    <row r="385" spans="1:17" x14ac:dyDescent="0.2">
      <c r="A385" t="s">
        <v>1274</v>
      </c>
      <c r="B385" t="s">
        <v>710</v>
      </c>
      <c r="C385">
        <v>2</v>
      </c>
      <c r="D385" t="s">
        <v>314</v>
      </c>
      <c r="E385" t="s">
        <v>712</v>
      </c>
      <c r="F385" t="s">
        <v>332</v>
      </c>
      <c r="H385">
        <f>0.969-0.401</f>
        <v>0.56799999999999995</v>
      </c>
      <c r="N385">
        <v>1</v>
      </c>
      <c r="O385" t="s">
        <v>713</v>
      </c>
    </row>
    <row r="386" spans="1:17" x14ac:dyDescent="0.2">
      <c r="A386" t="s">
        <v>1274</v>
      </c>
      <c r="B386" t="s">
        <v>710</v>
      </c>
      <c r="C386">
        <v>2</v>
      </c>
      <c r="D386" t="s">
        <v>314</v>
      </c>
      <c r="E386" t="s">
        <v>714</v>
      </c>
      <c r="F386" t="s">
        <v>332</v>
      </c>
      <c r="H386">
        <f>0.646-0.59</f>
        <v>5.600000000000005E-2</v>
      </c>
      <c r="N386">
        <v>1</v>
      </c>
      <c r="O386" t="s">
        <v>715</v>
      </c>
    </row>
    <row r="387" spans="1:17" x14ac:dyDescent="0.2">
      <c r="A387" t="s">
        <v>1274</v>
      </c>
      <c r="B387" t="s">
        <v>710</v>
      </c>
      <c r="C387">
        <v>2</v>
      </c>
      <c r="D387" t="s">
        <v>314</v>
      </c>
      <c r="E387" t="s">
        <v>716</v>
      </c>
      <c r="F387" t="s">
        <v>332</v>
      </c>
      <c r="H387">
        <v>0.08</v>
      </c>
      <c r="N387">
        <v>0</v>
      </c>
      <c r="O387" t="s">
        <v>2478</v>
      </c>
      <c r="Q387" t="s">
        <v>8643</v>
      </c>
    </row>
    <row r="388" spans="1:17" x14ac:dyDescent="0.2">
      <c r="A388" t="s">
        <v>1274</v>
      </c>
      <c r="B388" t="s">
        <v>710</v>
      </c>
      <c r="C388">
        <v>2</v>
      </c>
      <c r="D388" t="s">
        <v>314</v>
      </c>
      <c r="E388" t="s">
        <v>717</v>
      </c>
      <c r="F388" t="s">
        <v>332</v>
      </c>
      <c r="H388">
        <v>5.8000000000000003E-2</v>
      </c>
      <c r="N388">
        <v>0</v>
      </c>
      <c r="O388" t="s">
        <v>2478</v>
      </c>
      <c r="Q388" t="s">
        <v>8644</v>
      </c>
    </row>
    <row r="389" spans="1:17" x14ac:dyDescent="0.2">
      <c r="A389" t="s">
        <v>1274</v>
      </c>
      <c r="B389" t="s">
        <v>710</v>
      </c>
      <c r="C389">
        <v>2</v>
      </c>
      <c r="D389" t="s">
        <v>314</v>
      </c>
      <c r="E389" t="s">
        <v>718</v>
      </c>
      <c r="F389" t="s">
        <v>332</v>
      </c>
      <c r="H389">
        <v>2.8000000000000001E-2</v>
      </c>
      <c r="N389">
        <v>0</v>
      </c>
      <c r="O389" t="s">
        <v>2478</v>
      </c>
      <c r="Q389" t="s">
        <v>8645</v>
      </c>
    </row>
    <row r="390" spans="1:17" x14ac:dyDescent="0.2">
      <c r="A390" t="s">
        <v>1274</v>
      </c>
      <c r="B390" t="s">
        <v>710</v>
      </c>
      <c r="C390">
        <v>2</v>
      </c>
      <c r="D390" t="s">
        <v>314</v>
      </c>
      <c r="E390" t="s">
        <v>719</v>
      </c>
      <c r="F390" t="s">
        <v>332</v>
      </c>
      <c r="H390">
        <v>7.0000000000000001E-3</v>
      </c>
      <c r="N390">
        <v>0</v>
      </c>
      <c r="O390" t="s">
        <v>2478</v>
      </c>
      <c r="Q390" t="s">
        <v>8646</v>
      </c>
    </row>
    <row r="391" spans="1:17" x14ac:dyDescent="0.2">
      <c r="A391" t="s">
        <v>1274</v>
      </c>
      <c r="B391" t="s">
        <v>710</v>
      </c>
      <c r="C391">
        <v>2</v>
      </c>
      <c r="D391" t="s">
        <v>314</v>
      </c>
      <c r="E391" t="s">
        <v>720</v>
      </c>
      <c r="F391" t="s">
        <v>332</v>
      </c>
      <c r="H391">
        <v>3.0000000000000001E-3</v>
      </c>
      <c r="N391">
        <v>0</v>
      </c>
      <c r="O391" t="s">
        <v>2478</v>
      </c>
      <c r="Q391" t="s">
        <v>8647</v>
      </c>
    </row>
    <row r="392" spans="1:17" x14ac:dyDescent="0.2">
      <c r="A392" t="s">
        <v>1274</v>
      </c>
      <c r="B392" t="s">
        <v>710</v>
      </c>
      <c r="C392">
        <v>2</v>
      </c>
      <c r="D392" t="s">
        <v>314</v>
      </c>
      <c r="E392" t="s">
        <v>721</v>
      </c>
      <c r="F392" t="s">
        <v>334</v>
      </c>
      <c r="H392">
        <v>0.42599999999999999</v>
      </c>
      <c r="O392" t="s">
        <v>767</v>
      </c>
    </row>
    <row r="393" spans="1:17" x14ac:dyDescent="0.2">
      <c r="A393" t="s">
        <v>1274</v>
      </c>
      <c r="B393" t="s">
        <v>710</v>
      </c>
      <c r="C393">
        <v>2</v>
      </c>
      <c r="D393" t="s">
        <v>314</v>
      </c>
      <c r="E393" t="s">
        <v>722</v>
      </c>
      <c r="F393" t="s">
        <v>724</v>
      </c>
      <c r="H393">
        <v>0.37</v>
      </c>
    </row>
    <row r="394" spans="1:17" x14ac:dyDescent="0.2">
      <c r="A394" t="s">
        <v>1274</v>
      </c>
      <c r="B394" t="s">
        <v>710</v>
      </c>
      <c r="C394">
        <v>2</v>
      </c>
      <c r="D394" t="s">
        <v>314</v>
      </c>
      <c r="E394" t="s">
        <v>725</v>
      </c>
      <c r="F394" t="s">
        <v>397</v>
      </c>
      <c r="L394" t="s">
        <v>300</v>
      </c>
      <c r="O394" t="s">
        <v>726</v>
      </c>
    </row>
    <row r="395" spans="1:17" x14ac:dyDescent="0.2">
      <c r="A395" t="s">
        <v>1274</v>
      </c>
      <c r="B395" s="6" t="s">
        <v>710</v>
      </c>
      <c r="C395" s="6">
        <v>2</v>
      </c>
      <c r="D395" s="6" t="s">
        <v>314</v>
      </c>
      <c r="E395" s="6" t="s">
        <v>727</v>
      </c>
      <c r="F395" s="6" t="s">
        <v>332</v>
      </c>
      <c r="O395" t="s">
        <v>728</v>
      </c>
    </row>
    <row r="396" spans="1:17" x14ac:dyDescent="0.2">
      <c r="A396" t="s">
        <v>1274</v>
      </c>
      <c r="B396" s="6" t="s">
        <v>710</v>
      </c>
      <c r="C396" s="6">
        <v>2</v>
      </c>
      <c r="D396" s="6" t="s">
        <v>314</v>
      </c>
      <c r="E396" s="6" t="s">
        <v>729</v>
      </c>
      <c r="F396" s="6" t="s">
        <v>343</v>
      </c>
      <c r="G396">
        <v>6</v>
      </c>
      <c r="O396" t="s">
        <v>741</v>
      </c>
      <c r="P396" t="s">
        <v>2479</v>
      </c>
      <c r="Q396" t="s">
        <v>8648</v>
      </c>
    </row>
    <row r="397" spans="1:17" x14ac:dyDescent="0.2">
      <c r="A397" t="s">
        <v>1274</v>
      </c>
      <c r="B397" s="6" t="s">
        <v>710</v>
      </c>
      <c r="C397" s="6">
        <v>2</v>
      </c>
      <c r="D397" s="6" t="s">
        <v>314</v>
      </c>
      <c r="E397" s="6" t="s">
        <v>730</v>
      </c>
      <c r="F397" s="6" t="s">
        <v>3930</v>
      </c>
      <c r="G397">
        <v>2</v>
      </c>
      <c r="O397" t="s">
        <v>741</v>
      </c>
      <c r="P397" t="s">
        <v>2479</v>
      </c>
      <c r="Q397" t="s">
        <v>8649</v>
      </c>
    </row>
    <row r="398" spans="1:17" x14ac:dyDescent="0.2">
      <c r="A398" t="s">
        <v>1274</v>
      </c>
      <c r="B398" s="6" t="s">
        <v>710</v>
      </c>
      <c r="C398" s="6">
        <v>2</v>
      </c>
      <c r="D398" s="6" t="s">
        <v>314</v>
      </c>
      <c r="E398" s="6" t="s">
        <v>731</v>
      </c>
      <c r="F398" s="6" t="s">
        <v>343</v>
      </c>
      <c r="G398">
        <v>5</v>
      </c>
      <c r="O398" t="s">
        <v>741</v>
      </c>
      <c r="P398" t="s">
        <v>2479</v>
      </c>
      <c r="Q398" t="s">
        <v>8650</v>
      </c>
    </row>
    <row r="399" spans="1:17" x14ac:dyDescent="0.2">
      <c r="A399" t="s">
        <v>1274</v>
      </c>
      <c r="B399" s="6" t="s">
        <v>710</v>
      </c>
      <c r="C399" s="6">
        <v>2</v>
      </c>
      <c r="D399" s="6" t="s">
        <v>314</v>
      </c>
      <c r="E399" s="6" t="s">
        <v>732</v>
      </c>
      <c r="F399" s="6" t="s">
        <v>343</v>
      </c>
      <c r="G399">
        <v>5</v>
      </c>
      <c r="O399" t="s">
        <v>741</v>
      </c>
      <c r="P399" t="s">
        <v>2479</v>
      </c>
      <c r="Q399" t="s">
        <v>8651</v>
      </c>
    </row>
    <row r="400" spans="1:17" x14ac:dyDescent="0.2">
      <c r="A400" t="s">
        <v>1274</v>
      </c>
      <c r="B400" s="6" t="s">
        <v>710</v>
      </c>
      <c r="C400" s="6">
        <v>2</v>
      </c>
      <c r="D400" s="6" t="s">
        <v>314</v>
      </c>
      <c r="E400" s="6" t="s">
        <v>733</v>
      </c>
      <c r="F400" s="6" t="s">
        <v>343</v>
      </c>
      <c r="G400">
        <v>3</v>
      </c>
      <c r="O400" t="s">
        <v>741</v>
      </c>
      <c r="P400" t="s">
        <v>2479</v>
      </c>
      <c r="Q400" t="s">
        <v>8652</v>
      </c>
    </row>
    <row r="401" spans="1:17" x14ac:dyDescent="0.2">
      <c r="A401" t="s">
        <v>1274</v>
      </c>
      <c r="B401" s="6" t="s">
        <v>710</v>
      </c>
      <c r="C401" s="6">
        <v>2</v>
      </c>
      <c r="D401" s="6" t="s">
        <v>314</v>
      </c>
      <c r="E401" s="6" t="s">
        <v>734</v>
      </c>
      <c r="F401" s="6" t="s">
        <v>364</v>
      </c>
      <c r="G401">
        <v>5</v>
      </c>
      <c r="O401" t="s">
        <v>741</v>
      </c>
      <c r="P401" t="s">
        <v>2479</v>
      </c>
      <c r="Q401" t="s">
        <v>8653</v>
      </c>
    </row>
    <row r="402" spans="1:17" x14ac:dyDescent="0.2">
      <c r="A402" t="s">
        <v>1274</v>
      </c>
      <c r="B402" s="6" t="s">
        <v>710</v>
      </c>
      <c r="C402" s="6">
        <v>2</v>
      </c>
      <c r="D402" s="6" t="s">
        <v>314</v>
      </c>
      <c r="E402" s="6" t="s">
        <v>735</v>
      </c>
      <c r="F402" s="6" t="s">
        <v>364</v>
      </c>
      <c r="G402">
        <v>2</v>
      </c>
      <c r="O402" t="s">
        <v>741</v>
      </c>
      <c r="P402" t="s">
        <v>2479</v>
      </c>
      <c r="Q402" t="s">
        <v>8654</v>
      </c>
    </row>
    <row r="403" spans="1:17" x14ac:dyDescent="0.2">
      <c r="A403" t="s">
        <v>1274</v>
      </c>
      <c r="B403" s="6" t="s">
        <v>710</v>
      </c>
      <c r="C403" s="6">
        <v>2</v>
      </c>
      <c r="D403" s="6" t="s">
        <v>314</v>
      </c>
      <c r="E403" s="6" t="s">
        <v>736</v>
      </c>
      <c r="F403" s="6" t="s">
        <v>364</v>
      </c>
      <c r="G403">
        <v>4</v>
      </c>
      <c r="O403" t="s">
        <v>741</v>
      </c>
      <c r="P403" t="s">
        <v>2479</v>
      </c>
      <c r="Q403" t="s">
        <v>8655</v>
      </c>
    </row>
    <row r="404" spans="1:17" x14ac:dyDescent="0.2">
      <c r="A404" t="s">
        <v>1274</v>
      </c>
      <c r="B404" s="6" t="s">
        <v>710</v>
      </c>
      <c r="C404" s="6">
        <v>2</v>
      </c>
      <c r="D404" s="6" t="s">
        <v>314</v>
      </c>
      <c r="E404" s="6" t="s">
        <v>737</v>
      </c>
      <c r="F404" s="6" t="s">
        <v>364</v>
      </c>
      <c r="G404">
        <v>3</v>
      </c>
      <c r="O404" t="s">
        <v>741</v>
      </c>
      <c r="P404" t="s">
        <v>2479</v>
      </c>
      <c r="Q404" t="s">
        <v>8656</v>
      </c>
    </row>
    <row r="405" spans="1:17" x14ac:dyDescent="0.2">
      <c r="A405" t="s">
        <v>1274</v>
      </c>
      <c r="B405" s="6" t="s">
        <v>710</v>
      </c>
      <c r="C405" s="6">
        <v>2</v>
      </c>
      <c r="D405" s="6" t="s">
        <v>314</v>
      </c>
      <c r="E405" s="6" t="s">
        <v>738</v>
      </c>
      <c r="F405" s="6" t="s">
        <v>5638</v>
      </c>
      <c r="G405">
        <v>30</v>
      </c>
      <c r="O405" t="s">
        <v>741</v>
      </c>
      <c r="P405" t="s">
        <v>2479</v>
      </c>
      <c r="Q405" t="s">
        <v>8657</v>
      </c>
    </row>
    <row r="406" spans="1:17" x14ac:dyDescent="0.2">
      <c r="A406" t="s">
        <v>1274</v>
      </c>
      <c r="B406" s="6" t="s">
        <v>710</v>
      </c>
      <c r="C406" s="6">
        <v>2</v>
      </c>
      <c r="D406" s="6" t="s">
        <v>314</v>
      </c>
      <c r="E406" s="6" t="s">
        <v>739</v>
      </c>
      <c r="F406" s="6" t="s">
        <v>5995</v>
      </c>
      <c r="G406">
        <v>2</v>
      </c>
      <c r="O406" t="s">
        <v>741</v>
      </c>
      <c r="P406" t="s">
        <v>5999</v>
      </c>
      <c r="Q406" t="s">
        <v>6096</v>
      </c>
    </row>
    <row r="407" spans="1:17" x14ac:dyDescent="0.2">
      <c r="A407" t="s">
        <v>1274</v>
      </c>
      <c r="B407" s="6" t="s">
        <v>710</v>
      </c>
      <c r="C407" s="6">
        <v>2</v>
      </c>
      <c r="D407" s="6" t="s">
        <v>314</v>
      </c>
      <c r="E407" s="6" t="s">
        <v>742</v>
      </c>
      <c r="F407" s="6" t="s">
        <v>547</v>
      </c>
      <c r="O407" t="s">
        <v>743</v>
      </c>
    </row>
    <row r="408" spans="1:17" x14ac:dyDescent="0.2">
      <c r="A408" t="s">
        <v>1274</v>
      </c>
      <c r="B408" s="6" t="s">
        <v>710</v>
      </c>
      <c r="C408" s="6">
        <v>2</v>
      </c>
      <c r="D408" s="6" t="s">
        <v>314</v>
      </c>
      <c r="E408" s="6" t="s">
        <v>744</v>
      </c>
      <c r="F408" s="6" t="s">
        <v>6936</v>
      </c>
      <c r="H408">
        <v>1.2E-2</v>
      </c>
      <c r="Q408" t="s">
        <v>8659</v>
      </c>
    </row>
    <row r="409" spans="1:17" x14ac:dyDescent="0.2">
      <c r="A409" t="s">
        <v>1274</v>
      </c>
      <c r="B409" s="6" t="s">
        <v>710</v>
      </c>
      <c r="C409" s="6">
        <v>2</v>
      </c>
      <c r="D409" s="6" t="s">
        <v>314</v>
      </c>
      <c r="E409" s="6" t="s">
        <v>745</v>
      </c>
      <c r="F409" s="6" t="s">
        <v>7138</v>
      </c>
      <c r="H409">
        <v>4.1000000000000002E-2</v>
      </c>
      <c r="Q409" t="s">
        <v>8658</v>
      </c>
    </row>
    <row r="410" spans="1:17" x14ac:dyDescent="0.2">
      <c r="A410" t="s">
        <v>1274</v>
      </c>
      <c r="B410" s="6" t="s">
        <v>710</v>
      </c>
      <c r="C410" s="6">
        <v>2</v>
      </c>
      <c r="D410" s="6" t="s">
        <v>314</v>
      </c>
      <c r="E410" s="6" t="s">
        <v>746</v>
      </c>
      <c r="F410" s="6" t="s">
        <v>334</v>
      </c>
      <c r="H410" s="6">
        <f>1.155-0.4</f>
        <v>0.755</v>
      </c>
      <c r="M410" t="s">
        <v>802</v>
      </c>
      <c r="O410" t="s">
        <v>747</v>
      </c>
    </row>
    <row r="411" spans="1:17" x14ac:dyDescent="0.2">
      <c r="A411" t="s">
        <v>1274</v>
      </c>
      <c r="B411" s="6" t="s">
        <v>710</v>
      </c>
      <c r="C411" s="6">
        <v>3</v>
      </c>
      <c r="D411" s="6" t="s">
        <v>314</v>
      </c>
      <c r="E411" s="6" t="s">
        <v>748</v>
      </c>
      <c r="F411" s="6" t="s">
        <v>8633</v>
      </c>
      <c r="H411">
        <v>0.71799999999999997</v>
      </c>
      <c r="M411" t="s">
        <v>802</v>
      </c>
      <c r="O411" t="s">
        <v>751</v>
      </c>
    </row>
    <row r="412" spans="1:17" x14ac:dyDescent="0.2">
      <c r="A412" t="s">
        <v>1274</v>
      </c>
      <c r="B412" s="6" t="s">
        <v>710</v>
      </c>
      <c r="C412" s="6">
        <v>3</v>
      </c>
      <c r="D412" s="6" t="s">
        <v>314</v>
      </c>
      <c r="E412" s="6" t="s">
        <v>752</v>
      </c>
      <c r="F412" s="6" t="s">
        <v>8633</v>
      </c>
    </row>
    <row r="413" spans="1:17" x14ac:dyDescent="0.2">
      <c r="A413" t="s">
        <v>1274</v>
      </c>
      <c r="B413" s="6" t="s">
        <v>710</v>
      </c>
      <c r="C413" s="6">
        <v>3</v>
      </c>
      <c r="D413" s="6" t="s">
        <v>314</v>
      </c>
      <c r="E413" s="6" t="s">
        <v>753</v>
      </c>
      <c r="F413" s="6" t="s">
        <v>8633</v>
      </c>
      <c r="H413">
        <v>5.6000000000000001E-2</v>
      </c>
      <c r="N413">
        <v>0</v>
      </c>
      <c r="Q413" t="s">
        <v>8660</v>
      </c>
    </row>
    <row r="414" spans="1:17" x14ac:dyDescent="0.2">
      <c r="A414" t="s">
        <v>1274</v>
      </c>
      <c r="B414" s="6" t="s">
        <v>710</v>
      </c>
      <c r="C414" s="6">
        <v>3</v>
      </c>
      <c r="D414" s="6" t="s">
        <v>314</v>
      </c>
      <c r="E414" s="6" t="s">
        <v>754</v>
      </c>
      <c r="F414" s="6" t="s">
        <v>8633</v>
      </c>
      <c r="H414">
        <v>3.4000000000000002E-2</v>
      </c>
      <c r="N414">
        <v>0</v>
      </c>
      <c r="Q414" t="s">
        <v>8661</v>
      </c>
    </row>
    <row r="415" spans="1:17" x14ac:dyDescent="0.2">
      <c r="A415" t="s">
        <v>1274</v>
      </c>
      <c r="B415" s="6" t="s">
        <v>710</v>
      </c>
      <c r="C415" s="6">
        <v>3</v>
      </c>
      <c r="D415" s="6" t="s">
        <v>314</v>
      </c>
      <c r="E415" s="6" t="s">
        <v>755</v>
      </c>
      <c r="F415" s="6" t="s">
        <v>8633</v>
      </c>
      <c r="H415">
        <v>7.2999999999999995E-2</v>
      </c>
      <c r="N415">
        <v>0</v>
      </c>
      <c r="Q415" t="s">
        <v>8662</v>
      </c>
    </row>
    <row r="416" spans="1:17" x14ac:dyDescent="0.2">
      <c r="A416" t="s">
        <v>1274</v>
      </c>
      <c r="B416" s="6" t="s">
        <v>710</v>
      </c>
      <c r="C416" s="6">
        <v>3</v>
      </c>
      <c r="D416" s="6" t="s">
        <v>314</v>
      </c>
      <c r="E416" s="6" t="s">
        <v>756</v>
      </c>
      <c r="F416" s="6" t="s">
        <v>8633</v>
      </c>
      <c r="H416">
        <v>0.09</v>
      </c>
      <c r="N416">
        <v>0</v>
      </c>
      <c r="Q416" t="s">
        <v>8663</v>
      </c>
    </row>
    <row r="417" spans="1:17" x14ac:dyDescent="0.2">
      <c r="A417" t="s">
        <v>1274</v>
      </c>
      <c r="B417" s="6" t="s">
        <v>710</v>
      </c>
      <c r="C417" s="6">
        <v>3</v>
      </c>
      <c r="D417" s="6" t="s">
        <v>314</v>
      </c>
      <c r="E417" s="6" t="s">
        <v>757</v>
      </c>
      <c r="F417" s="6" t="s">
        <v>8633</v>
      </c>
      <c r="H417">
        <v>1.9E-2</v>
      </c>
      <c r="N417">
        <v>0</v>
      </c>
      <c r="Q417" t="s">
        <v>8664</v>
      </c>
    </row>
    <row r="418" spans="1:17" x14ac:dyDescent="0.2">
      <c r="A418" t="s">
        <v>1274</v>
      </c>
      <c r="B418" s="6" t="s">
        <v>710</v>
      </c>
      <c r="C418" s="6">
        <v>3</v>
      </c>
      <c r="D418" s="6" t="s">
        <v>314</v>
      </c>
      <c r="E418" s="6" t="s">
        <v>758</v>
      </c>
      <c r="F418" s="6" t="s">
        <v>8633</v>
      </c>
      <c r="H418">
        <v>0.16600000000000001</v>
      </c>
      <c r="M418">
        <v>5</v>
      </c>
      <c r="N418">
        <v>0</v>
      </c>
      <c r="O418" t="s">
        <v>768</v>
      </c>
    </row>
    <row r="419" spans="1:17" x14ac:dyDescent="0.2">
      <c r="A419" t="s">
        <v>1274</v>
      </c>
      <c r="B419" s="6" t="s">
        <v>710</v>
      </c>
      <c r="C419" s="6">
        <v>3</v>
      </c>
      <c r="D419" s="6" t="s">
        <v>314</v>
      </c>
      <c r="E419" s="6" t="s">
        <v>759</v>
      </c>
      <c r="F419" s="6" t="s">
        <v>760</v>
      </c>
      <c r="H419" s="6">
        <f>0.567-0.417</f>
        <v>0.14999999999999997</v>
      </c>
      <c r="O419" t="s">
        <v>769</v>
      </c>
    </row>
    <row r="420" spans="1:17" x14ac:dyDescent="0.2">
      <c r="A420" t="s">
        <v>1274</v>
      </c>
      <c r="B420" s="6" t="s">
        <v>710</v>
      </c>
      <c r="C420" s="6">
        <v>3</v>
      </c>
      <c r="D420" s="6" t="s">
        <v>314</v>
      </c>
      <c r="E420" s="6" t="s">
        <v>761</v>
      </c>
      <c r="F420" s="6" t="s">
        <v>1311</v>
      </c>
      <c r="H420">
        <v>2E-3</v>
      </c>
      <c r="N420">
        <v>0</v>
      </c>
      <c r="O420" t="s">
        <v>2478</v>
      </c>
      <c r="Q420" t="s">
        <v>8665</v>
      </c>
    </row>
    <row r="421" spans="1:17" x14ac:dyDescent="0.2">
      <c r="A421" t="s">
        <v>1274</v>
      </c>
      <c r="B421" s="6" t="s">
        <v>710</v>
      </c>
      <c r="C421" s="6">
        <v>3</v>
      </c>
      <c r="D421" s="6" t="s">
        <v>314</v>
      </c>
      <c r="E421" s="6" t="s">
        <v>762</v>
      </c>
      <c r="F421" s="6" t="s">
        <v>1311</v>
      </c>
      <c r="H421">
        <v>3.0000000000000001E-3</v>
      </c>
      <c r="N421">
        <v>0</v>
      </c>
      <c r="O421" t="s">
        <v>2478</v>
      </c>
      <c r="Q421" t="s">
        <v>8666</v>
      </c>
    </row>
    <row r="422" spans="1:17" x14ac:dyDescent="0.2">
      <c r="A422" t="s">
        <v>1274</v>
      </c>
      <c r="B422" s="6" t="s">
        <v>710</v>
      </c>
      <c r="C422" s="6">
        <v>3</v>
      </c>
      <c r="D422" s="6" t="s">
        <v>314</v>
      </c>
      <c r="E422" s="6" t="s">
        <v>763</v>
      </c>
      <c r="F422" s="6" t="s">
        <v>1311</v>
      </c>
      <c r="H422">
        <v>2E-3</v>
      </c>
      <c r="N422">
        <v>0</v>
      </c>
      <c r="O422" t="s">
        <v>2478</v>
      </c>
      <c r="Q422" t="s">
        <v>8667</v>
      </c>
    </row>
    <row r="423" spans="1:17" x14ac:dyDescent="0.2">
      <c r="A423" t="s">
        <v>1274</v>
      </c>
      <c r="B423" s="6" t="s">
        <v>710</v>
      </c>
      <c r="C423" s="6">
        <v>3</v>
      </c>
      <c r="D423" s="6" t="s">
        <v>314</v>
      </c>
      <c r="E423" s="6" t="s">
        <v>764</v>
      </c>
      <c r="F423" s="6" t="s">
        <v>1311</v>
      </c>
      <c r="H423">
        <v>1E-3</v>
      </c>
      <c r="N423">
        <v>0</v>
      </c>
      <c r="O423" t="s">
        <v>2478</v>
      </c>
      <c r="Q423" t="s">
        <v>8668</v>
      </c>
    </row>
    <row r="424" spans="1:17" x14ac:dyDescent="0.2">
      <c r="A424" t="s">
        <v>1274</v>
      </c>
      <c r="B424" s="6" t="s">
        <v>710</v>
      </c>
      <c r="C424" s="6">
        <v>3</v>
      </c>
      <c r="D424" s="6" t="s">
        <v>314</v>
      </c>
      <c r="E424" s="6" t="s">
        <v>765</v>
      </c>
      <c r="F424" s="6" t="s">
        <v>1311</v>
      </c>
      <c r="H424">
        <v>2E-3</v>
      </c>
      <c r="N424">
        <v>0</v>
      </c>
      <c r="O424" t="s">
        <v>2478</v>
      </c>
      <c r="Q424" t="s">
        <v>8669</v>
      </c>
    </row>
    <row r="425" spans="1:17" x14ac:dyDescent="0.2">
      <c r="A425" t="s">
        <v>1274</v>
      </c>
      <c r="B425" s="6" t="s">
        <v>710</v>
      </c>
      <c r="C425" s="6">
        <v>3</v>
      </c>
      <c r="D425" s="6" t="s">
        <v>314</v>
      </c>
      <c r="E425" s="6" t="s">
        <v>771</v>
      </c>
      <c r="F425" s="6" t="s">
        <v>799</v>
      </c>
      <c r="H425">
        <v>1.7</v>
      </c>
    </row>
    <row r="426" spans="1:17" x14ac:dyDescent="0.2">
      <c r="A426" t="s">
        <v>1274</v>
      </c>
      <c r="B426" s="6" t="s">
        <v>710</v>
      </c>
      <c r="C426" s="6">
        <v>3</v>
      </c>
      <c r="D426" s="6" t="s">
        <v>314</v>
      </c>
      <c r="E426" s="6" t="s">
        <v>770</v>
      </c>
      <c r="F426" s="6" t="s">
        <v>800</v>
      </c>
      <c r="H426">
        <f>0.487-0.357</f>
        <v>0.13</v>
      </c>
    </row>
    <row r="427" spans="1:17" x14ac:dyDescent="0.2">
      <c r="A427" t="s">
        <v>1274</v>
      </c>
      <c r="B427" s="6" t="s">
        <v>710</v>
      </c>
      <c r="C427" s="6">
        <v>3</v>
      </c>
      <c r="D427" s="6" t="s">
        <v>314</v>
      </c>
      <c r="E427" s="6" t="s">
        <v>772</v>
      </c>
      <c r="F427" s="6" t="s">
        <v>766</v>
      </c>
      <c r="G427">
        <v>21</v>
      </c>
      <c r="M427">
        <v>2</v>
      </c>
      <c r="N427">
        <v>0</v>
      </c>
      <c r="O427" t="s">
        <v>279</v>
      </c>
    </row>
    <row r="428" spans="1:17" x14ac:dyDescent="0.2">
      <c r="A428" t="s">
        <v>1274</v>
      </c>
      <c r="B428" s="6" t="s">
        <v>710</v>
      </c>
      <c r="C428" s="6">
        <v>3</v>
      </c>
      <c r="D428" s="6" t="s">
        <v>314</v>
      </c>
      <c r="E428" s="6" t="s">
        <v>773</v>
      </c>
      <c r="F428" s="6" t="s">
        <v>5353</v>
      </c>
      <c r="G428">
        <v>3</v>
      </c>
      <c r="N428">
        <v>0</v>
      </c>
      <c r="O428" t="s">
        <v>8670</v>
      </c>
    </row>
    <row r="429" spans="1:17" x14ac:dyDescent="0.2">
      <c r="A429" t="s">
        <v>1274</v>
      </c>
      <c r="B429" s="6" t="s">
        <v>710</v>
      </c>
      <c r="C429" s="6">
        <v>3</v>
      </c>
      <c r="D429" s="6" t="s">
        <v>314</v>
      </c>
      <c r="E429" s="6" t="s">
        <v>774</v>
      </c>
      <c r="F429" s="6" t="s">
        <v>5353</v>
      </c>
      <c r="G429">
        <v>4</v>
      </c>
      <c r="N429">
        <v>0</v>
      </c>
      <c r="O429" t="s">
        <v>8671</v>
      </c>
    </row>
    <row r="430" spans="1:17" x14ac:dyDescent="0.2">
      <c r="A430" t="s">
        <v>1274</v>
      </c>
      <c r="B430" s="6" t="s">
        <v>710</v>
      </c>
      <c r="C430" s="6">
        <v>3</v>
      </c>
      <c r="D430" s="6" t="s">
        <v>314</v>
      </c>
      <c r="E430" s="6" t="s">
        <v>775</v>
      </c>
      <c r="F430" s="6" t="s">
        <v>5353</v>
      </c>
      <c r="G430">
        <v>6</v>
      </c>
      <c r="N430">
        <v>0</v>
      </c>
      <c r="O430" t="s">
        <v>8672</v>
      </c>
    </row>
    <row r="431" spans="1:17" x14ac:dyDescent="0.2">
      <c r="A431" t="s">
        <v>1274</v>
      </c>
      <c r="B431" s="6" t="s">
        <v>710</v>
      </c>
      <c r="C431" s="6">
        <v>3</v>
      </c>
      <c r="D431" s="6" t="s">
        <v>314</v>
      </c>
      <c r="E431" s="6" t="s">
        <v>776</v>
      </c>
      <c r="F431" s="6" t="s">
        <v>5353</v>
      </c>
      <c r="G431">
        <v>2</v>
      </c>
      <c r="N431">
        <v>0</v>
      </c>
      <c r="O431" t="s">
        <v>8673</v>
      </c>
    </row>
    <row r="432" spans="1:17" x14ac:dyDescent="0.2">
      <c r="A432" t="s">
        <v>1274</v>
      </c>
      <c r="B432" s="6" t="s">
        <v>710</v>
      </c>
      <c r="C432" s="6">
        <v>3</v>
      </c>
      <c r="D432" s="6" t="s">
        <v>314</v>
      </c>
      <c r="E432" s="6" t="s">
        <v>777</v>
      </c>
      <c r="F432" s="6" t="s">
        <v>5353</v>
      </c>
      <c r="G432">
        <v>7</v>
      </c>
      <c r="N432">
        <v>0</v>
      </c>
      <c r="O432" t="s">
        <v>8674</v>
      </c>
    </row>
    <row r="433" spans="1:17" x14ac:dyDescent="0.2">
      <c r="A433" t="s">
        <v>1274</v>
      </c>
      <c r="B433" s="6" t="s">
        <v>710</v>
      </c>
      <c r="C433" s="6">
        <v>3</v>
      </c>
      <c r="D433" s="6" t="s">
        <v>314</v>
      </c>
      <c r="E433" s="6" t="s">
        <v>778</v>
      </c>
      <c r="F433" s="6" t="s">
        <v>343</v>
      </c>
      <c r="H433">
        <v>4.8000000000000001E-2</v>
      </c>
      <c r="N433">
        <v>0</v>
      </c>
      <c r="O433" t="s">
        <v>8675</v>
      </c>
    </row>
    <row r="434" spans="1:17" x14ac:dyDescent="0.2">
      <c r="A434" t="s">
        <v>1274</v>
      </c>
      <c r="B434" s="6" t="s">
        <v>710</v>
      </c>
      <c r="C434" s="6">
        <v>3</v>
      </c>
      <c r="D434" s="6" t="s">
        <v>314</v>
      </c>
      <c r="E434" s="6" t="s">
        <v>779</v>
      </c>
      <c r="F434" s="6" t="s">
        <v>365</v>
      </c>
      <c r="H434">
        <v>1.2999999999999999E-2</v>
      </c>
      <c r="N434">
        <v>0</v>
      </c>
      <c r="O434" t="s">
        <v>8676</v>
      </c>
    </row>
    <row r="435" spans="1:17" x14ac:dyDescent="0.2">
      <c r="A435" t="s">
        <v>1274</v>
      </c>
      <c r="B435" s="6" t="s">
        <v>710</v>
      </c>
      <c r="C435" s="6">
        <v>3</v>
      </c>
      <c r="D435" s="6" t="s">
        <v>314</v>
      </c>
      <c r="E435" s="6" t="s">
        <v>780</v>
      </c>
      <c r="F435" s="6" t="s">
        <v>343</v>
      </c>
      <c r="H435">
        <v>7.0000000000000001E-3</v>
      </c>
      <c r="N435">
        <v>0</v>
      </c>
      <c r="O435" t="s">
        <v>8677</v>
      </c>
    </row>
    <row r="436" spans="1:17" x14ac:dyDescent="0.2">
      <c r="A436" t="s">
        <v>1274</v>
      </c>
      <c r="B436" s="6" t="s">
        <v>710</v>
      </c>
      <c r="C436" s="6">
        <v>3</v>
      </c>
      <c r="D436" s="6" t="s">
        <v>314</v>
      </c>
      <c r="E436" s="6" t="s">
        <v>781</v>
      </c>
      <c r="F436" s="6" t="s">
        <v>343</v>
      </c>
      <c r="H436">
        <v>2E-3</v>
      </c>
      <c r="N436">
        <v>0</v>
      </c>
      <c r="O436" t="s">
        <v>8678</v>
      </c>
    </row>
    <row r="437" spans="1:17" x14ac:dyDescent="0.2">
      <c r="A437" t="s">
        <v>1274</v>
      </c>
      <c r="B437" s="6" t="s">
        <v>710</v>
      </c>
      <c r="C437" s="6">
        <v>3</v>
      </c>
      <c r="D437" s="6" t="s">
        <v>314</v>
      </c>
      <c r="E437" s="6" t="s">
        <v>782</v>
      </c>
      <c r="F437" s="6" t="s">
        <v>192</v>
      </c>
      <c r="H437">
        <v>2.1999999999999999E-2</v>
      </c>
      <c r="M437">
        <v>5</v>
      </c>
      <c r="N437">
        <v>0</v>
      </c>
      <c r="O437" t="s">
        <v>805</v>
      </c>
    </row>
    <row r="438" spans="1:17" x14ac:dyDescent="0.2">
      <c r="A438" t="s">
        <v>1274</v>
      </c>
      <c r="B438" s="6" t="s">
        <v>710</v>
      </c>
      <c r="C438" s="6">
        <v>3</v>
      </c>
      <c r="D438" s="6" t="s">
        <v>314</v>
      </c>
      <c r="E438" s="6" t="s">
        <v>783</v>
      </c>
      <c r="F438" s="6" t="s">
        <v>365</v>
      </c>
      <c r="H438">
        <v>1.2E-2</v>
      </c>
      <c r="N438">
        <v>0</v>
      </c>
      <c r="Q438" t="s">
        <v>8679</v>
      </c>
    </row>
    <row r="439" spans="1:17" x14ac:dyDescent="0.2">
      <c r="A439" t="s">
        <v>1274</v>
      </c>
      <c r="B439" s="6" t="s">
        <v>710</v>
      </c>
      <c r="C439" s="6">
        <v>3</v>
      </c>
      <c r="D439" s="6" t="s">
        <v>314</v>
      </c>
      <c r="E439" s="6" t="s">
        <v>784</v>
      </c>
      <c r="F439" s="6" t="s">
        <v>365</v>
      </c>
      <c r="H439">
        <v>1.7000000000000001E-2</v>
      </c>
      <c r="N439">
        <v>0</v>
      </c>
      <c r="Q439" t="s">
        <v>8680</v>
      </c>
    </row>
    <row r="440" spans="1:17" x14ac:dyDescent="0.2">
      <c r="A440" t="s">
        <v>1274</v>
      </c>
      <c r="B440" s="6" t="s">
        <v>710</v>
      </c>
      <c r="C440" s="6">
        <v>3</v>
      </c>
      <c r="D440" s="6" t="s">
        <v>314</v>
      </c>
      <c r="E440" s="6" t="s">
        <v>785</v>
      </c>
      <c r="F440" s="6" t="s">
        <v>365</v>
      </c>
      <c r="H440">
        <v>1.0999999999999999E-2</v>
      </c>
      <c r="N440">
        <v>0</v>
      </c>
      <c r="Q440" t="s">
        <v>8681</v>
      </c>
    </row>
    <row r="441" spans="1:17" x14ac:dyDescent="0.2">
      <c r="A441" t="s">
        <v>1274</v>
      </c>
      <c r="B441" s="6" t="s">
        <v>710</v>
      </c>
      <c r="C441" s="6">
        <v>3</v>
      </c>
      <c r="D441" s="6" t="s">
        <v>314</v>
      </c>
      <c r="E441" s="6" t="s">
        <v>786</v>
      </c>
      <c r="F441" s="6" t="s">
        <v>365</v>
      </c>
      <c r="H441">
        <v>2.5999999999999999E-2</v>
      </c>
      <c r="N441">
        <v>0</v>
      </c>
      <c r="Q441" t="s">
        <v>8682</v>
      </c>
    </row>
    <row r="442" spans="1:17" x14ac:dyDescent="0.2">
      <c r="A442" t="s">
        <v>1274</v>
      </c>
      <c r="B442" s="6" t="s">
        <v>710</v>
      </c>
      <c r="C442" s="6">
        <v>3</v>
      </c>
      <c r="D442" s="6" t="s">
        <v>314</v>
      </c>
      <c r="E442" s="6" t="s">
        <v>787</v>
      </c>
      <c r="F442" s="6" t="s">
        <v>1538</v>
      </c>
      <c r="G442" s="6" t="s">
        <v>114</v>
      </c>
      <c r="N442">
        <v>0</v>
      </c>
      <c r="Q442" t="s">
        <v>8684</v>
      </c>
    </row>
    <row r="443" spans="1:17" x14ac:dyDescent="0.2">
      <c r="A443" t="s">
        <v>1274</v>
      </c>
      <c r="B443" s="6" t="s">
        <v>710</v>
      </c>
      <c r="C443" s="6">
        <v>3</v>
      </c>
      <c r="D443" s="6" t="s">
        <v>314</v>
      </c>
      <c r="E443" s="6" t="s">
        <v>788</v>
      </c>
      <c r="F443" s="6" t="s">
        <v>365</v>
      </c>
      <c r="H443">
        <v>0.02</v>
      </c>
      <c r="N443">
        <v>0</v>
      </c>
      <c r="Q443" t="s">
        <v>8683</v>
      </c>
    </row>
    <row r="444" spans="1:17" x14ac:dyDescent="0.2">
      <c r="A444" t="s">
        <v>1274</v>
      </c>
      <c r="B444" s="6" t="s">
        <v>710</v>
      </c>
      <c r="C444" s="6">
        <v>3</v>
      </c>
      <c r="D444" s="6" t="s">
        <v>314</v>
      </c>
      <c r="E444" s="6" t="s">
        <v>789</v>
      </c>
      <c r="F444" s="6" t="s">
        <v>1538</v>
      </c>
      <c r="H444">
        <v>3.0000000000000001E-3</v>
      </c>
      <c r="N444">
        <v>0</v>
      </c>
      <c r="Q444" t="s">
        <v>8685</v>
      </c>
    </row>
    <row r="445" spans="1:17" x14ac:dyDescent="0.2">
      <c r="A445" t="s">
        <v>1274</v>
      </c>
      <c r="B445" s="6" t="s">
        <v>710</v>
      </c>
      <c r="C445" s="6">
        <v>3</v>
      </c>
      <c r="D445" s="6" t="s">
        <v>314</v>
      </c>
      <c r="E445" s="6" t="s">
        <v>790</v>
      </c>
      <c r="F445" s="6" t="s">
        <v>1538</v>
      </c>
      <c r="G445" s="6" t="s">
        <v>114</v>
      </c>
      <c r="N445">
        <v>0</v>
      </c>
      <c r="Q445" t="s">
        <v>8686</v>
      </c>
    </row>
    <row r="446" spans="1:17" x14ac:dyDescent="0.2">
      <c r="A446" t="s">
        <v>1274</v>
      </c>
      <c r="B446" s="6" t="s">
        <v>710</v>
      </c>
      <c r="C446" s="6">
        <v>3</v>
      </c>
      <c r="D446" s="6" t="s">
        <v>314</v>
      </c>
      <c r="E446" s="6" t="s">
        <v>791</v>
      </c>
      <c r="F446" s="6" t="s">
        <v>1538</v>
      </c>
      <c r="H446">
        <v>2E-3</v>
      </c>
      <c r="N446">
        <v>0</v>
      </c>
      <c r="Q446" t="s">
        <v>8687</v>
      </c>
    </row>
    <row r="447" spans="1:17" x14ac:dyDescent="0.2">
      <c r="A447" t="s">
        <v>1274</v>
      </c>
      <c r="B447" s="6" t="s">
        <v>710</v>
      </c>
      <c r="C447" s="6">
        <v>3</v>
      </c>
      <c r="D447" s="6" t="s">
        <v>314</v>
      </c>
      <c r="E447" s="6" t="s">
        <v>792</v>
      </c>
      <c r="F447" s="6" t="s">
        <v>1538</v>
      </c>
      <c r="G447" s="6" t="s">
        <v>114</v>
      </c>
      <c r="N447">
        <v>0</v>
      </c>
      <c r="Q447" t="s">
        <v>8688</v>
      </c>
    </row>
    <row r="448" spans="1:17" x14ac:dyDescent="0.2">
      <c r="A448" t="s">
        <v>1274</v>
      </c>
      <c r="B448" s="6" t="s">
        <v>710</v>
      </c>
      <c r="C448" s="6">
        <v>3</v>
      </c>
      <c r="D448" s="6" t="s">
        <v>314</v>
      </c>
      <c r="E448" s="6" t="s">
        <v>793</v>
      </c>
      <c r="F448" s="6" t="s">
        <v>1538</v>
      </c>
      <c r="M448">
        <v>5</v>
      </c>
      <c r="O448" t="s">
        <v>806</v>
      </c>
    </row>
    <row r="449" spans="1:17" x14ac:dyDescent="0.2">
      <c r="A449" t="s">
        <v>1274</v>
      </c>
      <c r="B449" s="6" t="s">
        <v>710</v>
      </c>
      <c r="C449" s="6">
        <v>3</v>
      </c>
      <c r="D449" s="6" t="s">
        <v>314</v>
      </c>
      <c r="E449" s="6" t="s">
        <v>794</v>
      </c>
      <c r="F449" s="6" t="s">
        <v>1538</v>
      </c>
      <c r="M449">
        <v>5</v>
      </c>
      <c r="O449" t="s">
        <v>807</v>
      </c>
    </row>
    <row r="450" spans="1:17" x14ac:dyDescent="0.2">
      <c r="A450" t="s">
        <v>1274</v>
      </c>
      <c r="B450" s="6" t="s">
        <v>710</v>
      </c>
      <c r="C450" s="6">
        <v>3</v>
      </c>
      <c r="D450" s="6" t="s">
        <v>314</v>
      </c>
      <c r="E450" s="6" t="s">
        <v>795</v>
      </c>
      <c r="F450" s="6" t="s">
        <v>808</v>
      </c>
      <c r="O450" t="s">
        <v>809</v>
      </c>
    </row>
    <row r="451" spans="1:17" x14ac:dyDescent="0.2">
      <c r="A451" t="s">
        <v>1274</v>
      </c>
      <c r="B451" s="6" t="s">
        <v>710</v>
      </c>
      <c r="C451" s="6">
        <v>3</v>
      </c>
      <c r="D451" s="6" t="s">
        <v>314</v>
      </c>
      <c r="E451" s="6" t="s">
        <v>796</v>
      </c>
      <c r="F451" s="6" t="s">
        <v>810</v>
      </c>
      <c r="H451">
        <v>1.2E-2</v>
      </c>
    </row>
    <row r="452" spans="1:17" x14ac:dyDescent="0.2">
      <c r="A452" t="s">
        <v>1274</v>
      </c>
      <c r="B452" s="6" t="s">
        <v>710</v>
      </c>
      <c r="C452" s="6">
        <v>3</v>
      </c>
      <c r="D452" s="6" t="s">
        <v>314</v>
      </c>
      <c r="E452" s="6" t="s">
        <v>797</v>
      </c>
      <c r="F452" s="6" t="s">
        <v>7138</v>
      </c>
      <c r="H452">
        <v>1.0999999999999999E-2</v>
      </c>
      <c r="M452">
        <v>4</v>
      </c>
      <c r="Q452" t="s">
        <v>8689</v>
      </c>
    </row>
    <row r="453" spans="1:17" x14ac:dyDescent="0.2">
      <c r="A453" t="s">
        <v>1274</v>
      </c>
      <c r="B453" s="6" t="s">
        <v>710</v>
      </c>
      <c r="C453" s="6">
        <v>3</v>
      </c>
      <c r="D453" s="6" t="s">
        <v>314</v>
      </c>
      <c r="E453" s="6" t="s">
        <v>798</v>
      </c>
      <c r="F453" s="6" t="s">
        <v>428</v>
      </c>
      <c r="H453">
        <v>7.9000000000000001E-2</v>
      </c>
    </row>
    <row r="454" spans="1:17" x14ac:dyDescent="0.2">
      <c r="A454" t="s">
        <v>1274</v>
      </c>
      <c r="B454" s="6" t="s">
        <v>710</v>
      </c>
      <c r="C454" s="6">
        <v>4</v>
      </c>
      <c r="D454" s="6" t="s">
        <v>314</v>
      </c>
      <c r="E454" s="6" t="s">
        <v>811</v>
      </c>
      <c r="F454" s="6" t="s">
        <v>4982</v>
      </c>
      <c r="H454">
        <v>0.17299999999999999</v>
      </c>
      <c r="L454" t="s">
        <v>300</v>
      </c>
      <c r="O454" t="s">
        <v>812</v>
      </c>
      <c r="Q454" t="s">
        <v>8690</v>
      </c>
    </row>
    <row r="455" spans="1:17" x14ac:dyDescent="0.2">
      <c r="A455" t="s">
        <v>1274</v>
      </c>
      <c r="B455" s="6" t="s">
        <v>710</v>
      </c>
      <c r="C455" s="6">
        <v>4</v>
      </c>
      <c r="D455" s="6" t="s">
        <v>314</v>
      </c>
      <c r="E455" s="6" t="s">
        <v>813</v>
      </c>
      <c r="F455" s="6" t="s">
        <v>343</v>
      </c>
      <c r="H455">
        <v>5.0999999999999997E-2</v>
      </c>
      <c r="O455" t="s">
        <v>812</v>
      </c>
      <c r="Q455" t="s">
        <v>8691</v>
      </c>
    </row>
    <row r="456" spans="1:17" x14ac:dyDescent="0.2">
      <c r="A456" t="s">
        <v>1274</v>
      </c>
      <c r="B456" s="6" t="s">
        <v>710</v>
      </c>
      <c r="C456" s="6">
        <v>4</v>
      </c>
      <c r="D456" s="6" t="s">
        <v>314</v>
      </c>
      <c r="E456" s="6" t="s">
        <v>814</v>
      </c>
      <c r="F456" s="6" t="s">
        <v>343</v>
      </c>
      <c r="H456">
        <v>0.02</v>
      </c>
      <c r="O456" t="s">
        <v>812</v>
      </c>
      <c r="Q456" t="s">
        <v>8692</v>
      </c>
    </row>
    <row r="457" spans="1:17" x14ac:dyDescent="0.2">
      <c r="A457" t="s">
        <v>1274</v>
      </c>
      <c r="B457" s="6" t="s">
        <v>710</v>
      </c>
      <c r="C457" s="6">
        <v>4</v>
      </c>
      <c r="D457" s="6" t="s">
        <v>314</v>
      </c>
      <c r="E457" s="6" t="s">
        <v>815</v>
      </c>
      <c r="F457" s="6" t="s">
        <v>343</v>
      </c>
      <c r="H457">
        <v>2.4E-2</v>
      </c>
      <c r="O457" t="s">
        <v>812</v>
      </c>
      <c r="Q457" t="s">
        <v>8693</v>
      </c>
    </row>
    <row r="458" spans="1:17" x14ac:dyDescent="0.2">
      <c r="A458" t="s">
        <v>1274</v>
      </c>
      <c r="B458" s="6" t="s">
        <v>710</v>
      </c>
      <c r="C458" s="6">
        <v>4</v>
      </c>
      <c r="D458" s="6" t="s">
        <v>314</v>
      </c>
      <c r="E458" s="6" t="s">
        <v>816</v>
      </c>
      <c r="F458" s="6" t="s">
        <v>343</v>
      </c>
      <c r="H458">
        <v>1.6E-2</v>
      </c>
      <c r="O458" t="s">
        <v>812</v>
      </c>
      <c r="Q458" t="s">
        <v>8694</v>
      </c>
    </row>
    <row r="459" spans="1:17" x14ac:dyDescent="0.2">
      <c r="A459" t="s">
        <v>1274</v>
      </c>
      <c r="B459" s="6" t="s">
        <v>710</v>
      </c>
      <c r="C459" s="6">
        <v>4</v>
      </c>
      <c r="D459" s="6" t="s">
        <v>314</v>
      </c>
      <c r="E459" s="6" t="s">
        <v>817</v>
      </c>
      <c r="F459" s="6" t="s">
        <v>343</v>
      </c>
      <c r="H459">
        <v>1.4E-2</v>
      </c>
      <c r="O459" t="s">
        <v>812</v>
      </c>
      <c r="Q459" t="s">
        <v>8695</v>
      </c>
    </row>
    <row r="460" spans="1:17" x14ac:dyDescent="0.2">
      <c r="A460" t="s">
        <v>1274</v>
      </c>
      <c r="B460" s="6" t="s">
        <v>710</v>
      </c>
      <c r="C460" s="6">
        <v>4</v>
      </c>
      <c r="D460" s="6" t="s">
        <v>314</v>
      </c>
      <c r="E460" s="6" t="s">
        <v>818</v>
      </c>
      <c r="F460" s="6" t="s">
        <v>343</v>
      </c>
      <c r="H460">
        <v>1.2E-2</v>
      </c>
      <c r="O460" t="s">
        <v>812</v>
      </c>
      <c r="Q460" t="s">
        <v>8696</v>
      </c>
    </row>
    <row r="461" spans="1:17" x14ac:dyDescent="0.2">
      <c r="A461" t="s">
        <v>1274</v>
      </c>
      <c r="B461" s="6" t="s">
        <v>710</v>
      </c>
      <c r="C461" s="6">
        <v>4</v>
      </c>
      <c r="D461" s="6" t="s">
        <v>314</v>
      </c>
      <c r="E461" s="6" t="s">
        <v>819</v>
      </c>
      <c r="F461" s="6" t="s">
        <v>6862</v>
      </c>
      <c r="H461">
        <v>5.0000000000000001E-3</v>
      </c>
      <c r="O461" t="s">
        <v>812</v>
      </c>
      <c r="P461" t="s">
        <v>5999</v>
      </c>
      <c r="Q461" t="s">
        <v>6093</v>
      </c>
    </row>
    <row r="462" spans="1:17" x14ac:dyDescent="0.2">
      <c r="A462" t="s">
        <v>1274</v>
      </c>
      <c r="B462" s="6" t="s">
        <v>710</v>
      </c>
      <c r="C462" s="6">
        <v>4</v>
      </c>
      <c r="D462" s="6" t="s">
        <v>314</v>
      </c>
      <c r="E462" s="6" t="s">
        <v>820</v>
      </c>
      <c r="F462" s="6" t="s">
        <v>5930</v>
      </c>
      <c r="H462">
        <v>8.0000000000000002E-3</v>
      </c>
      <c r="O462" t="s">
        <v>812</v>
      </c>
      <c r="Q462" t="s">
        <v>6094</v>
      </c>
    </row>
    <row r="463" spans="1:17" x14ac:dyDescent="0.2">
      <c r="A463" t="s">
        <v>1274</v>
      </c>
      <c r="B463" s="6" t="s">
        <v>710</v>
      </c>
      <c r="C463" s="6">
        <v>4</v>
      </c>
      <c r="D463" s="6" t="s">
        <v>314</v>
      </c>
      <c r="E463" s="6" t="s">
        <v>821</v>
      </c>
      <c r="F463" s="6" t="s">
        <v>8699</v>
      </c>
      <c r="H463">
        <v>3.0000000000000001E-3</v>
      </c>
      <c r="O463" t="s">
        <v>812</v>
      </c>
      <c r="Q463" t="s">
        <v>8697</v>
      </c>
    </row>
    <row r="464" spans="1:17" x14ac:dyDescent="0.2">
      <c r="A464" t="s">
        <v>1274</v>
      </c>
      <c r="B464" s="6" t="s">
        <v>710</v>
      </c>
      <c r="C464" s="6">
        <v>4</v>
      </c>
      <c r="D464" s="6" t="s">
        <v>314</v>
      </c>
      <c r="E464" s="6" t="s">
        <v>822</v>
      </c>
      <c r="F464" s="6" t="s">
        <v>5936</v>
      </c>
      <c r="G464" s="6" t="s">
        <v>114</v>
      </c>
      <c r="O464" t="s">
        <v>812</v>
      </c>
      <c r="Q464" t="s">
        <v>6095</v>
      </c>
    </row>
    <row r="465" spans="1:17" x14ac:dyDescent="0.2">
      <c r="A465" t="s">
        <v>1274</v>
      </c>
      <c r="B465" s="6" t="s">
        <v>710</v>
      </c>
      <c r="C465" s="6">
        <v>4</v>
      </c>
      <c r="D465" s="6" t="s">
        <v>314</v>
      </c>
      <c r="E465" s="6" t="s">
        <v>823</v>
      </c>
      <c r="F465" s="6" t="s">
        <v>8700</v>
      </c>
      <c r="H465">
        <v>1E-3</v>
      </c>
      <c r="O465" t="s">
        <v>812</v>
      </c>
      <c r="Q465" t="s">
        <v>8698</v>
      </c>
    </row>
    <row r="466" spans="1:17" x14ac:dyDescent="0.2">
      <c r="A466" t="s">
        <v>1274</v>
      </c>
      <c r="B466" s="6" t="s">
        <v>710</v>
      </c>
      <c r="C466" s="6">
        <v>4</v>
      </c>
      <c r="D466" s="6" t="s">
        <v>314</v>
      </c>
      <c r="E466" s="6" t="s">
        <v>824</v>
      </c>
      <c r="F466" s="6" t="s">
        <v>334</v>
      </c>
      <c r="H466" s="6">
        <f>1.562-0.41</f>
        <v>1.1520000000000001</v>
      </c>
      <c r="O466" t="s">
        <v>829</v>
      </c>
    </row>
    <row r="467" spans="1:17" x14ac:dyDescent="0.2">
      <c r="A467" t="s">
        <v>1274</v>
      </c>
      <c r="B467" s="6" t="s">
        <v>710</v>
      </c>
      <c r="C467" s="6">
        <v>4</v>
      </c>
      <c r="D467" s="6" t="s">
        <v>314</v>
      </c>
      <c r="E467" s="6" t="s">
        <v>825</v>
      </c>
      <c r="F467" s="6" t="s">
        <v>847</v>
      </c>
      <c r="H467">
        <f>7.1-0.344</f>
        <v>6.7559999999999993</v>
      </c>
      <c r="L467" t="s">
        <v>300</v>
      </c>
      <c r="O467" t="s">
        <v>828</v>
      </c>
    </row>
    <row r="468" spans="1:17" x14ac:dyDescent="0.2">
      <c r="A468" t="s">
        <v>1274</v>
      </c>
      <c r="B468" s="6" t="s">
        <v>710</v>
      </c>
      <c r="C468" s="6">
        <v>4</v>
      </c>
      <c r="D468" s="6" t="s">
        <v>314</v>
      </c>
      <c r="E468" s="6" t="s">
        <v>830</v>
      </c>
      <c r="F468" s="6" t="s">
        <v>1538</v>
      </c>
      <c r="H468">
        <v>2E-3</v>
      </c>
      <c r="Q468" t="s">
        <v>8703</v>
      </c>
    </row>
    <row r="469" spans="1:17" x14ac:dyDescent="0.2">
      <c r="A469" t="s">
        <v>1274</v>
      </c>
      <c r="B469" s="6" t="s">
        <v>710</v>
      </c>
      <c r="C469" s="6">
        <v>4</v>
      </c>
      <c r="D469" s="6" t="s">
        <v>314</v>
      </c>
      <c r="E469" s="6" t="s">
        <v>831</v>
      </c>
      <c r="F469" s="6" t="s">
        <v>332</v>
      </c>
      <c r="H469">
        <v>3.9E-2</v>
      </c>
      <c r="Q469" t="s">
        <v>8705</v>
      </c>
    </row>
    <row r="470" spans="1:17" x14ac:dyDescent="0.2">
      <c r="A470" t="s">
        <v>1274</v>
      </c>
      <c r="B470" s="6" t="s">
        <v>710</v>
      </c>
      <c r="C470" s="6">
        <v>4</v>
      </c>
      <c r="D470" s="6" t="s">
        <v>314</v>
      </c>
      <c r="E470" s="6" t="s">
        <v>832</v>
      </c>
      <c r="F470" s="6" t="s">
        <v>332</v>
      </c>
      <c r="H470">
        <v>5.0000000000000001E-3</v>
      </c>
      <c r="Q470" t="s">
        <v>8706</v>
      </c>
    </row>
    <row r="471" spans="1:17" x14ac:dyDescent="0.2">
      <c r="A471" t="s">
        <v>1274</v>
      </c>
      <c r="B471" s="6" t="s">
        <v>710</v>
      </c>
      <c r="C471" s="6">
        <v>4</v>
      </c>
      <c r="D471" s="6" t="s">
        <v>314</v>
      </c>
      <c r="E471" s="6" t="s">
        <v>833</v>
      </c>
      <c r="F471" s="6" t="s">
        <v>332</v>
      </c>
      <c r="H471">
        <v>7.0000000000000001E-3</v>
      </c>
      <c r="Q471" t="s">
        <v>8707</v>
      </c>
    </row>
    <row r="472" spans="1:17" x14ac:dyDescent="0.2">
      <c r="A472" t="s">
        <v>1274</v>
      </c>
      <c r="B472" s="6" t="s">
        <v>710</v>
      </c>
      <c r="C472" s="6">
        <v>4</v>
      </c>
      <c r="D472" s="6" t="s">
        <v>314</v>
      </c>
      <c r="E472" s="6" t="s">
        <v>834</v>
      </c>
      <c r="F472" s="6" t="s">
        <v>332</v>
      </c>
      <c r="H472">
        <v>1.9E-2</v>
      </c>
      <c r="Q472" t="s">
        <v>8708</v>
      </c>
    </row>
    <row r="473" spans="1:17" x14ac:dyDescent="0.2">
      <c r="A473" t="s">
        <v>1274</v>
      </c>
      <c r="B473" s="6" t="s">
        <v>710</v>
      </c>
      <c r="C473" s="6">
        <v>4</v>
      </c>
      <c r="D473" s="6" t="s">
        <v>314</v>
      </c>
      <c r="E473" s="6" t="s">
        <v>835</v>
      </c>
      <c r="F473" s="6" t="s">
        <v>332</v>
      </c>
      <c r="H473">
        <v>1.4E-2</v>
      </c>
      <c r="Q473" t="s">
        <v>8709</v>
      </c>
    </row>
    <row r="474" spans="1:17" x14ac:dyDescent="0.2">
      <c r="A474" t="s">
        <v>1274</v>
      </c>
      <c r="B474" s="6" t="s">
        <v>710</v>
      </c>
      <c r="C474" s="6">
        <v>4</v>
      </c>
      <c r="D474" s="6" t="s">
        <v>314</v>
      </c>
      <c r="E474" s="6" t="s">
        <v>836</v>
      </c>
      <c r="F474" s="6" t="s">
        <v>332</v>
      </c>
      <c r="H474">
        <v>7.0000000000000001E-3</v>
      </c>
      <c r="Q474" t="s">
        <v>8701</v>
      </c>
    </row>
    <row r="475" spans="1:17" x14ac:dyDescent="0.2">
      <c r="A475" t="s">
        <v>1274</v>
      </c>
      <c r="B475" s="6" t="s">
        <v>710</v>
      </c>
      <c r="C475" s="6">
        <v>4</v>
      </c>
      <c r="D475" s="6" t="s">
        <v>314</v>
      </c>
      <c r="E475" s="6" t="s">
        <v>837</v>
      </c>
      <c r="F475" s="6" t="s">
        <v>1538</v>
      </c>
      <c r="H475">
        <v>1E-3</v>
      </c>
      <c r="Q475" t="s">
        <v>8702</v>
      </c>
    </row>
    <row r="476" spans="1:17" x14ac:dyDescent="0.2">
      <c r="A476" t="s">
        <v>1274</v>
      </c>
      <c r="B476" s="6" t="s">
        <v>710</v>
      </c>
      <c r="C476" s="6">
        <v>4</v>
      </c>
      <c r="D476" s="6" t="s">
        <v>314</v>
      </c>
      <c r="E476" s="6" t="s">
        <v>838</v>
      </c>
      <c r="F476" s="6" t="s">
        <v>1538</v>
      </c>
      <c r="G476" s="6" t="s">
        <v>114</v>
      </c>
      <c r="Q476" t="s">
        <v>8710</v>
      </c>
    </row>
    <row r="477" spans="1:17" x14ac:dyDescent="0.2">
      <c r="A477" t="s">
        <v>1274</v>
      </c>
      <c r="B477" s="6" t="s">
        <v>710</v>
      </c>
      <c r="C477" s="6">
        <v>4</v>
      </c>
      <c r="D477" s="6" t="s">
        <v>314</v>
      </c>
      <c r="E477" s="6" t="s">
        <v>839</v>
      </c>
      <c r="F477" s="6" t="s">
        <v>1538</v>
      </c>
      <c r="H477">
        <v>2E-3</v>
      </c>
      <c r="Q477" t="s">
        <v>8704</v>
      </c>
    </row>
    <row r="478" spans="1:17" x14ac:dyDescent="0.2">
      <c r="A478" t="s">
        <v>1274</v>
      </c>
      <c r="B478" s="6" t="s">
        <v>710</v>
      </c>
      <c r="C478" s="6">
        <v>4</v>
      </c>
      <c r="D478" s="6" t="s">
        <v>314</v>
      </c>
      <c r="E478" s="6" t="s">
        <v>840</v>
      </c>
      <c r="F478" s="6" t="s">
        <v>332</v>
      </c>
      <c r="H478">
        <v>7.6999999999999999E-2</v>
      </c>
      <c r="M478">
        <v>5</v>
      </c>
      <c r="O478" t="s">
        <v>805</v>
      </c>
    </row>
    <row r="479" spans="1:17" x14ac:dyDescent="0.2">
      <c r="A479" t="s">
        <v>1274</v>
      </c>
      <c r="B479" s="6" t="s">
        <v>710</v>
      </c>
      <c r="C479" s="6">
        <v>4</v>
      </c>
      <c r="D479" s="6" t="s">
        <v>314</v>
      </c>
      <c r="E479" s="6" t="s">
        <v>841</v>
      </c>
      <c r="F479" s="6" t="s">
        <v>547</v>
      </c>
      <c r="H479">
        <v>7.0000000000000001E-3</v>
      </c>
      <c r="M479">
        <v>5</v>
      </c>
      <c r="O479" t="s">
        <v>805</v>
      </c>
    </row>
    <row r="480" spans="1:17" x14ac:dyDescent="0.2">
      <c r="A480" t="s">
        <v>1274</v>
      </c>
      <c r="B480" s="6" t="s">
        <v>710</v>
      </c>
      <c r="C480" s="6">
        <v>4</v>
      </c>
      <c r="D480" s="6" t="s">
        <v>314</v>
      </c>
      <c r="E480" s="6" t="s">
        <v>842</v>
      </c>
      <c r="F480" s="6" t="s">
        <v>364</v>
      </c>
      <c r="H480">
        <v>8.0000000000000002E-3</v>
      </c>
      <c r="O480" t="s">
        <v>848</v>
      </c>
      <c r="Q480" t="s">
        <v>8711</v>
      </c>
    </row>
    <row r="481" spans="1:17" x14ac:dyDescent="0.2">
      <c r="A481" t="s">
        <v>1274</v>
      </c>
      <c r="B481" s="6" t="s">
        <v>710</v>
      </c>
      <c r="C481" s="6">
        <v>4</v>
      </c>
      <c r="D481" s="6" t="s">
        <v>314</v>
      </c>
      <c r="E481" s="6" t="s">
        <v>843</v>
      </c>
      <c r="F481" s="6" t="s">
        <v>364</v>
      </c>
      <c r="H481">
        <v>8.9999999999999993E-3</v>
      </c>
      <c r="O481" t="s">
        <v>849</v>
      </c>
      <c r="Q481" t="s">
        <v>8712</v>
      </c>
    </row>
    <row r="482" spans="1:17" x14ac:dyDescent="0.2">
      <c r="A482" t="s">
        <v>1274</v>
      </c>
      <c r="B482" s="6" t="s">
        <v>710</v>
      </c>
      <c r="C482" s="6">
        <v>4</v>
      </c>
      <c r="D482" s="6" t="s">
        <v>314</v>
      </c>
      <c r="E482" s="6" t="s">
        <v>844</v>
      </c>
      <c r="F482" s="6" t="s">
        <v>364</v>
      </c>
      <c r="H482">
        <v>0.01</v>
      </c>
      <c r="O482" t="s">
        <v>850</v>
      </c>
      <c r="Q482" t="s">
        <v>8713</v>
      </c>
    </row>
    <row r="483" spans="1:17" x14ac:dyDescent="0.2">
      <c r="A483" t="s">
        <v>1274</v>
      </c>
      <c r="B483" s="6" t="s">
        <v>710</v>
      </c>
      <c r="C483" s="6">
        <v>4</v>
      </c>
      <c r="D483" s="6" t="s">
        <v>314</v>
      </c>
      <c r="E483" s="6" t="s">
        <v>845</v>
      </c>
      <c r="F483" s="6" t="s">
        <v>364</v>
      </c>
      <c r="H483">
        <v>7.0000000000000001E-3</v>
      </c>
      <c r="O483" t="s">
        <v>851</v>
      </c>
      <c r="Q483" t="s">
        <v>8714</v>
      </c>
    </row>
    <row r="484" spans="1:17" x14ac:dyDescent="0.2">
      <c r="A484" t="s">
        <v>1274</v>
      </c>
      <c r="B484" s="6" t="s">
        <v>710</v>
      </c>
      <c r="C484" s="6">
        <v>4</v>
      </c>
      <c r="D484" s="6" t="s">
        <v>314</v>
      </c>
      <c r="E484" s="6" t="s">
        <v>846</v>
      </c>
      <c r="F484" s="6" t="s">
        <v>364</v>
      </c>
      <c r="H484">
        <v>7.0000000000000001E-3</v>
      </c>
      <c r="O484" t="s">
        <v>852</v>
      </c>
      <c r="Q484" t="s">
        <v>8715</v>
      </c>
    </row>
    <row r="485" spans="1:17" x14ac:dyDescent="0.2">
      <c r="A485" t="s">
        <v>1274</v>
      </c>
      <c r="B485" s="6" t="s">
        <v>710</v>
      </c>
      <c r="C485" s="6">
        <v>4</v>
      </c>
      <c r="D485" s="6" t="s">
        <v>314</v>
      </c>
      <c r="E485" s="6" t="s">
        <v>853</v>
      </c>
      <c r="F485" s="6" t="s">
        <v>364</v>
      </c>
      <c r="H485">
        <v>4.0000000000000001E-3</v>
      </c>
      <c r="Q485" t="s">
        <v>8716</v>
      </c>
    </row>
    <row r="486" spans="1:17" x14ac:dyDescent="0.2">
      <c r="A486" t="s">
        <v>1274</v>
      </c>
      <c r="B486" s="6" t="s">
        <v>710</v>
      </c>
      <c r="C486" s="6">
        <v>4</v>
      </c>
      <c r="D486" s="6" t="s">
        <v>314</v>
      </c>
      <c r="E486" s="6" t="s">
        <v>854</v>
      </c>
      <c r="F486" s="6" t="s">
        <v>364</v>
      </c>
      <c r="H486">
        <v>3.0000000000000001E-3</v>
      </c>
      <c r="Q486" t="s">
        <v>8717</v>
      </c>
    </row>
    <row r="487" spans="1:17" x14ac:dyDescent="0.2">
      <c r="A487" t="s">
        <v>1274</v>
      </c>
      <c r="B487" s="6" t="s">
        <v>710</v>
      </c>
      <c r="C487" s="6">
        <v>4</v>
      </c>
      <c r="D487" s="6" t="s">
        <v>314</v>
      </c>
      <c r="E487" s="6" t="s">
        <v>855</v>
      </c>
      <c r="F487" s="6" t="s">
        <v>364</v>
      </c>
      <c r="H487">
        <v>2E-3</v>
      </c>
      <c r="Q487" t="s">
        <v>8718</v>
      </c>
    </row>
    <row r="488" spans="1:17" x14ac:dyDescent="0.2">
      <c r="A488" t="s">
        <v>1274</v>
      </c>
      <c r="B488" s="6" t="s">
        <v>710</v>
      </c>
      <c r="C488" s="6">
        <v>4</v>
      </c>
      <c r="D488" s="6" t="s">
        <v>314</v>
      </c>
      <c r="E488" s="6" t="s">
        <v>856</v>
      </c>
      <c r="F488" s="6" t="s">
        <v>364</v>
      </c>
      <c r="H488">
        <v>2E-3</v>
      </c>
      <c r="Q488" t="s">
        <v>8719</v>
      </c>
    </row>
    <row r="489" spans="1:17" x14ac:dyDescent="0.2">
      <c r="A489" t="s">
        <v>1274</v>
      </c>
      <c r="B489" s="6" t="s">
        <v>710</v>
      </c>
      <c r="C489" s="6">
        <v>4</v>
      </c>
      <c r="D489" s="6" t="s">
        <v>314</v>
      </c>
      <c r="E489" s="6" t="s">
        <v>857</v>
      </c>
      <c r="F489" s="6" t="s">
        <v>364</v>
      </c>
      <c r="H489">
        <v>1E-3</v>
      </c>
      <c r="Q489" t="s">
        <v>8720</v>
      </c>
    </row>
    <row r="490" spans="1:17" x14ac:dyDescent="0.2">
      <c r="A490" t="s">
        <v>1274</v>
      </c>
      <c r="B490" s="6" t="s">
        <v>710</v>
      </c>
      <c r="C490" s="6">
        <v>4</v>
      </c>
      <c r="D490" s="6" t="s">
        <v>314</v>
      </c>
      <c r="E490" s="6" t="s">
        <v>858</v>
      </c>
      <c r="F490" s="6" t="s">
        <v>364</v>
      </c>
      <c r="H490">
        <v>2.5999999999999999E-2</v>
      </c>
      <c r="M490">
        <v>5</v>
      </c>
      <c r="O490" t="s">
        <v>805</v>
      </c>
    </row>
    <row r="491" spans="1:17" x14ac:dyDescent="0.2">
      <c r="A491" t="s">
        <v>1274</v>
      </c>
      <c r="B491" s="6" t="s">
        <v>710</v>
      </c>
      <c r="C491" s="6">
        <v>4</v>
      </c>
      <c r="D491" s="6" t="s">
        <v>314</v>
      </c>
      <c r="E491" s="6" t="s">
        <v>859</v>
      </c>
      <c r="F491" s="6" t="s">
        <v>343</v>
      </c>
      <c r="H491" s="6">
        <f>0.87-0.59</f>
        <v>0.28000000000000003</v>
      </c>
      <c r="N491">
        <v>0</v>
      </c>
      <c r="O491" t="s">
        <v>873</v>
      </c>
    </row>
    <row r="492" spans="1:17" x14ac:dyDescent="0.2">
      <c r="A492" t="s">
        <v>1274</v>
      </c>
      <c r="B492" s="6" t="s">
        <v>710</v>
      </c>
      <c r="C492" s="6">
        <v>4</v>
      </c>
      <c r="D492" s="6" t="s">
        <v>314</v>
      </c>
      <c r="E492" s="6" t="s">
        <v>2481</v>
      </c>
      <c r="F492" s="6" t="s">
        <v>343</v>
      </c>
      <c r="H492" s="6">
        <v>9.7000000000000003E-2</v>
      </c>
    </row>
    <row r="493" spans="1:17" x14ac:dyDescent="0.2">
      <c r="A493" t="s">
        <v>1274</v>
      </c>
      <c r="B493" s="6" t="s">
        <v>710</v>
      </c>
      <c r="C493" s="6">
        <v>4</v>
      </c>
      <c r="D493" s="6" t="s">
        <v>314</v>
      </c>
      <c r="E493" s="6" t="s">
        <v>860</v>
      </c>
      <c r="F493" s="6" t="s">
        <v>343</v>
      </c>
      <c r="H493">
        <v>1.9E-2</v>
      </c>
      <c r="P493" t="s">
        <v>3444</v>
      </c>
      <c r="Q493" t="s">
        <v>8721</v>
      </c>
    </row>
    <row r="494" spans="1:17" x14ac:dyDescent="0.2">
      <c r="A494" t="s">
        <v>1274</v>
      </c>
      <c r="B494" s="6" t="s">
        <v>710</v>
      </c>
      <c r="C494" s="6">
        <v>4</v>
      </c>
      <c r="D494" s="6" t="s">
        <v>314</v>
      </c>
      <c r="E494" s="6" t="s">
        <v>861</v>
      </c>
      <c r="F494" s="6" t="s">
        <v>343</v>
      </c>
      <c r="H494">
        <v>8.0000000000000002E-3</v>
      </c>
      <c r="Q494" t="s">
        <v>8722</v>
      </c>
    </row>
    <row r="495" spans="1:17" x14ac:dyDescent="0.2">
      <c r="A495" t="s">
        <v>1274</v>
      </c>
      <c r="B495" s="6" t="s">
        <v>710</v>
      </c>
      <c r="C495" s="6">
        <v>4</v>
      </c>
      <c r="D495" s="6" t="s">
        <v>314</v>
      </c>
      <c r="E495" s="6" t="s">
        <v>862</v>
      </c>
      <c r="F495" s="6" t="s">
        <v>343</v>
      </c>
      <c r="H495">
        <v>1.0999999999999999E-2</v>
      </c>
      <c r="Q495" t="s">
        <v>8723</v>
      </c>
    </row>
    <row r="496" spans="1:17" x14ac:dyDescent="0.2">
      <c r="A496" t="s">
        <v>1274</v>
      </c>
      <c r="B496" s="6" t="s">
        <v>710</v>
      </c>
      <c r="C496" s="6">
        <v>4</v>
      </c>
      <c r="D496" s="6" t="s">
        <v>314</v>
      </c>
      <c r="E496" s="6" t="s">
        <v>863</v>
      </c>
      <c r="F496" s="6" t="s">
        <v>343</v>
      </c>
      <c r="H496">
        <v>3.0000000000000001E-3</v>
      </c>
      <c r="Q496" t="s">
        <v>8724</v>
      </c>
    </row>
    <row r="497" spans="1:17" x14ac:dyDescent="0.2">
      <c r="A497" t="s">
        <v>1274</v>
      </c>
      <c r="B497" s="6" t="s">
        <v>710</v>
      </c>
      <c r="C497" s="6">
        <v>4</v>
      </c>
      <c r="D497" s="6" t="s">
        <v>314</v>
      </c>
      <c r="E497" s="6" t="s">
        <v>864</v>
      </c>
      <c r="F497" s="6" t="s">
        <v>343</v>
      </c>
      <c r="H497">
        <v>7.0000000000000001E-3</v>
      </c>
      <c r="Q497" t="s">
        <v>8725</v>
      </c>
    </row>
    <row r="498" spans="1:17" x14ac:dyDescent="0.2">
      <c r="A498" t="s">
        <v>1274</v>
      </c>
      <c r="B498" s="6" t="s">
        <v>710</v>
      </c>
      <c r="C498" s="6">
        <v>4</v>
      </c>
      <c r="D498" s="6" t="s">
        <v>314</v>
      </c>
      <c r="E498" s="6" t="s">
        <v>865</v>
      </c>
      <c r="F498" s="6" t="s">
        <v>343</v>
      </c>
      <c r="H498">
        <v>3.4000000000000002E-2</v>
      </c>
    </row>
    <row r="499" spans="1:17" x14ac:dyDescent="0.2">
      <c r="A499" t="s">
        <v>1274</v>
      </c>
      <c r="B499" s="6" t="s">
        <v>710</v>
      </c>
      <c r="C499" s="6">
        <v>4</v>
      </c>
      <c r="D499" s="6" t="s">
        <v>314</v>
      </c>
      <c r="E499" s="6" t="s">
        <v>866</v>
      </c>
      <c r="F499" s="6" t="s">
        <v>337</v>
      </c>
      <c r="H499">
        <v>1.7000000000000001E-2</v>
      </c>
    </row>
    <row r="500" spans="1:17" x14ac:dyDescent="0.2">
      <c r="A500" t="s">
        <v>1274</v>
      </c>
      <c r="B500" s="6" t="s">
        <v>710</v>
      </c>
      <c r="C500" s="6">
        <v>4</v>
      </c>
      <c r="D500" s="6" t="s">
        <v>314</v>
      </c>
      <c r="E500" s="6" t="s">
        <v>867</v>
      </c>
      <c r="F500" s="6" t="s">
        <v>7138</v>
      </c>
      <c r="H500">
        <v>8.0000000000000002E-3</v>
      </c>
      <c r="M500">
        <v>4</v>
      </c>
      <c r="O500" t="s">
        <v>874</v>
      </c>
      <c r="Q500" t="s">
        <v>8726</v>
      </c>
    </row>
    <row r="501" spans="1:17" x14ac:dyDescent="0.2">
      <c r="A501" t="s">
        <v>1274</v>
      </c>
      <c r="B501" s="6" t="s">
        <v>710</v>
      </c>
      <c r="C501" s="6">
        <v>4</v>
      </c>
      <c r="D501" s="6" t="s">
        <v>314</v>
      </c>
      <c r="E501" s="6" t="s">
        <v>868</v>
      </c>
      <c r="F501" s="6" t="s">
        <v>871</v>
      </c>
      <c r="H501">
        <v>0.128</v>
      </c>
      <c r="M501" t="s">
        <v>802</v>
      </c>
      <c r="O501" t="s">
        <v>875</v>
      </c>
    </row>
    <row r="502" spans="1:17" x14ac:dyDescent="0.2">
      <c r="A502" t="s">
        <v>1274</v>
      </c>
      <c r="B502" s="6" t="s">
        <v>710</v>
      </c>
      <c r="C502" s="6">
        <v>4</v>
      </c>
      <c r="D502" s="6" t="s">
        <v>314</v>
      </c>
      <c r="E502" s="6" t="s">
        <v>869</v>
      </c>
      <c r="F502" s="6" t="s">
        <v>810</v>
      </c>
      <c r="H502">
        <v>2.8000000000000001E-2</v>
      </c>
      <c r="M502">
        <v>17</v>
      </c>
      <c r="O502" t="s">
        <v>876</v>
      </c>
    </row>
    <row r="503" spans="1:17" x14ac:dyDescent="0.2">
      <c r="A503" t="s">
        <v>1274</v>
      </c>
      <c r="B503" s="6" t="s">
        <v>710</v>
      </c>
      <c r="C503" s="6">
        <v>4</v>
      </c>
      <c r="D503" s="6" t="s">
        <v>314</v>
      </c>
      <c r="E503" s="6" t="s">
        <v>870</v>
      </c>
      <c r="F503" s="6" t="s">
        <v>872</v>
      </c>
      <c r="H503">
        <v>5.5E-2</v>
      </c>
    </row>
    <row r="504" spans="1:17" x14ac:dyDescent="0.2">
      <c r="A504" t="s">
        <v>1274</v>
      </c>
      <c r="B504" s="6" t="s">
        <v>710</v>
      </c>
      <c r="C504" s="6">
        <v>5</v>
      </c>
      <c r="D504" s="6" t="s">
        <v>314</v>
      </c>
      <c r="E504" s="6" t="s">
        <v>877</v>
      </c>
      <c r="F504" s="6" t="s">
        <v>364</v>
      </c>
      <c r="H504">
        <f>0.448-0.295</f>
        <v>0.15300000000000002</v>
      </c>
      <c r="M504" t="s">
        <v>802</v>
      </c>
    </row>
    <row r="505" spans="1:17" x14ac:dyDescent="0.2">
      <c r="A505" t="s">
        <v>1274</v>
      </c>
      <c r="B505" s="6" t="s">
        <v>710</v>
      </c>
      <c r="C505" s="6">
        <v>5</v>
      </c>
      <c r="D505" s="6" t="s">
        <v>314</v>
      </c>
      <c r="E505" s="6" t="s">
        <v>878</v>
      </c>
      <c r="F505" s="6" t="s">
        <v>364</v>
      </c>
      <c r="H505">
        <v>1.0999999999999999E-2</v>
      </c>
      <c r="N505">
        <v>0</v>
      </c>
      <c r="Q505" t="s">
        <v>8727</v>
      </c>
    </row>
    <row r="506" spans="1:17" x14ac:dyDescent="0.2">
      <c r="A506" t="s">
        <v>1274</v>
      </c>
      <c r="B506" s="6" t="s">
        <v>710</v>
      </c>
      <c r="C506" s="6">
        <v>5</v>
      </c>
      <c r="D506" s="6" t="s">
        <v>314</v>
      </c>
      <c r="E506" s="6" t="s">
        <v>879</v>
      </c>
      <c r="F506" s="6" t="s">
        <v>364</v>
      </c>
      <c r="H506">
        <v>5.0000000000000001E-3</v>
      </c>
      <c r="N506">
        <v>0</v>
      </c>
      <c r="Q506" t="s">
        <v>8728</v>
      </c>
    </row>
    <row r="507" spans="1:17" x14ac:dyDescent="0.2">
      <c r="A507" t="s">
        <v>1274</v>
      </c>
      <c r="B507" s="6" t="s">
        <v>710</v>
      </c>
      <c r="C507" s="6">
        <v>5</v>
      </c>
      <c r="D507" s="6" t="s">
        <v>314</v>
      </c>
      <c r="E507" s="6" t="s">
        <v>880</v>
      </c>
      <c r="F507" s="6" t="s">
        <v>364</v>
      </c>
      <c r="H507">
        <v>1E-3</v>
      </c>
      <c r="N507">
        <v>0</v>
      </c>
      <c r="Q507" t="s">
        <v>8729</v>
      </c>
    </row>
    <row r="508" spans="1:17" x14ac:dyDescent="0.2">
      <c r="A508" t="s">
        <v>1274</v>
      </c>
      <c r="B508" s="6" t="s">
        <v>710</v>
      </c>
      <c r="C508" s="6">
        <v>5</v>
      </c>
      <c r="D508" s="6" t="s">
        <v>314</v>
      </c>
      <c r="E508" s="6" t="s">
        <v>881</v>
      </c>
      <c r="F508" s="6" t="s">
        <v>364</v>
      </c>
      <c r="H508">
        <v>2E-3</v>
      </c>
      <c r="N508">
        <v>0</v>
      </c>
      <c r="Q508" t="s">
        <v>8730</v>
      </c>
    </row>
    <row r="509" spans="1:17" x14ac:dyDescent="0.2">
      <c r="A509" t="s">
        <v>1274</v>
      </c>
      <c r="B509" s="6" t="s">
        <v>710</v>
      </c>
      <c r="C509" s="6">
        <v>5</v>
      </c>
      <c r="D509" s="6" t="s">
        <v>314</v>
      </c>
      <c r="E509" s="6" t="s">
        <v>882</v>
      </c>
      <c r="F509" s="6" t="s">
        <v>364</v>
      </c>
      <c r="H509">
        <v>5.0000000000000001E-3</v>
      </c>
      <c r="N509">
        <v>0</v>
      </c>
      <c r="Q509" t="s">
        <v>8731</v>
      </c>
    </row>
    <row r="510" spans="1:17" x14ac:dyDescent="0.2">
      <c r="A510" t="s">
        <v>1274</v>
      </c>
      <c r="B510" s="6" t="s">
        <v>710</v>
      </c>
      <c r="C510" s="6">
        <v>5</v>
      </c>
      <c r="D510" s="6" t="s">
        <v>314</v>
      </c>
      <c r="E510" s="6" t="s">
        <v>883</v>
      </c>
      <c r="F510" s="6" t="s">
        <v>364</v>
      </c>
      <c r="H510">
        <v>1.7000000000000001E-2</v>
      </c>
      <c r="M510">
        <v>5</v>
      </c>
      <c r="N510">
        <v>0</v>
      </c>
      <c r="O510" t="s">
        <v>805</v>
      </c>
    </row>
    <row r="511" spans="1:17" x14ac:dyDescent="0.2">
      <c r="A511" t="s">
        <v>1274</v>
      </c>
      <c r="B511" s="6" t="s">
        <v>710</v>
      </c>
      <c r="C511" s="6">
        <v>5</v>
      </c>
      <c r="D511" s="6" t="s">
        <v>314</v>
      </c>
      <c r="E511" s="6" t="s">
        <v>885</v>
      </c>
      <c r="F511" s="6" t="s">
        <v>397</v>
      </c>
      <c r="H511">
        <f>0.557-0.4</f>
        <v>0.15700000000000003</v>
      </c>
      <c r="M511" t="s">
        <v>802</v>
      </c>
      <c r="O511" t="s">
        <v>886</v>
      </c>
    </row>
    <row r="512" spans="1:17" x14ac:dyDescent="0.2">
      <c r="A512" t="s">
        <v>1274</v>
      </c>
      <c r="B512" s="6" t="s">
        <v>710</v>
      </c>
      <c r="C512" s="6">
        <v>5</v>
      </c>
      <c r="D512" s="6" t="s">
        <v>314</v>
      </c>
      <c r="E512" s="6" t="s">
        <v>887</v>
      </c>
      <c r="F512" t="s">
        <v>5869</v>
      </c>
      <c r="H512">
        <v>3.5000000000000003E-2</v>
      </c>
      <c r="N512">
        <v>0</v>
      </c>
      <c r="Q512" t="s">
        <v>6091</v>
      </c>
    </row>
    <row r="513" spans="1:17" x14ac:dyDescent="0.2">
      <c r="A513" t="s">
        <v>1274</v>
      </c>
      <c r="B513" s="6" t="s">
        <v>710</v>
      </c>
      <c r="C513" s="6">
        <v>5</v>
      </c>
      <c r="D513" s="6" t="s">
        <v>314</v>
      </c>
      <c r="E513" s="6" t="s">
        <v>888</v>
      </c>
      <c r="F513" s="6" t="s">
        <v>5936</v>
      </c>
      <c r="H513">
        <v>1E-3</v>
      </c>
      <c r="M513">
        <v>2</v>
      </c>
      <c r="N513">
        <v>0</v>
      </c>
      <c r="Q513" t="s">
        <v>8732</v>
      </c>
    </row>
    <row r="514" spans="1:17" x14ac:dyDescent="0.2">
      <c r="A514" t="s">
        <v>1274</v>
      </c>
      <c r="B514" s="6" t="s">
        <v>710</v>
      </c>
      <c r="C514" s="6">
        <v>5</v>
      </c>
      <c r="D514" s="6" t="s">
        <v>314</v>
      </c>
      <c r="E514" s="6" t="s">
        <v>889</v>
      </c>
      <c r="F514" s="6" t="s">
        <v>343</v>
      </c>
      <c r="H514">
        <v>3.3000000000000002E-2</v>
      </c>
      <c r="N514">
        <v>0</v>
      </c>
      <c r="Q514" t="s">
        <v>8733</v>
      </c>
    </row>
    <row r="515" spans="1:17" x14ac:dyDescent="0.2">
      <c r="A515" t="s">
        <v>1274</v>
      </c>
      <c r="B515" s="6" t="s">
        <v>710</v>
      </c>
      <c r="C515" s="6">
        <v>5</v>
      </c>
      <c r="D515" s="6" t="s">
        <v>314</v>
      </c>
      <c r="E515" s="6" t="s">
        <v>890</v>
      </c>
      <c r="F515" s="6" t="s">
        <v>343</v>
      </c>
      <c r="H515">
        <v>1.2E-2</v>
      </c>
      <c r="N515">
        <v>0</v>
      </c>
      <c r="Q515" t="s">
        <v>8734</v>
      </c>
    </row>
    <row r="516" spans="1:17" x14ac:dyDescent="0.2">
      <c r="A516" t="s">
        <v>1274</v>
      </c>
      <c r="B516" s="6" t="s">
        <v>710</v>
      </c>
      <c r="C516" s="6">
        <v>5</v>
      </c>
      <c r="D516" s="6" t="s">
        <v>314</v>
      </c>
      <c r="E516" s="6" t="s">
        <v>891</v>
      </c>
      <c r="F516" s="6" t="s">
        <v>332</v>
      </c>
      <c r="H516">
        <v>2.7E-2</v>
      </c>
      <c r="N516">
        <v>0</v>
      </c>
      <c r="Q516" t="s">
        <v>8735</v>
      </c>
    </row>
    <row r="517" spans="1:17" x14ac:dyDescent="0.2">
      <c r="A517" t="s">
        <v>1274</v>
      </c>
      <c r="B517" s="6" t="s">
        <v>710</v>
      </c>
      <c r="C517" s="6">
        <v>5</v>
      </c>
      <c r="D517" s="6" t="s">
        <v>314</v>
      </c>
      <c r="E517" s="6" t="s">
        <v>892</v>
      </c>
      <c r="F517" s="6" t="s">
        <v>332</v>
      </c>
      <c r="H517">
        <v>5.0000000000000001E-3</v>
      </c>
      <c r="N517">
        <v>0</v>
      </c>
      <c r="Q517" t="s">
        <v>8736</v>
      </c>
    </row>
    <row r="518" spans="1:17" x14ac:dyDescent="0.2">
      <c r="A518" t="s">
        <v>1274</v>
      </c>
      <c r="B518" s="6" t="s">
        <v>710</v>
      </c>
      <c r="C518" s="6">
        <v>5</v>
      </c>
      <c r="D518" s="6" t="s">
        <v>314</v>
      </c>
      <c r="E518" s="6" t="s">
        <v>893</v>
      </c>
      <c r="F518" s="6" t="s">
        <v>343</v>
      </c>
      <c r="H518">
        <v>8.9999999999999993E-3</v>
      </c>
      <c r="N518">
        <v>0</v>
      </c>
      <c r="Q518" t="s">
        <v>8737</v>
      </c>
    </row>
    <row r="519" spans="1:17" x14ac:dyDescent="0.2">
      <c r="A519" t="s">
        <v>1274</v>
      </c>
      <c r="B519" s="6" t="s">
        <v>710</v>
      </c>
      <c r="C519" s="6">
        <v>5</v>
      </c>
      <c r="D519" s="6" t="s">
        <v>314</v>
      </c>
      <c r="E519" s="6" t="s">
        <v>894</v>
      </c>
      <c r="F519" s="6" t="s">
        <v>343</v>
      </c>
      <c r="H519">
        <v>6.0000000000000001E-3</v>
      </c>
      <c r="N519">
        <v>0</v>
      </c>
      <c r="Q519" t="s">
        <v>8738</v>
      </c>
    </row>
    <row r="520" spans="1:17" x14ac:dyDescent="0.2">
      <c r="A520" t="s">
        <v>1274</v>
      </c>
      <c r="B520" s="6" t="s">
        <v>710</v>
      </c>
      <c r="C520" s="6">
        <v>5</v>
      </c>
      <c r="D520" s="6" t="s">
        <v>314</v>
      </c>
      <c r="E520" s="6" t="s">
        <v>895</v>
      </c>
      <c r="F520" s="6" t="s">
        <v>343</v>
      </c>
      <c r="H520">
        <v>3.0000000000000001E-3</v>
      </c>
      <c r="N520">
        <v>0</v>
      </c>
      <c r="Q520" t="s">
        <v>8739</v>
      </c>
    </row>
    <row r="521" spans="1:17" x14ac:dyDescent="0.2">
      <c r="A521" t="s">
        <v>1274</v>
      </c>
      <c r="B521" s="6" t="s">
        <v>710</v>
      </c>
      <c r="C521" s="6">
        <v>5</v>
      </c>
      <c r="D521" s="6" t="s">
        <v>314</v>
      </c>
      <c r="E521" s="6" t="s">
        <v>896</v>
      </c>
      <c r="F521" s="6" t="s">
        <v>343</v>
      </c>
      <c r="H521">
        <v>5.0000000000000001E-3</v>
      </c>
      <c r="N521">
        <v>0</v>
      </c>
      <c r="Q521" t="s">
        <v>8740</v>
      </c>
    </row>
    <row r="522" spans="1:17" x14ac:dyDescent="0.2">
      <c r="A522" t="s">
        <v>1274</v>
      </c>
      <c r="B522" s="6" t="s">
        <v>710</v>
      </c>
      <c r="C522" s="6">
        <v>5</v>
      </c>
      <c r="D522" s="6" t="s">
        <v>314</v>
      </c>
      <c r="E522" s="6" t="s">
        <v>897</v>
      </c>
      <c r="F522" s="6" t="s">
        <v>343</v>
      </c>
      <c r="H522">
        <v>0.01</v>
      </c>
      <c r="N522">
        <v>0</v>
      </c>
      <c r="Q522" t="s">
        <v>8741</v>
      </c>
    </row>
    <row r="523" spans="1:17" x14ac:dyDescent="0.2">
      <c r="A523" t="s">
        <v>1274</v>
      </c>
      <c r="B523" s="6" t="s">
        <v>710</v>
      </c>
      <c r="C523" s="6">
        <v>5</v>
      </c>
      <c r="D523" s="6" t="s">
        <v>314</v>
      </c>
      <c r="E523" s="6" t="s">
        <v>898</v>
      </c>
      <c r="F523" s="6" t="s">
        <v>343</v>
      </c>
      <c r="H523">
        <v>3.7999999999999999E-2</v>
      </c>
      <c r="M523">
        <v>8</v>
      </c>
      <c r="N523">
        <v>0</v>
      </c>
      <c r="O523" t="s">
        <v>900</v>
      </c>
    </row>
    <row r="524" spans="1:17" x14ac:dyDescent="0.2">
      <c r="A524" t="s">
        <v>1274</v>
      </c>
      <c r="B524" s="6" t="s">
        <v>710</v>
      </c>
      <c r="C524" s="6">
        <v>5</v>
      </c>
      <c r="D524" s="6" t="s">
        <v>314</v>
      </c>
      <c r="E524" s="6" t="s">
        <v>899</v>
      </c>
      <c r="F524" s="6" t="s">
        <v>364</v>
      </c>
      <c r="H524" s="6">
        <f>0.688-0.41</f>
        <v>0.27799999999999997</v>
      </c>
      <c r="M524" t="s">
        <v>802</v>
      </c>
    </row>
    <row r="525" spans="1:17" x14ac:dyDescent="0.2">
      <c r="A525" t="s">
        <v>1274</v>
      </c>
      <c r="B525" s="6" t="s">
        <v>710</v>
      </c>
      <c r="C525" s="6">
        <v>5</v>
      </c>
      <c r="D525" s="6" t="s">
        <v>314</v>
      </c>
      <c r="E525" s="6" t="s">
        <v>901</v>
      </c>
      <c r="F525" s="6" t="s">
        <v>364</v>
      </c>
      <c r="H525">
        <v>1.4E-2</v>
      </c>
      <c r="N525">
        <v>0</v>
      </c>
      <c r="Q525" t="s">
        <v>8742</v>
      </c>
    </row>
    <row r="526" spans="1:17" x14ac:dyDescent="0.2">
      <c r="A526" t="s">
        <v>1274</v>
      </c>
      <c r="B526" s="6" t="s">
        <v>710</v>
      </c>
      <c r="C526" s="6">
        <v>5</v>
      </c>
      <c r="D526" s="6" t="s">
        <v>314</v>
      </c>
      <c r="E526" s="6" t="s">
        <v>902</v>
      </c>
      <c r="F526" s="6" t="s">
        <v>364</v>
      </c>
      <c r="H526">
        <v>1E-3</v>
      </c>
      <c r="N526">
        <v>0</v>
      </c>
      <c r="Q526" t="s">
        <v>8743</v>
      </c>
    </row>
    <row r="527" spans="1:17" x14ac:dyDescent="0.2">
      <c r="A527" t="s">
        <v>1274</v>
      </c>
      <c r="B527" s="6" t="s">
        <v>710</v>
      </c>
      <c r="C527" s="6">
        <v>5</v>
      </c>
      <c r="D527" s="6" t="s">
        <v>314</v>
      </c>
      <c r="E527" s="6" t="s">
        <v>903</v>
      </c>
      <c r="F527" s="6" t="s">
        <v>364</v>
      </c>
      <c r="H527">
        <v>4.0000000000000001E-3</v>
      </c>
      <c r="N527">
        <v>0</v>
      </c>
      <c r="Q527" t="s">
        <v>8744</v>
      </c>
    </row>
    <row r="528" spans="1:17" x14ac:dyDescent="0.2">
      <c r="A528" t="s">
        <v>1274</v>
      </c>
      <c r="B528" s="6" t="s">
        <v>710</v>
      </c>
      <c r="C528" s="6">
        <v>5</v>
      </c>
      <c r="D528" s="6" t="s">
        <v>314</v>
      </c>
      <c r="E528" s="6" t="s">
        <v>904</v>
      </c>
      <c r="F528" s="6" t="s">
        <v>364</v>
      </c>
      <c r="H528">
        <v>1E-3</v>
      </c>
      <c r="N528">
        <v>0</v>
      </c>
      <c r="Q528" t="s">
        <v>8745</v>
      </c>
    </row>
    <row r="529" spans="1:17" x14ac:dyDescent="0.2">
      <c r="A529" t="s">
        <v>1274</v>
      </c>
      <c r="B529" s="6" t="s">
        <v>710</v>
      </c>
      <c r="C529" s="6">
        <v>5</v>
      </c>
      <c r="D529" s="6" t="s">
        <v>314</v>
      </c>
      <c r="E529" s="6" t="s">
        <v>905</v>
      </c>
      <c r="F529" s="6" t="s">
        <v>364</v>
      </c>
      <c r="H529">
        <v>1.2E-2</v>
      </c>
      <c r="N529">
        <v>0</v>
      </c>
      <c r="Q529" t="s">
        <v>8746</v>
      </c>
    </row>
    <row r="530" spans="1:17" x14ac:dyDescent="0.2">
      <c r="A530" t="s">
        <v>1274</v>
      </c>
      <c r="B530" s="6" t="s">
        <v>710</v>
      </c>
      <c r="C530" s="6">
        <v>5</v>
      </c>
      <c r="D530" s="6" t="s">
        <v>314</v>
      </c>
      <c r="E530" s="6" t="s">
        <v>906</v>
      </c>
      <c r="F530" s="6" t="s">
        <v>364</v>
      </c>
      <c r="H530">
        <v>0.01</v>
      </c>
      <c r="N530">
        <v>0</v>
      </c>
      <c r="Q530" t="s">
        <v>8747</v>
      </c>
    </row>
    <row r="531" spans="1:17" x14ac:dyDescent="0.2">
      <c r="A531" t="s">
        <v>1274</v>
      </c>
      <c r="B531" s="6" t="s">
        <v>710</v>
      </c>
      <c r="C531" s="6">
        <v>5</v>
      </c>
      <c r="D531" s="6" t="s">
        <v>314</v>
      </c>
      <c r="E531" s="6" t="s">
        <v>907</v>
      </c>
      <c r="F531" s="6" t="s">
        <v>364</v>
      </c>
      <c r="H531">
        <v>8.0000000000000002E-3</v>
      </c>
      <c r="N531">
        <v>0</v>
      </c>
      <c r="Q531" t="s">
        <v>8748</v>
      </c>
    </row>
    <row r="532" spans="1:17" x14ac:dyDescent="0.2">
      <c r="A532" t="s">
        <v>1274</v>
      </c>
      <c r="B532" s="6" t="s">
        <v>710</v>
      </c>
      <c r="C532" s="6">
        <v>5</v>
      </c>
      <c r="D532" s="6" t="s">
        <v>314</v>
      </c>
      <c r="E532" s="6" t="s">
        <v>908</v>
      </c>
      <c r="F532" s="6" t="s">
        <v>364</v>
      </c>
      <c r="H532">
        <v>3.0000000000000001E-3</v>
      </c>
      <c r="N532">
        <v>0</v>
      </c>
      <c r="Q532" t="s">
        <v>8749</v>
      </c>
    </row>
    <row r="533" spans="1:17" x14ac:dyDescent="0.2">
      <c r="A533" t="s">
        <v>1274</v>
      </c>
      <c r="B533" s="6" t="s">
        <v>710</v>
      </c>
      <c r="C533" s="6">
        <v>5</v>
      </c>
      <c r="D533" s="6" t="s">
        <v>314</v>
      </c>
      <c r="E533" s="6" t="s">
        <v>909</v>
      </c>
      <c r="F533" s="6" t="s">
        <v>364</v>
      </c>
      <c r="H533">
        <v>4.0000000000000001E-3</v>
      </c>
      <c r="N533">
        <v>0</v>
      </c>
      <c r="Q533" t="s">
        <v>8750</v>
      </c>
    </row>
    <row r="534" spans="1:17" x14ac:dyDescent="0.2">
      <c r="A534" t="s">
        <v>1274</v>
      </c>
      <c r="B534" s="6" t="s">
        <v>710</v>
      </c>
      <c r="C534" s="6">
        <v>5</v>
      </c>
      <c r="D534" s="6" t="s">
        <v>314</v>
      </c>
      <c r="E534" s="6" t="s">
        <v>911</v>
      </c>
      <c r="F534" s="6" t="s">
        <v>364</v>
      </c>
      <c r="H534">
        <v>5.0000000000000001E-3</v>
      </c>
      <c r="N534">
        <v>0</v>
      </c>
      <c r="Q534" t="s">
        <v>8751</v>
      </c>
    </row>
    <row r="535" spans="1:17" x14ac:dyDescent="0.2">
      <c r="A535" t="s">
        <v>1274</v>
      </c>
      <c r="B535" s="6" t="s">
        <v>710</v>
      </c>
      <c r="C535" s="6">
        <v>5</v>
      </c>
      <c r="D535" s="6" t="s">
        <v>314</v>
      </c>
      <c r="E535" s="6" t="s">
        <v>910</v>
      </c>
      <c r="F535" s="6" t="s">
        <v>364</v>
      </c>
      <c r="H535">
        <v>0.05</v>
      </c>
      <c r="M535">
        <v>10</v>
      </c>
      <c r="N535">
        <v>0</v>
      </c>
      <c r="O535" t="s">
        <v>916</v>
      </c>
    </row>
    <row r="536" spans="1:17" x14ac:dyDescent="0.2">
      <c r="A536" t="s">
        <v>1274</v>
      </c>
      <c r="B536" s="6" t="s">
        <v>710</v>
      </c>
      <c r="C536" s="6">
        <v>5</v>
      </c>
      <c r="D536" s="6" t="s">
        <v>314</v>
      </c>
      <c r="E536" s="6" t="s">
        <v>912</v>
      </c>
      <c r="F536" s="6" t="s">
        <v>914</v>
      </c>
      <c r="H536">
        <v>1.7999999999999999E-2</v>
      </c>
    </row>
    <row r="537" spans="1:17" x14ac:dyDescent="0.2">
      <c r="A537" t="s">
        <v>1274</v>
      </c>
      <c r="B537" s="6" t="s">
        <v>710</v>
      </c>
      <c r="C537" s="6">
        <v>5</v>
      </c>
      <c r="D537" s="6" t="s">
        <v>314</v>
      </c>
      <c r="E537" s="6" t="s">
        <v>913</v>
      </c>
      <c r="F537" s="6" t="s">
        <v>915</v>
      </c>
      <c r="H537">
        <v>0.215</v>
      </c>
    </row>
    <row r="538" spans="1:17" x14ac:dyDescent="0.2">
      <c r="A538" t="s">
        <v>1274</v>
      </c>
      <c r="B538" s="6" t="s">
        <v>710</v>
      </c>
      <c r="C538" s="6">
        <v>6</v>
      </c>
      <c r="D538" s="6" t="s">
        <v>314</v>
      </c>
      <c r="E538" s="6" t="s">
        <v>917</v>
      </c>
      <c r="F538" s="6" t="s">
        <v>6092</v>
      </c>
      <c r="H538" s="6">
        <f>0.422-0.357</f>
        <v>6.5000000000000002E-2</v>
      </c>
      <c r="M538" t="s">
        <v>802</v>
      </c>
      <c r="O538" t="s">
        <v>928</v>
      </c>
    </row>
    <row r="539" spans="1:17" x14ac:dyDescent="0.2">
      <c r="A539" t="s">
        <v>1274</v>
      </c>
      <c r="B539" s="6" t="s">
        <v>710</v>
      </c>
      <c r="C539" s="6">
        <v>6</v>
      </c>
      <c r="D539" s="6" t="s">
        <v>314</v>
      </c>
      <c r="E539" s="6" t="s">
        <v>918</v>
      </c>
      <c r="F539" s="6" t="s">
        <v>5930</v>
      </c>
      <c r="G539" s="6" t="s">
        <v>114</v>
      </c>
      <c r="N539">
        <v>0</v>
      </c>
      <c r="Q539" t="s">
        <v>6083</v>
      </c>
    </row>
    <row r="540" spans="1:17" x14ac:dyDescent="0.2">
      <c r="A540" t="s">
        <v>1274</v>
      </c>
      <c r="B540" s="6" t="s">
        <v>710</v>
      </c>
      <c r="C540" s="6">
        <v>6</v>
      </c>
      <c r="D540" s="6" t="s">
        <v>314</v>
      </c>
      <c r="E540" s="6" t="s">
        <v>919</v>
      </c>
      <c r="F540" t="s">
        <v>5869</v>
      </c>
      <c r="H540">
        <v>6.4000000000000001E-2</v>
      </c>
      <c r="N540">
        <v>0</v>
      </c>
      <c r="Q540" t="s">
        <v>5870</v>
      </c>
    </row>
    <row r="541" spans="1:17" x14ac:dyDescent="0.2">
      <c r="A541" t="s">
        <v>1274</v>
      </c>
      <c r="B541" s="6" t="s">
        <v>710</v>
      </c>
      <c r="C541" s="6">
        <v>6</v>
      </c>
      <c r="D541" s="6" t="s">
        <v>314</v>
      </c>
      <c r="E541" s="6" t="s">
        <v>920</v>
      </c>
      <c r="F541" t="s">
        <v>5869</v>
      </c>
      <c r="H541">
        <v>4.4999999999999998E-2</v>
      </c>
      <c r="N541">
        <v>0</v>
      </c>
      <c r="Q541" t="s">
        <v>5871</v>
      </c>
    </row>
    <row r="542" spans="1:17" x14ac:dyDescent="0.2">
      <c r="A542" t="s">
        <v>1274</v>
      </c>
      <c r="B542" s="6" t="s">
        <v>710</v>
      </c>
      <c r="C542" s="6">
        <v>6</v>
      </c>
      <c r="D542" s="6" t="s">
        <v>314</v>
      </c>
      <c r="E542" s="6" t="s">
        <v>921</v>
      </c>
      <c r="F542" t="s">
        <v>5869</v>
      </c>
      <c r="H542">
        <v>2.1000000000000001E-2</v>
      </c>
      <c r="N542">
        <v>0</v>
      </c>
      <c r="Q542" t="s">
        <v>5872</v>
      </c>
    </row>
    <row r="543" spans="1:17" x14ac:dyDescent="0.2">
      <c r="A543" t="s">
        <v>1274</v>
      </c>
      <c r="B543" s="6" t="s">
        <v>710</v>
      </c>
      <c r="C543" s="6">
        <v>6</v>
      </c>
      <c r="D543" s="6" t="s">
        <v>314</v>
      </c>
      <c r="E543" s="6" t="s">
        <v>922</v>
      </c>
      <c r="F543" s="6" t="s">
        <v>5930</v>
      </c>
      <c r="H543">
        <v>1.0999999999999999E-2</v>
      </c>
      <c r="N543">
        <v>0</v>
      </c>
      <c r="Q543" t="s">
        <v>6084</v>
      </c>
    </row>
    <row r="544" spans="1:17" x14ac:dyDescent="0.2">
      <c r="A544" t="s">
        <v>1274</v>
      </c>
      <c r="B544" s="6" t="s">
        <v>710</v>
      </c>
      <c r="C544" s="6">
        <v>6</v>
      </c>
      <c r="D544" s="6" t="s">
        <v>314</v>
      </c>
      <c r="E544" s="6" t="s">
        <v>923</v>
      </c>
      <c r="F544" s="6" t="s">
        <v>5930</v>
      </c>
      <c r="H544">
        <v>4.0000000000000001E-3</v>
      </c>
      <c r="N544">
        <v>0</v>
      </c>
      <c r="Q544" t="s">
        <v>6085</v>
      </c>
    </row>
    <row r="545" spans="1:17" x14ac:dyDescent="0.2">
      <c r="A545" t="s">
        <v>1274</v>
      </c>
      <c r="B545" s="6" t="s">
        <v>710</v>
      </c>
      <c r="C545" s="6">
        <v>6</v>
      </c>
      <c r="D545" s="6" t="s">
        <v>314</v>
      </c>
      <c r="E545" s="6" t="s">
        <v>924</v>
      </c>
      <c r="F545" s="6" t="s">
        <v>5930</v>
      </c>
      <c r="H545">
        <v>3.0000000000000001E-3</v>
      </c>
      <c r="N545">
        <v>0</v>
      </c>
      <c r="Q545" t="s">
        <v>6086</v>
      </c>
    </row>
    <row r="546" spans="1:17" x14ac:dyDescent="0.2">
      <c r="A546" t="s">
        <v>1274</v>
      </c>
      <c r="B546" s="6" t="s">
        <v>710</v>
      </c>
      <c r="C546" s="6">
        <v>6</v>
      </c>
      <c r="D546" s="6" t="s">
        <v>314</v>
      </c>
      <c r="E546" s="6" t="s">
        <v>925</v>
      </c>
      <c r="F546" s="6" t="s">
        <v>5930</v>
      </c>
      <c r="H546">
        <v>2E-3</v>
      </c>
      <c r="N546">
        <v>0</v>
      </c>
      <c r="Q546" t="s">
        <v>6087</v>
      </c>
    </row>
    <row r="547" spans="1:17" x14ac:dyDescent="0.2">
      <c r="A547" t="s">
        <v>1274</v>
      </c>
      <c r="B547" s="6" t="s">
        <v>710</v>
      </c>
      <c r="C547" s="6">
        <v>6</v>
      </c>
      <c r="D547" s="6" t="s">
        <v>314</v>
      </c>
      <c r="E547" s="6" t="s">
        <v>926</v>
      </c>
      <c r="F547" s="6" t="s">
        <v>5930</v>
      </c>
      <c r="H547">
        <v>2E-3</v>
      </c>
      <c r="N547">
        <v>0</v>
      </c>
      <c r="Q547" t="s">
        <v>6088</v>
      </c>
    </row>
    <row r="548" spans="1:17" x14ac:dyDescent="0.2">
      <c r="A548" t="s">
        <v>1274</v>
      </c>
      <c r="B548" s="6" t="s">
        <v>710</v>
      </c>
      <c r="C548" s="6">
        <v>6</v>
      </c>
      <c r="D548" s="6" t="s">
        <v>314</v>
      </c>
      <c r="E548" s="6" t="s">
        <v>929</v>
      </c>
      <c r="F548" s="6" t="s">
        <v>5930</v>
      </c>
      <c r="H548">
        <v>1E-3</v>
      </c>
      <c r="N548">
        <v>0</v>
      </c>
      <c r="Q548" t="s">
        <v>6089</v>
      </c>
    </row>
    <row r="549" spans="1:17" x14ac:dyDescent="0.2">
      <c r="A549" t="s">
        <v>1274</v>
      </c>
      <c r="B549" s="6" t="s">
        <v>710</v>
      </c>
      <c r="C549" s="6">
        <v>6</v>
      </c>
      <c r="D549" s="6" t="s">
        <v>314</v>
      </c>
      <c r="E549" s="6" t="s">
        <v>930</v>
      </c>
      <c r="F549" s="6" t="s">
        <v>5930</v>
      </c>
      <c r="H549">
        <v>1E-3</v>
      </c>
      <c r="N549">
        <v>0</v>
      </c>
      <c r="Q549" t="s">
        <v>6090</v>
      </c>
    </row>
    <row r="550" spans="1:17" x14ac:dyDescent="0.2">
      <c r="A550" t="s">
        <v>1274</v>
      </c>
      <c r="B550" s="6" t="s">
        <v>710</v>
      </c>
      <c r="C550" s="6">
        <v>6</v>
      </c>
      <c r="D550" s="6" t="s">
        <v>314</v>
      </c>
      <c r="E550" s="6" t="s">
        <v>931</v>
      </c>
      <c r="F550" s="6" t="s">
        <v>397</v>
      </c>
      <c r="H550">
        <f>0.668-0.59</f>
        <v>7.8000000000000069E-2</v>
      </c>
      <c r="M550" t="s">
        <v>802</v>
      </c>
      <c r="O550" t="s">
        <v>947</v>
      </c>
    </row>
    <row r="551" spans="1:17" x14ac:dyDescent="0.2">
      <c r="A551" t="s">
        <v>1274</v>
      </c>
      <c r="B551" s="6" t="s">
        <v>710</v>
      </c>
      <c r="C551" s="6">
        <v>6</v>
      </c>
      <c r="D551" s="6" t="s">
        <v>314</v>
      </c>
      <c r="E551" s="6" t="s">
        <v>932</v>
      </c>
      <c r="F551" s="6" t="s">
        <v>332</v>
      </c>
      <c r="H551">
        <v>4.9000000000000002E-2</v>
      </c>
      <c r="N551">
        <v>0</v>
      </c>
      <c r="Q551" t="s">
        <v>8752</v>
      </c>
    </row>
    <row r="552" spans="1:17" x14ac:dyDescent="0.2">
      <c r="A552" t="s">
        <v>1274</v>
      </c>
      <c r="B552" s="6" t="s">
        <v>710</v>
      </c>
      <c r="C552" s="6">
        <v>6</v>
      </c>
      <c r="D552" s="6" t="s">
        <v>314</v>
      </c>
      <c r="E552" s="6" t="s">
        <v>933</v>
      </c>
      <c r="F552" s="6" t="s">
        <v>332</v>
      </c>
      <c r="H552">
        <v>1.2999999999999999E-2</v>
      </c>
      <c r="N552">
        <v>0</v>
      </c>
      <c r="Q552" t="s">
        <v>8753</v>
      </c>
    </row>
    <row r="553" spans="1:17" x14ac:dyDescent="0.2">
      <c r="A553" t="s">
        <v>1274</v>
      </c>
      <c r="B553" s="6" t="s">
        <v>710</v>
      </c>
      <c r="C553" s="6">
        <v>6</v>
      </c>
      <c r="D553" s="6" t="s">
        <v>314</v>
      </c>
      <c r="E553" s="6" t="s">
        <v>934</v>
      </c>
      <c r="F553" s="6" t="s">
        <v>332</v>
      </c>
      <c r="H553">
        <v>2.9000000000000001E-2</v>
      </c>
      <c r="N553">
        <v>0</v>
      </c>
      <c r="Q553" t="s">
        <v>8754</v>
      </c>
    </row>
    <row r="554" spans="1:17" x14ac:dyDescent="0.2">
      <c r="A554" t="s">
        <v>1274</v>
      </c>
      <c r="B554" s="6" t="s">
        <v>710</v>
      </c>
      <c r="C554" s="6">
        <v>6</v>
      </c>
      <c r="D554" s="6" t="s">
        <v>314</v>
      </c>
      <c r="E554" s="6" t="s">
        <v>935</v>
      </c>
      <c r="F554" s="6" t="s">
        <v>332</v>
      </c>
      <c r="H554">
        <v>3.2000000000000001E-2</v>
      </c>
      <c r="N554">
        <v>0</v>
      </c>
      <c r="Q554" t="s">
        <v>8755</v>
      </c>
    </row>
    <row r="555" spans="1:17" x14ac:dyDescent="0.2">
      <c r="A555" t="s">
        <v>1274</v>
      </c>
      <c r="B555" s="6" t="s">
        <v>710</v>
      </c>
      <c r="C555" s="6">
        <v>6</v>
      </c>
      <c r="D555" s="6" t="s">
        <v>314</v>
      </c>
      <c r="E555" s="6" t="s">
        <v>936</v>
      </c>
      <c r="F555" s="6" t="s">
        <v>332</v>
      </c>
      <c r="H555">
        <v>0.02</v>
      </c>
      <c r="N555">
        <v>0</v>
      </c>
      <c r="Q555" t="s">
        <v>8756</v>
      </c>
    </row>
    <row r="556" spans="1:17" x14ac:dyDescent="0.2">
      <c r="A556" t="s">
        <v>1274</v>
      </c>
      <c r="B556" s="6" t="s">
        <v>710</v>
      </c>
      <c r="C556" s="6">
        <v>6</v>
      </c>
      <c r="D556" s="6" t="s">
        <v>314</v>
      </c>
      <c r="E556" s="6" t="s">
        <v>937</v>
      </c>
      <c r="F556" s="6" t="s">
        <v>343</v>
      </c>
      <c r="H556">
        <v>3.3000000000000002E-2</v>
      </c>
      <c r="N556">
        <v>0</v>
      </c>
      <c r="Q556" t="s">
        <v>8757</v>
      </c>
    </row>
    <row r="557" spans="1:17" x14ac:dyDescent="0.2">
      <c r="A557" t="s">
        <v>1274</v>
      </c>
      <c r="B557" s="6" t="s">
        <v>710</v>
      </c>
      <c r="C557" s="6">
        <v>6</v>
      </c>
      <c r="D557" s="6" t="s">
        <v>314</v>
      </c>
      <c r="E557" s="6" t="s">
        <v>938</v>
      </c>
      <c r="F557" s="6" t="s">
        <v>343</v>
      </c>
      <c r="H557">
        <v>6.7000000000000004E-2</v>
      </c>
      <c r="N557">
        <v>0</v>
      </c>
      <c r="Q557" t="s">
        <v>8758</v>
      </c>
    </row>
    <row r="558" spans="1:17" x14ac:dyDescent="0.2">
      <c r="A558" t="s">
        <v>1274</v>
      </c>
      <c r="B558" s="6" t="s">
        <v>710</v>
      </c>
      <c r="C558" s="6">
        <v>6</v>
      </c>
      <c r="D558" s="6" t="s">
        <v>314</v>
      </c>
      <c r="E558" s="6" t="s">
        <v>939</v>
      </c>
      <c r="F558" s="6" t="s">
        <v>343</v>
      </c>
      <c r="H558">
        <v>1.2999999999999999E-2</v>
      </c>
      <c r="N558">
        <v>0</v>
      </c>
      <c r="Q558" t="s">
        <v>8759</v>
      </c>
    </row>
    <row r="559" spans="1:17" x14ac:dyDescent="0.2">
      <c r="A559" t="s">
        <v>1274</v>
      </c>
      <c r="B559" s="6" t="s">
        <v>710</v>
      </c>
      <c r="C559" s="6">
        <v>6</v>
      </c>
      <c r="D559" s="6" t="s">
        <v>314</v>
      </c>
      <c r="E559" s="6" t="s">
        <v>940</v>
      </c>
      <c r="F559" s="6" t="s">
        <v>343</v>
      </c>
      <c r="H559">
        <v>4.0000000000000001E-3</v>
      </c>
      <c r="N559">
        <v>0</v>
      </c>
      <c r="Q559" t="s">
        <v>8760</v>
      </c>
    </row>
    <row r="560" spans="1:17" x14ac:dyDescent="0.2">
      <c r="A560" t="s">
        <v>1274</v>
      </c>
      <c r="B560" s="6" t="s">
        <v>710</v>
      </c>
      <c r="C560" s="6">
        <v>6</v>
      </c>
      <c r="D560" s="6" t="s">
        <v>314</v>
      </c>
      <c r="E560" s="6" t="s">
        <v>941</v>
      </c>
      <c r="F560" s="6" t="s">
        <v>343</v>
      </c>
      <c r="H560">
        <v>5.0000000000000001E-3</v>
      </c>
      <c r="N560">
        <v>0</v>
      </c>
      <c r="Q560" t="s">
        <v>8761</v>
      </c>
    </row>
    <row r="561" spans="1:17" x14ac:dyDescent="0.2">
      <c r="A561" t="s">
        <v>1274</v>
      </c>
      <c r="B561" s="6" t="s">
        <v>710</v>
      </c>
      <c r="C561" s="6">
        <v>6</v>
      </c>
      <c r="D561" s="6" t="s">
        <v>314</v>
      </c>
      <c r="E561" s="6" t="s">
        <v>942</v>
      </c>
      <c r="F561" s="6" t="s">
        <v>1311</v>
      </c>
      <c r="H561">
        <v>3.0000000000000001E-3</v>
      </c>
      <c r="N561">
        <v>0</v>
      </c>
      <c r="Q561" t="s">
        <v>8762</v>
      </c>
    </row>
    <row r="562" spans="1:17" x14ac:dyDescent="0.2">
      <c r="A562" t="s">
        <v>1274</v>
      </c>
      <c r="B562" s="6" t="s">
        <v>710</v>
      </c>
      <c r="C562" s="6">
        <v>6</v>
      </c>
      <c r="D562" s="6" t="s">
        <v>314</v>
      </c>
      <c r="E562" s="6" t="s">
        <v>943</v>
      </c>
      <c r="F562" s="6" t="s">
        <v>1311</v>
      </c>
      <c r="H562">
        <v>1E-3</v>
      </c>
      <c r="N562">
        <v>0</v>
      </c>
      <c r="Q562" t="s">
        <v>8763</v>
      </c>
    </row>
    <row r="563" spans="1:17" x14ac:dyDescent="0.2">
      <c r="A563" t="s">
        <v>1274</v>
      </c>
      <c r="B563" s="6" t="s">
        <v>710</v>
      </c>
      <c r="C563" s="6">
        <v>6</v>
      </c>
      <c r="D563" s="6" t="s">
        <v>314</v>
      </c>
      <c r="E563" s="6" t="s">
        <v>944</v>
      </c>
      <c r="F563" s="6" t="s">
        <v>1311</v>
      </c>
      <c r="H563">
        <v>2E-3</v>
      </c>
      <c r="N563">
        <v>0</v>
      </c>
      <c r="Q563" t="s">
        <v>8764</v>
      </c>
    </row>
    <row r="564" spans="1:17" x14ac:dyDescent="0.2">
      <c r="A564" t="s">
        <v>1274</v>
      </c>
      <c r="B564" s="6" t="s">
        <v>710</v>
      </c>
      <c r="C564" s="6">
        <v>6</v>
      </c>
      <c r="D564" s="6" t="s">
        <v>314</v>
      </c>
      <c r="E564" s="6" t="s">
        <v>945</v>
      </c>
      <c r="F564" s="6" t="s">
        <v>1311</v>
      </c>
      <c r="H564">
        <v>1E-3</v>
      </c>
      <c r="N564">
        <v>0</v>
      </c>
      <c r="Q564" t="s">
        <v>8765</v>
      </c>
    </row>
    <row r="565" spans="1:17" x14ac:dyDescent="0.2">
      <c r="A565" t="s">
        <v>1274</v>
      </c>
      <c r="B565" s="6" t="s">
        <v>710</v>
      </c>
      <c r="C565" s="6">
        <v>6</v>
      </c>
      <c r="D565" s="6" t="s">
        <v>314</v>
      </c>
      <c r="E565" s="6" t="s">
        <v>946</v>
      </c>
      <c r="F565" s="6" t="s">
        <v>1311</v>
      </c>
      <c r="H565">
        <v>2E-3</v>
      </c>
      <c r="N565">
        <v>0</v>
      </c>
    </row>
    <row r="566" spans="1:17" x14ac:dyDescent="0.2">
      <c r="A566" t="s">
        <v>1274</v>
      </c>
      <c r="B566" s="6" t="s">
        <v>710</v>
      </c>
      <c r="C566" s="6">
        <v>6</v>
      </c>
      <c r="D566" s="6" t="s">
        <v>314</v>
      </c>
      <c r="E566" s="6" t="s">
        <v>948</v>
      </c>
      <c r="F566" s="6" t="s">
        <v>397</v>
      </c>
      <c r="H566">
        <f>0.375-0.295</f>
        <v>8.0000000000000016E-2</v>
      </c>
    </row>
    <row r="567" spans="1:17" x14ac:dyDescent="0.2">
      <c r="A567" t="s">
        <v>1274</v>
      </c>
      <c r="B567" s="6" t="s">
        <v>710</v>
      </c>
      <c r="C567" s="6">
        <v>6</v>
      </c>
      <c r="D567" s="6" t="s">
        <v>314</v>
      </c>
      <c r="E567" s="6" t="s">
        <v>949</v>
      </c>
      <c r="F567" s="6" t="s">
        <v>365</v>
      </c>
      <c r="H567">
        <v>1.2999999999999999E-2</v>
      </c>
      <c r="N567">
        <v>0</v>
      </c>
      <c r="Q567" t="s">
        <v>8766</v>
      </c>
    </row>
    <row r="568" spans="1:17" x14ac:dyDescent="0.2">
      <c r="A568" t="s">
        <v>1274</v>
      </c>
      <c r="B568" s="6" t="s">
        <v>710</v>
      </c>
      <c r="C568" s="6">
        <v>6</v>
      </c>
      <c r="D568" s="6" t="s">
        <v>314</v>
      </c>
      <c r="E568" s="6" t="s">
        <v>950</v>
      </c>
      <c r="F568" s="6" t="s">
        <v>7337</v>
      </c>
      <c r="H568">
        <v>1.4E-2</v>
      </c>
      <c r="N568">
        <v>0</v>
      </c>
      <c r="Q568" t="s">
        <v>8767</v>
      </c>
    </row>
    <row r="569" spans="1:17" x14ac:dyDescent="0.2">
      <c r="A569" t="s">
        <v>1274</v>
      </c>
      <c r="B569" s="6" t="s">
        <v>710</v>
      </c>
      <c r="C569" s="6">
        <v>6</v>
      </c>
      <c r="D569" s="6" t="s">
        <v>314</v>
      </c>
      <c r="E569" s="6" t="s">
        <v>951</v>
      </c>
      <c r="F569" s="6" t="s">
        <v>332</v>
      </c>
      <c r="H569">
        <v>7.0000000000000001E-3</v>
      </c>
      <c r="N569">
        <v>0</v>
      </c>
      <c r="Q569" t="s">
        <v>8768</v>
      </c>
    </row>
    <row r="570" spans="1:17" x14ac:dyDescent="0.2">
      <c r="A570" t="s">
        <v>1274</v>
      </c>
      <c r="B570" s="6" t="s">
        <v>710</v>
      </c>
      <c r="C570" s="6">
        <v>6</v>
      </c>
      <c r="D570" s="6" t="s">
        <v>314</v>
      </c>
      <c r="E570" s="6" t="s">
        <v>952</v>
      </c>
      <c r="F570" s="6" t="s">
        <v>332</v>
      </c>
      <c r="H570">
        <v>1E-3</v>
      </c>
      <c r="N570">
        <v>0</v>
      </c>
      <c r="Q570" t="s">
        <v>8769</v>
      </c>
    </row>
    <row r="571" spans="1:17" x14ac:dyDescent="0.2">
      <c r="A571" t="s">
        <v>1274</v>
      </c>
      <c r="B571" s="6" t="s">
        <v>710</v>
      </c>
      <c r="C571" s="6">
        <v>6</v>
      </c>
      <c r="D571" s="6" t="s">
        <v>314</v>
      </c>
      <c r="E571" s="6" t="s">
        <v>953</v>
      </c>
      <c r="F571" s="6" t="s">
        <v>332</v>
      </c>
      <c r="H571">
        <v>2E-3</v>
      </c>
      <c r="N571">
        <v>0</v>
      </c>
      <c r="Q571" t="s">
        <v>8770</v>
      </c>
    </row>
    <row r="572" spans="1:17" x14ac:dyDescent="0.2">
      <c r="A572" t="s">
        <v>1274</v>
      </c>
      <c r="B572" s="6" t="s">
        <v>710</v>
      </c>
      <c r="C572" s="6">
        <v>6</v>
      </c>
      <c r="D572" s="6" t="s">
        <v>314</v>
      </c>
      <c r="E572" s="6" t="s">
        <v>954</v>
      </c>
      <c r="F572" s="6" t="s">
        <v>332</v>
      </c>
      <c r="H572">
        <v>1E-3</v>
      </c>
      <c r="N572">
        <v>0</v>
      </c>
      <c r="Q572" t="s">
        <v>8771</v>
      </c>
    </row>
    <row r="573" spans="1:17" x14ac:dyDescent="0.2">
      <c r="A573" t="s">
        <v>1274</v>
      </c>
      <c r="B573" s="6" t="s">
        <v>710</v>
      </c>
      <c r="C573" s="6">
        <v>6</v>
      </c>
      <c r="D573" s="6" t="s">
        <v>314</v>
      </c>
      <c r="E573" s="6" t="s">
        <v>955</v>
      </c>
      <c r="F573" s="6" t="s">
        <v>332</v>
      </c>
      <c r="H573">
        <v>5.0000000000000001E-3</v>
      </c>
      <c r="N573">
        <v>0</v>
      </c>
      <c r="Q573" t="s">
        <v>8772</v>
      </c>
    </row>
    <row r="574" spans="1:17" x14ac:dyDescent="0.2">
      <c r="A574" t="s">
        <v>1274</v>
      </c>
      <c r="B574" s="6" t="s">
        <v>710</v>
      </c>
      <c r="C574" s="6">
        <v>6</v>
      </c>
      <c r="D574" s="6" t="s">
        <v>314</v>
      </c>
      <c r="E574" s="6" t="s">
        <v>957</v>
      </c>
      <c r="F574" s="6" t="s">
        <v>364</v>
      </c>
      <c r="H574">
        <f>0.557-0.409</f>
        <v>0.14800000000000008</v>
      </c>
      <c r="M574" t="s">
        <v>802</v>
      </c>
      <c r="P574" t="s">
        <v>959</v>
      </c>
    </row>
    <row r="575" spans="1:17" x14ac:dyDescent="0.2">
      <c r="A575" t="s">
        <v>1274</v>
      </c>
      <c r="B575" s="6" t="s">
        <v>710</v>
      </c>
      <c r="C575" s="6">
        <v>6</v>
      </c>
      <c r="D575" s="6" t="s">
        <v>314</v>
      </c>
      <c r="E575" s="6" t="s">
        <v>960</v>
      </c>
      <c r="F575" s="6" t="s">
        <v>8700</v>
      </c>
      <c r="H575">
        <v>1.4E-2</v>
      </c>
      <c r="N575">
        <v>0</v>
      </c>
      <c r="Q575" t="s">
        <v>8773</v>
      </c>
    </row>
    <row r="576" spans="1:17" x14ac:dyDescent="0.2">
      <c r="A576" t="s">
        <v>1274</v>
      </c>
      <c r="B576" s="6" t="s">
        <v>710</v>
      </c>
      <c r="C576" s="6">
        <v>6</v>
      </c>
      <c r="D576" s="6" t="s">
        <v>314</v>
      </c>
      <c r="E576" s="6" t="s">
        <v>961</v>
      </c>
      <c r="F576" s="6" t="s">
        <v>8700</v>
      </c>
      <c r="H576">
        <v>1.6E-2</v>
      </c>
      <c r="N576">
        <v>0</v>
      </c>
      <c r="Q576" t="s">
        <v>8774</v>
      </c>
    </row>
    <row r="577" spans="1:17" x14ac:dyDescent="0.2">
      <c r="A577" t="s">
        <v>1274</v>
      </c>
      <c r="B577" s="6" t="s">
        <v>710</v>
      </c>
      <c r="C577" s="6">
        <v>6</v>
      </c>
      <c r="D577" s="6" t="s">
        <v>314</v>
      </c>
      <c r="E577" s="6" t="s">
        <v>962</v>
      </c>
      <c r="F577" s="6" t="s">
        <v>8700</v>
      </c>
      <c r="H577">
        <v>1.2999999999999999E-2</v>
      </c>
      <c r="N577">
        <v>0</v>
      </c>
      <c r="Q577" t="s">
        <v>8775</v>
      </c>
    </row>
    <row r="578" spans="1:17" x14ac:dyDescent="0.2">
      <c r="A578" t="s">
        <v>1274</v>
      </c>
      <c r="B578" s="6" t="s">
        <v>710</v>
      </c>
      <c r="C578" s="6">
        <v>6</v>
      </c>
      <c r="D578" s="6" t="s">
        <v>314</v>
      </c>
      <c r="E578" s="6" t="s">
        <v>963</v>
      </c>
      <c r="F578" s="6" t="s">
        <v>8700</v>
      </c>
      <c r="H578">
        <v>6.0000000000000001E-3</v>
      </c>
      <c r="N578">
        <v>0</v>
      </c>
      <c r="Q578" t="s">
        <v>8776</v>
      </c>
    </row>
    <row r="579" spans="1:17" x14ac:dyDescent="0.2">
      <c r="A579" t="s">
        <v>1274</v>
      </c>
      <c r="B579" s="6" t="s">
        <v>710</v>
      </c>
      <c r="C579" s="6">
        <v>6</v>
      </c>
      <c r="D579" s="6" t="s">
        <v>314</v>
      </c>
      <c r="E579" s="6" t="s">
        <v>964</v>
      </c>
      <c r="F579" s="6" t="s">
        <v>8700</v>
      </c>
      <c r="H579">
        <v>5.0000000000000001E-3</v>
      </c>
      <c r="N579">
        <v>0</v>
      </c>
      <c r="Q579" t="s">
        <v>8777</v>
      </c>
    </row>
    <row r="580" spans="1:17" x14ac:dyDescent="0.2">
      <c r="A580" t="s">
        <v>1274</v>
      </c>
      <c r="B580" s="6" t="s">
        <v>710</v>
      </c>
      <c r="C580" s="6">
        <v>6</v>
      </c>
      <c r="D580" s="6" t="s">
        <v>314</v>
      </c>
      <c r="E580" s="6" t="s">
        <v>965</v>
      </c>
      <c r="F580" s="6" t="s">
        <v>8700</v>
      </c>
      <c r="H580">
        <v>4.0000000000000001E-3</v>
      </c>
      <c r="N580">
        <v>0</v>
      </c>
      <c r="Q580" t="s">
        <v>8778</v>
      </c>
    </row>
    <row r="581" spans="1:17" x14ac:dyDescent="0.2">
      <c r="A581" t="s">
        <v>1274</v>
      </c>
      <c r="B581" s="6" t="s">
        <v>710</v>
      </c>
      <c r="C581" s="6">
        <v>6</v>
      </c>
      <c r="D581" s="6" t="s">
        <v>314</v>
      </c>
      <c r="E581" s="6" t="s">
        <v>966</v>
      </c>
      <c r="F581" s="6" t="s">
        <v>8700</v>
      </c>
      <c r="H581">
        <v>4.0000000000000001E-3</v>
      </c>
      <c r="N581">
        <v>0</v>
      </c>
      <c r="Q581" t="s">
        <v>8779</v>
      </c>
    </row>
    <row r="582" spans="1:17" x14ac:dyDescent="0.2">
      <c r="A582" t="s">
        <v>1274</v>
      </c>
      <c r="B582" s="6" t="s">
        <v>710</v>
      </c>
      <c r="C582" s="6">
        <v>6</v>
      </c>
      <c r="D582" s="6" t="s">
        <v>314</v>
      </c>
      <c r="E582" s="6" t="s">
        <v>967</v>
      </c>
      <c r="F582" s="6" t="s">
        <v>1559</v>
      </c>
      <c r="H582">
        <v>2E-3</v>
      </c>
      <c r="N582">
        <v>0</v>
      </c>
      <c r="Q582" t="s">
        <v>8780</v>
      </c>
    </row>
    <row r="583" spans="1:17" x14ac:dyDescent="0.2">
      <c r="A583" t="s">
        <v>1274</v>
      </c>
      <c r="B583" s="6" t="s">
        <v>710</v>
      </c>
      <c r="C583" s="6">
        <v>6</v>
      </c>
      <c r="D583" s="6" t="s">
        <v>314</v>
      </c>
      <c r="E583" s="6" t="s">
        <v>968</v>
      </c>
      <c r="F583" s="6" t="s">
        <v>8700</v>
      </c>
      <c r="H583">
        <v>2E-3</v>
      </c>
      <c r="N583">
        <v>0</v>
      </c>
      <c r="Q583" t="s">
        <v>8781</v>
      </c>
    </row>
    <row r="584" spans="1:17" x14ac:dyDescent="0.2">
      <c r="A584" t="s">
        <v>1274</v>
      </c>
      <c r="B584" s="6" t="s">
        <v>710</v>
      </c>
      <c r="C584" s="6">
        <v>6</v>
      </c>
      <c r="D584" s="6" t="s">
        <v>314</v>
      </c>
      <c r="E584" s="6" t="s">
        <v>969</v>
      </c>
      <c r="F584" s="6" t="s">
        <v>8700</v>
      </c>
      <c r="H584">
        <v>2E-3</v>
      </c>
      <c r="N584">
        <v>0</v>
      </c>
      <c r="Q584" t="s">
        <v>8782</v>
      </c>
    </row>
    <row r="585" spans="1:17" x14ac:dyDescent="0.2">
      <c r="A585" t="s">
        <v>1274</v>
      </c>
      <c r="B585" s="6" t="s">
        <v>710</v>
      </c>
      <c r="C585" s="6">
        <v>6</v>
      </c>
      <c r="D585" s="6" t="s">
        <v>314</v>
      </c>
      <c r="E585" s="6" t="s">
        <v>970</v>
      </c>
      <c r="F585" s="6" t="s">
        <v>5332</v>
      </c>
      <c r="G585" s="6" t="s">
        <v>114</v>
      </c>
      <c r="H585" s="6"/>
      <c r="N585">
        <v>0</v>
      </c>
      <c r="Q585" t="s">
        <v>8783</v>
      </c>
    </row>
    <row r="586" spans="1:17" x14ac:dyDescent="0.2">
      <c r="A586" t="s">
        <v>1274</v>
      </c>
      <c r="B586" s="6" t="s">
        <v>710</v>
      </c>
      <c r="C586" s="6">
        <v>6</v>
      </c>
      <c r="D586" s="6" t="s">
        <v>314</v>
      </c>
      <c r="E586" s="6" t="s">
        <v>971</v>
      </c>
      <c r="F586" s="6" t="s">
        <v>5332</v>
      </c>
      <c r="G586" s="6" t="s">
        <v>114</v>
      </c>
      <c r="H586" s="6"/>
      <c r="N586">
        <v>0</v>
      </c>
      <c r="Q586" t="s">
        <v>8784</v>
      </c>
    </row>
    <row r="587" spans="1:17" x14ac:dyDescent="0.2">
      <c r="A587" t="s">
        <v>1274</v>
      </c>
      <c r="B587" s="6" t="s">
        <v>710</v>
      </c>
      <c r="C587" s="6">
        <v>6</v>
      </c>
      <c r="D587" s="6" t="s">
        <v>314</v>
      </c>
      <c r="E587" s="6" t="s">
        <v>972</v>
      </c>
      <c r="F587" s="6" t="s">
        <v>5332</v>
      </c>
      <c r="G587" s="6" t="s">
        <v>114</v>
      </c>
      <c r="N587">
        <v>0</v>
      </c>
      <c r="Q587" t="s">
        <v>8785</v>
      </c>
    </row>
    <row r="588" spans="1:17" x14ac:dyDescent="0.2">
      <c r="A588" t="s">
        <v>1274</v>
      </c>
      <c r="B588" s="6" t="s">
        <v>710</v>
      </c>
      <c r="C588" s="6">
        <v>6</v>
      </c>
      <c r="D588" s="6" t="s">
        <v>314</v>
      </c>
      <c r="E588" s="6" t="s">
        <v>973</v>
      </c>
      <c r="F588" s="6" t="s">
        <v>5332</v>
      </c>
      <c r="G588" s="6" t="s">
        <v>114</v>
      </c>
      <c r="N588">
        <v>0</v>
      </c>
      <c r="Q588" t="s">
        <v>8786</v>
      </c>
    </row>
    <row r="589" spans="1:17" x14ac:dyDescent="0.2">
      <c r="A589" t="s">
        <v>1274</v>
      </c>
      <c r="B589" s="6" t="s">
        <v>710</v>
      </c>
      <c r="C589" s="6">
        <v>6</v>
      </c>
      <c r="D589" s="6" t="s">
        <v>314</v>
      </c>
      <c r="E589" s="6" t="s">
        <v>974</v>
      </c>
      <c r="F589" s="6" t="s">
        <v>5332</v>
      </c>
      <c r="G589" s="6" t="s">
        <v>114</v>
      </c>
      <c r="N589">
        <v>0</v>
      </c>
      <c r="Q589" t="s">
        <v>8787</v>
      </c>
    </row>
    <row r="590" spans="1:17" x14ac:dyDescent="0.2">
      <c r="A590" t="s">
        <v>1274</v>
      </c>
      <c r="B590" s="6" t="s">
        <v>710</v>
      </c>
      <c r="C590" s="6">
        <v>6</v>
      </c>
      <c r="D590" s="6" t="s">
        <v>314</v>
      </c>
      <c r="E590" s="6" t="s">
        <v>975</v>
      </c>
      <c r="F590" s="6" t="s">
        <v>364</v>
      </c>
      <c r="H590">
        <v>2.3E-2</v>
      </c>
      <c r="M590">
        <v>5</v>
      </c>
      <c r="N590">
        <v>0</v>
      </c>
      <c r="O590" t="s">
        <v>989</v>
      </c>
    </row>
    <row r="591" spans="1:17" x14ac:dyDescent="0.2">
      <c r="A591" t="s">
        <v>1274</v>
      </c>
      <c r="B591" s="6" t="s">
        <v>710</v>
      </c>
      <c r="C591" s="6">
        <v>6</v>
      </c>
      <c r="D591" s="6" t="s">
        <v>314</v>
      </c>
      <c r="E591" s="6" t="s">
        <v>976</v>
      </c>
      <c r="F591" s="6" t="s">
        <v>364</v>
      </c>
      <c r="G591" s="6" t="s">
        <v>114</v>
      </c>
      <c r="M591">
        <v>5</v>
      </c>
      <c r="N591">
        <v>0</v>
      </c>
      <c r="O591" t="s">
        <v>990</v>
      </c>
    </row>
    <row r="592" spans="1:17" x14ac:dyDescent="0.2">
      <c r="A592" t="s">
        <v>1274</v>
      </c>
      <c r="B592" s="6" t="s">
        <v>710</v>
      </c>
      <c r="C592" s="6">
        <v>6</v>
      </c>
      <c r="D592" s="6" t="s">
        <v>314</v>
      </c>
      <c r="E592" s="6" t="s">
        <v>977</v>
      </c>
      <c r="F592" s="6" t="s">
        <v>364</v>
      </c>
      <c r="H592">
        <v>7.0000000000000001E-3</v>
      </c>
      <c r="M592">
        <v>5</v>
      </c>
      <c r="N592">
        <v>0</v>
      </c>
      <c r="O592" t="s">
        <v>991</v>
      </c>
    </row>
    <row r="593" spans="1:17" x14ac:dyDescent="0.2">
      <c r="A593" t="s">
        <v>1274</v>
      </c>
      <c r="B593" s="6" t="s">
        <v>710</v>
      </c>
      <c r="C593" s="6">
        <v>6</v>
      </c>
      <c r="D593" s="6" t="s">
        <v>314</v>
      </c>
      <c r="E593" s="6" t="s">
        <v>978</v>
      </c>
      <c r="F593" s="6" t="s">
        <v>984</v>
      </c>
      <c r="H593">
        <f>2.3-0.357</f>
        <v>1.9429999999999998</v>
      </c>
      <c r="M593" t="s">
        <v>802</v>
      </c>
      <c r="O593" t="s">
        <v>985</v>
      </c>
    </row>
    <row r="594" spans="1:17" x14ac:dyDescent="0.2">
      <c r="A594" t="s">
        <v>1274</v>
      </c>
      <c r="B594" s="6" t="s">
        <v>710</v>
      </c>
      <c r="C594" s="6">
        <v>6</v>
      </c>
      <c r="D594" s="6" t="s">
        <v>314</v>
      </c>
      <c r="E594" s="6" t="s">
        <v>979</v>
      </c>
      <c r="F594" s="6" t="s">
        <v>8790</v>
      </c>
      <c r="H594">
        <v>0.05</v>
      </c>
      <c r="Q594" t="s">
        <v>8791</v>
      </c>
    </row>
    <row r="595" spans="1:17" x14ac:dyDescent="0.2">
      <c r="A595" t="s">
        <v>1274</v>
      </c>
      <c r="B595" s="6" t="s">
        <v>710</v>
      </c>
      <c r="C595" s="6">
        <v>6</v>
      </c>
      <c r="D595" s="6" t="s">
        <v>314</v>
      </c>
      <c r="E595" s="6" t="s">
        <v>980</v>
      </c>
      <c r="F595" s="6" t="s">
        <v>8788</v>
      </c>
      <c r="H595">
        <v>2.7E-2</v>
      </c>
      <c r="M595">
        <v>2</v>
      </c>
      <c r="O595" t="s">
        <v>279</v>
      </c>
      <c r="Q595" t="s">
        <v>8789</v>
      </c>
    </row>
    <row r="596" spans="1:17" x14ac:dyDescent="0.2">
      <c r="A596" t="s">
        <v>1274</v>
      </c>
      <c r="B596" s="6" t="s">
        <v>710</v>
      </c>
      <c r="C596" s="6">
        <v>6</v>
      </c>
      <c r="D596" s="6" t="s">
        <v>314</v>
      </c>
      <c r="E596" s="6" t="s">
        <v>981</v>
      </c>
      <c r="F596" s="6" t="s">
        <v>334</v>
      </c>
      <c r="H596">
        <f>3.5-0.45</f>
        <v>3.05</v>
      </c>
      <c r="O596" t="s">
        <v>993</v>
      </c>
    </row>
    <row r="597" spans="1:17" x14ac:dyDescent="0.2">
      <c r="A597" t="s">
        <v>1274</v>
      </c>
      <c r="B597" s="6" t="s">
        <v>710</v>
      </c>
      <c r="C597" s="6">
        <v>6</v>
      </c>
      <c r="D597" s="6" t="s">
        <v>314</v>
      </c>
      <c r="E597" s="6" t="s">
        <v>982</v>
      </c>
      <c r="F597" s="6" t="s">
        <v>987</v>
      </c>
      <c r="H597">
        <v>2.3E-2</v>
      </c>
    </row>
    <row r="598" spans="1:17" x14ac:dyDescent="0.2">
      <c r="A598" t="s">
        <v>1274</v>
      </c>
      <c r="B598" s="6" t="s">
        <v>710</v>
      </c>
      <c r="C598" s="6">
        <v>6</v>
      </c>
      <c r="D598" s="6" t="s">
        <v>314</v>
      </c>
      <c r="E598" s="6" t="s">
        <v>983</v>
      </c>
      <c r="F598" s="6" t="s">
        <v>988</v>
      </c>
      <c r="H598">
        <f>1.4-0.3</f>
        <v>1.0999999999999999</v>
      </c>
      <c r="M598">
        <v>3</v>
      </c>
      <c r="O598" t="s">
        <v>992</v>
      </c>
    </row>
    <row r="599" spans="1:17" x14ac:dyDescent="0.2">
      <c r="A599" t="s">
        <v>1274</v>
      </c>
      <c r="B599" s="6" t="s">
        <v>710</v>
      </c>
      <c r="C599" s="6">
        <v>1</v>
      </c>
      <c r="D599" s="6" t="s">
        <v>314</v>
      </c>
      <c r="E599" s="6" t="s">
        <v>994</v>
      </c>
      <c r="F599" s="6" t="s">
        <v>998</v>
      </c>
      <c r="H599">
        <f>3.1-0.589</f>
        <v>2.5110000000000001</v>
      </c>
    </row>
    <row r="600" spans="1:17" x14ac:dyDescent="0.2">
      <c r="A600" t="s">
        <v>1274</v>
      </c>
      <c r="B600" s="6" t="s">
        <v>710</v>
      </c>
      <c r="C600" s="6">
        <v>1</v>
      </c>
      <c r="D600" s="6" t="s">
        <v>314</v>
      </c>
      <c r="E600" s="6" t="s">
        <v>995</v>
      </c>
      <c r="F600" s="6" t="s">
        <v>999</v>
      </c>
      <c r="H600">
        <f>0.472-0.417</f>
        <v>5.4999999999999993E-2</v>
      </c>
    </row>
    <row r="601" spans="1:17" x14ac:dyDescent="0.2">
      <c r="A601" t="s">
        <v>1274</v>
      </c>
      <c r="B601" s="6" t="s">
        <v>710</v>
      </c>
      <c r="C601" s="6">
        <v>1</v>
      </c>
      <c r="D601" s="6" t="s">
        <v>314</v>
      </c>
      <c r="E601" s="6" t="s">
        <v>996</v>
      </c>
      <c r="F601" s="6" t="s">
        <v>847</v>
      </c>
      <c r="H601">
        <f>19.6-1.7</f>
        <v>17.900000000000002</v>
      </c>
    </row>
    <row r="602" spans="1:17" x14ac:dyDescent="0.2">
      <c r="A602" t="s">
        <v>1274</v>
      </c>
      <c r="B602" s="6" t="s">
        <v>710</v>
      </c>
      <c r="C602" s="6">
        <v>1</v>
      </c>
      <c r="D602" s="6" t="s">
        <v>314</v>
      </c>
      <c r="E602" s="6" t="s">
        <v>997</v>
      </c>
      <c r="F602" s="6" t="s">
        <v>362</v>
      </c>
      <c r="H602">
        <f>0.888-0.345</f>
        <v>0.54300000000000004</v>
      </c>
    </row>
    <row r="603" spans="1:17" x14ac:dyDescent="0.2">
      <c r="A603" t="s">
        <v>1273</v>
      </c>
      <c r="B603" s="6" t="s">
        <v>711</v>
      </c>
      <c r="C603" s="6">
        <v>2</v>
      </c>
      <c r="D603" s="6" t="s">
        <v>1000</v>
      </c>
      <c r="E603" s="6" t="s">
        <v>1001</v>
      </c>
      <c r="F603" s="6" t="s">
        <v>1005</v>
      </c>
      <c r="H603" s="6">
        <f>1.87-0.285</f>
        <v>1.5850000000000002</v>
      </c>
      <c r="O603" t="s">
        <v>1006</v>
      </c>
    </row>
    <row r="604" spans="1:17" x14ac:dyDescent="0.2">
      <c r="A604" t="s">
        <v>1273</v>
      </c>
      <c r="B604" s="6" t="s">
        <v>711</v>
      </c>
      <c r="C604" s="6">
        <v>2</v>
      </c>
      <c r="D604" s="6" t="s">
        <v>1000</v>
      </c>
      <c r="E604" s="6" t="s">
        <v>1002</v>
      </c>
      <c r="F604" s="6" t="s">
        <v>8633</v>
      </c>
      <c r="H604">
        <v>8.3000000000000004E-2</v>
      </c>
      <c r="N604">
        <v>0</v>
      </c>
      <c r="Q604" t="s">
        <v>8792</v>
      </c>
    </row>
    <row r="605" spans="1:17" x14ac:dyDescent="0.2">
      <c r="A605" t="s">
        <v>1273</v>
      </c>
      <c r="B605" s="6" t="s">
        <v>711</v>
      </c>
      <c r="C605" s="6">
        <v>2</v>
      </c>
      <c r="D605" s="6" t="s">
        <v>1000</v>
      </c>
      <c r="E605" s="6" t="s">
        <v>1003</v>
      </c>
      <c r="F605" s="6" t="s">
        <v>8633</v>
      </c>
      <c r="H605">
        <v>2.1999999999999999E-2</v>
      </c>
      <c r="N605">
        <v>0</v>
      </c>
      <c r="Q605" t="s">
        <v>8793</v>
      </c>
    </row>
    <row r="606" spans="1:17" x14ac:dyDescent="0.2">
      <c r="A606" t="s">
        <v>1273</v>
      </c>
      <c r="B606" s="6" t="s">
        <v>711</v>
      </c>
      <c r="C606" s="6">
        <v>2</v>
      </c>
      <c r="D606" s="6" t="s">
        <v>1000</v>
      </c>
      <c r="E606" s="6" t="s">
        <v>1004</v>
      </c>
      <c r="F606" s="6" t="s">
        <v>8633</v>
      </c>
      <c r="H606">
        <v>2.8000000000000001E-2</v>
      </c>
      <c r="N606">
        <v>0</v>
      </c>
      <c r="Q606" t="s">
        <v>8794</v>
      </c>
    </row>
    <row r="607" spans="1:17" x14ac:dyDescent="0.2">
      <c r="A607" t="s">
        <v>1273</v>
      </c>
      <c r="B607" s="6" t="s">
        <v>711</v>
      </c>
      <c r="C607" s="6">
        <v>2</v>
      </c>
      <c r="D607" s="6" t="s">
        <v>1000</v>
      </c>
      <c r="E607" s="6" t="s">
        <v>1007</v>
      </c>
      <c r="F607" s="6" t="s">
        <v>8633</v>
      </c>
      <c r="H607" s="6">
        <f>0.989-0.345</f>
        <v>0.64400000000000002</v>
      </c>
      <c r="M607" t="s">
        <v>802</v>
      </c>
      <c r="O607" t="s">
        <v>1010</v>
      </c>
      <c r="P607" t="s">
        <v>1011</v>
      </c>
    </row>
    <row r="608" spans="1:17" x14ac:dyDescent="0.2">
      <c r="A608" t="s">
        <v>1273</v>
      </c>
      <c r="B608" s="6" t="s">
        <v>711</v>
      </c>
      <c r="C608" s="6">
        <v>2</v>
      </c>
      <c r="D608" s="6" t="s">
        <v>1000</v>
      </c>
      <c r="E608" s="6" t="s">
        <v>1008</v>
      </c>
      <c r="F608" s="6" t="s">
        <v>8633</v>
      </c>
      <c r="H608">
        <v>8.1000000000000003E-2</v>
      </c>
      <c r="N608">
        <v>0</v>
      </c>
      <c r="Q608" t="s">
        <v>8795</v>
      </c>
    </row>
    <row r="609" spans="1:17" x14ac:dyDescent="0.2">
      <c r="A609" t="s">
        <v>1273</v>
      </c>
      <c r="B609" s="6" t="s">
        <v>711</v>
      </c>
      <c r="C609" s="6">
        <v>2</v>
      </c>
      <c r="D609" s="6" t="s">
        <v>1000</v>
      </c>
      <c r="E609" s="6" t="s">
        <v>1009</v>
      </c>
      <c r="F609" s="6" t="s">
        <v>8633</v>
      </c>
      <c r="H609">
        <v>1.7000000000000001E-2</v>
      </c>
      <c r="N609">
        <v>0</v>
      </c>
      <c r="Q609" t="s">
        <v>8796</v>
      </c>
    </row>
    <row r="610" spans="1:17" x14ac:dyDescent="0.2">
      <c r="A610" t="s">
        <v>1273</v>
      </c>
      <c r="B610" s="6" t="s">
        <v>711</v>
      </c>
      <c r="C610" s="6">
        <v>2</v>
      </c>
      <c r="D610" s="6" t="s">
        <v>1000</v>
      </c>
      <c r="E610" s="6" t="s">
        <v>1012</v>
      </c>
      <c r="F610" s="6" t="s">
        <v>1013</v>
      </c>
      <c r="H610">
        <f>0.721-0.587</f>
        <v>0.13400000000000001</v>
      </c>
      <c r="N610">
        <v>0</v>
      </c>
    </row>
    <row r="611" spans="1:17" x14ac:dyDescent="0.2">
      <c r="A611" t="s">
        <v>1273</v>
      </c>
      <c r="B611" s="6" t="s">
        <v>711</v>
      </c>
      <c r="C611" s="6">
        <v>2</v>
      </c>
      <c r="D611" s="6" t="s">
        <v>1000</v>
      </c>
      <c r="E611" s="6" t="s">
        <v>1014</v>
      </c>
      <c r="F611" s="6" t="s">
        <v>5353</v>
      </c>
      <c r="H611">
        <v>0.72099999999999997</v>
      </c>
      <c r="Q611" t="s">
        <v>8797</v>
      </c>
    </row>
    <row r="612" spans="1:17" x14ac:dyDescent="0.2">
      <c r="A612" t="s">
        <v>1273</v>
      </c>
      <c r="B612" s="6" t="s">
        <v>711</v>
      </c>
      <c r="C612" s="6">
        <v>2</v>
      </c>
      <c r="D612" s="6" t="s">
        <v>1000</v>
      </c>
      <c r="E612" s="6" t="s">
        <v>1015</v>
      </c>
      <c r="F612" s="6" t="s">
        <v>5353</v>
      </c>
      <c r="H612">
        <v>5.0000000000000001E-3</v>
      </c>
      <c r="Q612" t="s">
        <v>8798</v>
      </c>
    </row>
    <row r="613" spans="1:17" x14ac:dyDescent="0.2">
      <c r="A613" t="s">
        <v>1273</v>
      </c>
      <c r="B613" s="6" t="s">
        <v>711</v>
      </c>
      <c r="C613" s="6">
        <v>2</v>
      </c>
      <c r="D613" s="6" t="s">
        <v>1000</v>
      </c>
      <c r="E613" s="6" t="s">
        <v>1016</v>
      </c>
      <c r="F613" s="6" t="s">
        <v>5353</v>
      </c>
      <c r="H613">
        <v>2E-3</v>
      </c>
      <c r="Q613" t="s">
        <v>8799</v>
      </c>
    </row>
    <row r="614" spans="1:17" x14ac:dyDescent="0.2">
      <c r="A614" t="s">
        <v>1273</v>
      </c>
      <c r="B614" s="6" t="s">
        <v>711</v>
      </c>
      <c r="C614" s="6">
        <v>2</v>
      </c>
      <c r="D614" s="6" t="s">
        <v>1000</v>
      </c>
      <c r="E614" s="6" t="s">
        <v>1017</v>
      </c>
      <c r="F614" s="6" t="s">
        <v>5353</v>
      </c>
      <c r="H614">
        <v>6.0000000000000001E-3</v>
      </c>
      <c r="Q614" t="s">
        <v>8800</v>
      </c>
    </row>
    <row r="615" spans="1:17" x14ac:dyDescent="0.2">
      <c r="A615" t="s">
        <v>1273</v>
      </c>
      <c r="B615" s="6" t="s">
        <v>711</v>
      </c>
      <c r="C615" s="6">
        <v>2</v>
      </c>
      <c r="D615" s="6" t="s">
        <v>1000</v>
      </c>
      <c r="E615" s="6" t="s">
        <v>1018</v>
      </c>
      <c r="F615" s="6" t="s">
        <v>5353</v>
      </c>
      <c r="H615">
        <v>4.0000000000000001E-3</v>
      </c>
      <c r="Q615" t="s">
        <v>8801</v>
      </c>
    </row>
    <row r="616" spans="1:17" x14ac:dyDescent="0.2">
      <c r="A616" t="s">
        <v>1273</v>
      </c>
      <c r="B616" s="6" t="s">
        <v>711</v>
      </c>
      <c r="C616" s="6">
        <v>2</v>
      </c>
      <c r="D616" s="6" t="s">
        <v>1000</v>
      </c>
      <c r="E616" s="6" t="s">
        <v>1019</v>
      </c>
      <c r="F616" s="6" t="s">
        <v>1311</v>
      </c>
      <c r="H616">
        <v>2E-3</v>
      </c>
      <c r="Q616" t="s">
        <v>8802</v>
      </c>
    </row>
    <row r="617" spans="1:17" x14ac:dyDescent="0.2">
      <c r="A617" t="s">
        <v>1273</v>
      </c>
      <c r="B617" s="6" t="s">
        <v>711</v>
      </c>
      <c r="C617" s="6">
        <v>2</v>
      </c>
      <c r="D617" s="6" t="s">
        <v>1000</v>
      </c>
      <c r="E617" s="6" t="s">
        <v>1020</v>
      </c>
      <c r="F617" s="6" t="s">
        <v>1311</v>
      </c>
      <c r="H617">
        <v>4.0000000000000001E-3</v>
      </c>
      <c r="Q617" t="s">
        <v>8803</v>
      </c>
    </row>
    <row r="618" spans="1:17" x14ac:dyDescent="0.2">
      <c r="A618" t="s">
        <v>1273</v>
      </c>
      <c r="B618" s="6" t="s">
        <v>711</v>
      </c>
      <c r="C618" s="6">
        <v>2</v>
      </c>
      <c r="D618" s="6" t="s">
        <v>1000</v>
      </c>
      <c r="E618" s="6" t="s">
        <v>1021</v>
      </c>
      <c r="F618" t="s">
        <v>7138</v>
      </c>
      <c r="H618">
        <v>7.0000000000000001E-3</v>
      </c>
      <c r="Q618" t="s">
        <v>8804</v>
      </c>
    </row>
    <row r="619" spans="1:17" x14ac:dyDescent="0.2">
      <c r="A619" t="s">
        <v>1273</v>
      </c>
      <c r="B619" s="6" t="s">
        <v>711</v>
      </c>
      <c r="C619" s="6">
        <v>2</v>
      </c>
      <c r="D619" s="6" t="s">
        <v>1000</v>
      </c>
      <c r="E619" s="6" t="s">
        <v>1022</v>
      </c>
      <c r="F619" s="6" t="s">
        <v>343</v>
      </c>
      <c r="H619">
        <v>0.01</v>
      </c>
      <c r="Q619" t="s">
        <v>8805</v>
      </c>
    </row>
    <row r="620" spans="1:17" x14ac:dyDescent="0.2">
      <c r="A620" t="s">
        <v>1273</v>
      </c>
      <c r="B620" s="6" t="s">
        <v>711</v>
      </c>
      <c r="C620" s="6">
        <v>2</v>
      </c>
      <c r="D620" s="6" t="s">
        <v>1000</v>
      </c>
      <c r="E620" s="6" t="s">
        <v>1023</v>
      </c>
      <c r="F620" s="6" t="s">
        <v>343</v>
      </c>
      <c r="H620">
        <v>5.0000000000000001E-3</v>
      </c>
      <c r="Q620" t="s">
        <v>8806</v>
      </c>
    </row>
    <row r="621" spans="1:17" x14ac:dyDescent="0.2">
      <c r="A621" t="s">
        <v>1273</v>
      </c>
      <c r="B621" s="6" t="s">
        <v>711</v>
      </c>
      <c r="C621" s="6">
        <v>2</v>
      </c>
      <c r="D621" s="6" t="s">
        <v>1000</v>
      </c>
      <c r="E621" s="6" t="s">
        <v>1024</v>
      </c>
      <c r="F621" s="6" t="s">
        <v>343</v>
      </c>
      <c r="H621">
        <v>3.0000000000000001E-3</v>
      </c>
      <c r="Q621" t="s">
        <v>8807</v>
      </c>
    </row>
    <row r="622" spans="1:17" x14ac:dyDescent="0.2">
      <c r="A622" t="s">
        <v>1273</v>
      </c>
      <c r="B622" s="6" t="s">
        <v>711</v>
      </c>
      <c r="C622" s="6">
        <v>2</v>
      </c>
      <c r="D622" s="6" t="s">
        <v>1000</v>
      </c>
      <c r="E622" s="6" t="s">
        <v>1025</v>
      </c>
      <c r="F622" s="6" t="s">
        <v>343</v>
      </c>
      <c r="H622">
        <v>4.0000000000000001E-3</v>
      </c>
      <c r="P622" t="s">
        <v>1032</v>
      </c>
      <c r="Q622" t="s">
        <v>8808</v>
      </c>
    </row>
    <row r="623" spans="1:17" x14ac:dyDescent="0.2">
      <c r="A623" t="s">
        <v>1273</v>
      </c>
      <c r="B623" s="6" t="s">
        <v>711</v>
      </c>
      <c r="C623" s="6">
        <v>2</v>
      </c>
      <c r="D623" s="6" t="s">
        <v>1000</v>
      </c>
      <c r="E623" s="6" t="s">
        <v>1026</v>
      </c>
      <c r="F623" s="6" t="s">
        <v>343</v>
      </c>
      <c r="H623">
        <v>8.0000000000000002E-3</v>
      </c>
      <c r="P623" t="s">
        <v>1032</v>
      </c>
      <c r="Q623" t="s">
        <v>8809</v>
      </c>
    </row>
    <row r="624" spans="1:17" x14ac:dyDescent="0.2">
      <c r="A624" t="s">
        <v>1273</v>
      </c>
      <c r="B624" s="6" t="s">
        <v>711</v>
      </c>
      <c r="C624" s="6">
        <v>2</v>
      </c>
      <c r="D624" s="6" t="s">
        <v>1000</v>
      </c>
      <c r="E624" s="6" t="s">
        <v>1027</v>
      </c>
      <c r="F624" s="6" t="s">
        <v>364</v>
      </c>
      <c r="H624">
        <v>3.5999999999999997E-2</v>
      </c>
      <c r="M624">
        <v>6</v>
      </c>
    </row>
    <row r="625" spans="1:17" x14ac:dyDescent="0.2">
      <c r="A625" t="s">
        <v>1273</v>
      </c>
      <c r="B625" s="6" t="s">
        <v>711</v>
      </c>
      <c r="C625" s="6">
        <v>2</v>
      </c>
      <c r="D625" s="6" t="s">
        <v>1000</v>
      </c>
      <c r="E625" s="6" t="s">
        <v>1028</v>
      </c>
      <c r="F625" s="6" t="s">
        <v>343</v>
      </c>
      <c r="H625">
        <v>1.7999999999999999E-2</v>
      </c>
      <c r="M625">
        <v>4</v>
      </c>
    </row>
    <row r="626" spans="1:17" x14ac:dyDescent="0.2">
      <c r="A626" t="s">
        <v>1273</v>
      </c>
      <c r="B626" s="6" t="s">
        <v>711</v>
      </c>
      <c r="C626" s="6">
        <v>2</v>
      </c>
      <c r="D626" s="6" t="s">
        <v>1000</v>
      </c>
      <c r="E626" s="6" t="s">
        <v>1029</v>
      </c>
      <c r="F626" s="6" t="s">
        <v>6379</v>
      </c>
      <c r="H626">
        <v>1.9E-2</v>
      </c>
      <c r="Q626" t="s">
        <v>8818</v>
      </c>
    </row>
    <row r="627" spans="1:17" x14ac:dyDescent="0.2">
      <c r="A627" t="s">
        <v>1273</v>
      </c>
      <c r="B627" s="6" t="s">
        <v>711</v>
      </c>
      <c r="C627" s="6">
        <v>2</v>
      </c>
      <c r="D627" s="6" t="s">
        <v>1000</v>
      </c>
      <c r="E627" s="6" t="s">
        <v>1033</v>
      </c>
      <c r="F627" s="6" t="s">
        <v>1040</v>
      </c>
      <c r="H627">
        <f>1.202-0.357</f>
        <v>0.84499999999999997</v>
      </c>
      <c r="M627" t="s">
        <v>802</v>
      </c>
      <c r="O627" t="s">
        <v>1042</v>
      </c>
    </row>
    <row r="628" spans="1:17" x14ac:dyDescent="0.2">
      <c r="A628" t="s">
        <v>1273</v>
      </c>
      <c r="B628" s="6" t="s">
        <v>711</v>
      </c>
      <c r="C628" s="6">
        <v>2</v>
      </c>
      <c r="D628" s="6" t="s">
        <v>1000</v>
      </c>
      <c r="E628" s="6" t="s">
        <v>1034</v>
      </c>
      <c r="F628" s="6" t="s">
        <v>1041</v>
      </c>
      <c r="H628">
        <v>4.2999999999999997E-2</v>
      </c>
    </row>
    <row r="629" spans="1:17" x14ac:dyDescent="0.2">
      <c r="A629" t="s">
        <v>1273</v>
      </c>
      <c r="B629" s="6" t="s">
        <v>711</v>
      </c>
      <c r="C629" s="6">
        <v>2</v>
      </c>
      <c r="D629" s="6" t="s">
        <v>1000</v>
      </c>
      <c r="E629" s="6" t="s">
        <v>1035</v>
      </c>
      <c r="F629" s="6" t="s">
        <v>5848</v>
      </c>
      <c r="H629">
        <v>4.9000000000000002E-2</v>
      </c>
      <c r="Q629" t="s">
        <v>8820</v>
      </c>
    </row>
    <row r="630" spans="1:17" x14ac:dyDescent="0.2">
      <c r="A630" t="s">
        <v>1273</v>
      </c>
      <c r="B630" s="6" t="s">
        <v>711</v>
      </c>
      <c r="C630" s="6">
        <v>2</v>
      </c>
      <c r="D630" s="6" t="s">
        <v>1000</v>
      </c>
      <c r="E630" s="6" t="s">
        <v>1036</v>
      </c>
      <c r="F630" s="6" t="s">
        <v>6379</v>
      </c>
      <c r="H630">
        <v>2.7E-2</v>
      </c>
      <c r="Q630" t="s">
        <v>8819</v>
      </c>
    </row>
    <row r="631" spans="1:17" x14ac:dyDescent="0.2">
      <c r="A631" t="s">
        <v>1273</v>
      </c>
      <c r="B631" s="6" t="s">
        <v>711</v>
      </c>
      <c r="C631" s="6">
        <v>2</v>
      </c>
      <c r="D631" s="6" t="s">
        <v>1000</v>
      </c>
      <c r="E631" s="6" t="s">
        <v>1037</v>
      </c>
      <c r="F631" s="6" t="s">
        <v>5930</v>
      </c>
      <c r="H631">
        <v>8.9999999999999993E-3</v>
      </c>
      <c r="Q631" t="s">
        <v>6081</v>
      </c>
    </row>
    <row r="632" spans="1:17" x14ac:dyDescent="0.2">
      <c r="A632" t="s">
        <v>1273</v>
      </c>
      <c r="B632" s="6" t="s">
        <v>711</v>
      </c>
      <c r="C632" s="6">
        <v>2</v>
      </c>
      <c r="D632" s="6" t="s">
        <v>1000</v>
      </c>
      <c r="E632" s="6" t="s">
        <v>1038</v>
      </c>
      <c r="F632" s="6" t="s">
        <v>5930</v>
      </c>
      <c r="H632">
        <v>6.0000000000000001E-3</v>
      </c>
      <c r="Q632" t="s">
        <v>6082</v>
      </c>
    </row>
    <row r="633" spans="1:17" x14ac:dyDescent="0.2">
      <c r="A633" t="s">
        <v>1273</v>
      </c>
      <c r="B633" s="6" t="s">
        <v>711</v>
      </c>
      <c r="C633" s="6">
        <v>2</v>
      </c>
      <c r="D633" s="6" t="s">
        <v>1000</v>
      </c>
      <c r="E633" s="6" t="s">
        <v>1039</v>
      </c>
      <c r="F633" s="6" t="s">
        <v>365</v>
      </c>
      <c r="H633">
        <v>1.7000000000000001E-2</v>
      </c>
      <c r="Q633" t="s">
        <v>8810</v>
      </c>
    </row>
    <row r="634" spans="1:17" x14ac:dyDescent="0.2">
      <c r="A634" t="s">
        <v>1273</v>
      </c>
      <c r="B634" s="6" t="s">
        <v>711</v>
      </c>
      <c r="C634" s="6">
        <v>2</v>
      </c>
      <c r="D634" s="6" t="s">
        <v>1000</v>
      </c>
      <c r="E634" s="6" t="s">
        <v>1044</v>
      </c>
      <c r="F634" s="6" t="s">
        <v>343</v>
      </c>
      <c r="H634">
        <v>1.2E-2</v>
      </c>
      <c r="Q634" t="s">
        <v>8811</v>
      </c>
    </row>
    <row r="635" spans="1:17" x14ac:dyDescent="0.2">
      <c r="A635" t="s">
        <v>1273</v>
      </c>
      <c r="B635" s="6" t="s">
        <v>711</v>
      </c>
      <c r="C635" s="6">
        <v>2</v>
      </c>
      <c r="D635" s="6" t="s">
        <v>1000</v>
      </c>
      <c r="E635" s="6" t="s">
        <v>1045</v>
      </c>
      <c r="F635" s="6" t="s">
        <v>6760</v>
      </c>
      <c r="H635">
        <v>1.0999999999999999E-2</v>
      </c>
      <c r="Q635" t="s">
        <v>8812</v>
      </c>
    </row>
    <row r="636" spans="1:17" x14ac:dyDescent="0.2">
      <c r="A636" t="s">
        <v>1273</v>
      </c>
      <c r="B636" s="6" t="s">
        <v>711</v>
      </c>
      <c r="C636" s="6">
        <v>2</v>
      </c>
      <c r="D636" s="6" t="s">
        <v>1000</v>
      </c>
      <c r="E636" s="6" t="s">
        <v>1046</v>
      </c>
      <c r="F636" s="6" t="s">
        <v>332</v>
      </c>
      <c r="H636">
        <v>3.0000000000000001E-3</v>
      </c>
      <c r="Q636" t="s">
        <v>8813</v>
      </c>
    </row>
    <row r="637" spans="1:17" x14ac:dyDescent="0.2">
      <c r="A637" t="s">
        <v>1273</v>
      </c>
      <c r="B637" s="6" t="s">
        <v>711</v>
      </c>
      <c r="C637" s="6">
        <v>2</v>
      </c>
      <c r="D637" s="6" t="s">
        <v>1000</v>
      </c>
      <c r="E637" s="6" t="s">
        <v>1047</v>
      </c>
      <c r="F637" s="6" t="s">
        <v>332</v>
      </c>
      <c r="H637">
        <v>3.0000000000000001E-3</v>
      </c>
      <c r="Q637" t="s">
        <v>8814</v>
      </c>
    </row>
    <row r="638" spans="1:17" x14ac:dyDescent="0.2">
      <c r="A638" t="s">
        <v>1273</v>
      </c>
      <c r="B638" s="6" t="s">
        <v>711</v>
      </c>
      <c r="C638" s="6">
        <v>2</v>
      </c>
      <c r="D638" s="6" t="s">
        <v>1000</v>
      </c>
      <c r="E638" s="6" t="s">
        <v>1048</v>
      </c>
      <c r="F638" s="6" t="s">
        <v>332</v>
      </c>
      <c r="H638">
        <v>2E-3</v>
      </c>
      <c r="Q638" t="s">
        <v>8815</v>
      </c>
    </row>
    <row r="639" spans="1:17" x14ac:dyDescent="0.2">
      <c r="A639" t="s">
        <v>1273</v>
      </c>
      <c r="B639" s="6" t="s">
        <v>711</v>
      </c>
      <c r="C639" s="6">
        <v>2</v>
      </c>
      <c r="D639" s="6" t="s">
        <v>1000</v>
      </c>
      <c r="E639" s="6" t="s">
        <v>1049</v>
      </c>
      <c r="F639" s="6" t="s">
        <v>332</v>
      </c>
      <c r="H639">
        <v>1E-3</v>
      </c>
      <c r="Q639" t="s">
        <v>8816</v>
      </c>
    </row>
    <row r="640" spans="1:17" x14ac:dyDescent="0.2">
      <c r="A640" t="s">
        <v>1273</v>
      </c>
      <c r="B640" s="6" t="s">
        <v>711</v>
      </c>
      <c r="C640" s="6">
        <v>2</v>
      </c>
      <c r="D640" s="6" t="s">
        <v>1000</v>
      </c>
      <c r="E640" s="6" t="s">
        <v>1050</v>
      </c>
      <c r="F640" s="6" t="s">
        <v>332</v>
      </c>
      <c r="G640" s="6" t="s">
        <v>114</v>
      </c>
      <c r="Q640" t="s">
        <v>8817</v>
      </c>
    </row>
    <row r="641" spans="1:17" x14ac:dyDescent="0.2">
      <c r="A641" t="s">
        <v>1273</v>
      </c>
      <c r="B641" s="6" t="s">
        <v>711</v>
      </c>
      <c r="C641" s="6">
        <v>2</v>
      </c>
      <c r="D641" s="6" t="s">
        <v>1000</v>
      </c>
      <c r="E641" s="6" t="s">
        <v>1051</v>
      </c>
      <c r="F641" s="6" t="s">
        <v>332</v>
      </c>
      <c r="H641">
        <v>1.2999999999999999E-2</v>
      </c>
      <c r="M641">
        <v>5</v>
      </c>
      <c r="O641" t="s">
        <v>1054</v>
      </c>
    </row>
    <row r="642" spans="1:17" x14ac:dyDescent="0.2">
      <c r="A642" t="s">
        <v>1273</v>
      </c>
      <c r="B642" s="6" t="s">
        <v>711</v>
      </c>
      <c r="C642" s="6">
        <v>2</v>
      </c>
      <c r="D642" s="6" t="s">
        <v>1000</v>
      </c>
      <c r="E642" s="6" t="s">
        <v>1052</v>
      </c>
      <c r="F642" s="6" t="s">
        <v>332</v>
      </c>
      <c r="H642">
        <v>0.03</v>
      </c>
      <c r="O642" t="s">
        <v>1055</v>
      </c>
    </row>
    <row r="643" spans="1:17" x14ac:dyDescent="0.2">
      <c r="A643" t="s">
        <v>1273</v>
      </c>
      <c r="B643" s="6" t="s">
        <v>711</v>
      </c>
      <c r="C643" s="6">
        <v>4</v>
      </c>
      <c r="D643" s="6" t="s">
        <v>1000</v>
      </c>
      <c r="E643" s="6" t="s">
        <v>1056</v>
      </c>
      <c r="F643" s="6" t="s">
        <v>1311</v>
      </c>
      <c r="G643" s="6" t="s">
        <v>114</v>
      </c>
      <c r="Q643" t="s">
        <v>8821</v>
      </c>
    </row>
    <row r="644" spans="1:17" x14ac:dyDescent="0.2">
      <c r="A644" t="s">
        <v>1273</v>
      </c>
      <c r="B644" s="6" t="s">
        <v>711</v>
      </c>
      <c r="C644" s="6">
        <v>4</v>
      </c>
      <c r="D644" s="6" t="s">
        <v>1000</v>
      </c>
      <c r="E644" s="6" t="s">
        <v>1057</v>
      </c>
      <c r="F644" s="6" t="s">
        <v>1311</v>
      </c>
      <c r="H644">
        <v>3.0000000000000001E-3</v>
      </c>
      <c r="Q644" t="s">
        <v>8822</v>
      </c>
    </row>
    <row r="645" spans="1:17" x14ac:dyDescent="0.2">
      <c r="A645" t="s">
        <v>1273</v>
      </c>
      <c r="B645" s="6" t="s">
        <v>711</v>
      </c>
      <c r="C645" s="6">
        <v>4</v>
      </c>
      <c r="D645" s="6" t="s">
        <v>1000</v>
      </c>
      <c r="E645" s="6" t="s">
        <v>1058</v>
      </c>
      <c r="F645" s="6" t="s">
        <v>1311</v>
      </c>
      <c r="H645">
        <v>2E-3</v>
      </c>
      <c r="Q645" t="s">
        <v>8823</v>
      </c>
    </row>
    <row r="646" spans="1:17" x14ac:dyDescent="0.2">
      <c r="A646" t="s">
        <v>1273</v>
      </c>
      <c r="B646" s="6" t="s">
        <v>711</v>
      </c>
      <c r="C646" s="6">
        <v>4</v>
      </c>
      <c r="D646" s="6" t="s">
        <v>1000</v>
      </c>
      <c r="E646" s="6" t="s">
        <v>1059</v>
      </c>
      <c r="F646" s="6" t="s">
        <v>1311</v>
      </c>
      <c r="H646">
        <v>1E-3</v>
      </c>
      <c r="Q646" t="s">
        <v>8824</v>
      </c>
    </row>
    <row r="647" spans="1:17" x14ac:dyDescent="0.2">
      <c r="A647" t="s">
        <v>1273</v>
      </c>
      <c r="B647" s="6" t="s">
        <v>711</v>
      </c>
      <c r="C647" s="6">
        <v>4</v>
      </c>
      <c r="D647" s="6" t="s">
        <v>1000</v>
      </c>
      <c r="E647" s="6" t="s">
        <v>1060</v>
      </c>
      <c r="F647" s="6" t="s">
        <v>1061</v>
      </c>
      <c r="H647">
        <v>2.5999999999999999E-2</v>
      </c>
      <c r="M647" t="s">
        <v>802</v>
      </c>
      <c r="O647" t="s">
        <v>871</v>
      </c>
    </row>
    <row r="648" spans="1:17" x14ac:dyDescent="0.2">
      <c r="A648" t="s">
        <v>1273</v>
      </c>
      <c r="B648" s="6" t="s">
        <v>711</v>
      </c>
      <c r="C648" s="6">
        <v>4</v>
      </c>
      <c r="D648" s="6" t="s">
        <v>1000</v>
      </c>
      <c r="E648" s="6" t="s">
        <v>1063</v>
      </c>
      <c r="F648" s="6" t="s">
        <v>234</v>
      </c>
      <c r="H648" s="6">
        <f>0.748-0.427</f>
        <v>0.32100000000000001</v>
      </c>
      <c r="O648" t="s">
        <v>1062</v>
      </c>
    </row>
    <row r="649" spans="1:17" x14ac:dyDescent="0.2">
      <c r="A649" t="s">
        <v>1273</v>
      </c>
      <c r="B649" s="6" t="s">
        <v>711</v>
      </c>
      <c r="C649" s="6">
        <v>4</v>
      </c>
      <c r="D649" s="6" t="s">
        <v>1000</v>
      </c>
      <c r="E649" s="6" t="s">
        <v>1064</v>
      </c>
      <c r="F649" s="6" t="s">
        <v>1030</v>
      </c>
      <c r="H649">
        <v>0.01</v>
      </c>
      <c r="N649">
        <v>0</v>
      </c>
      <c r="Q649" t="s">
        <v>8826</v>
      </c>
    </row>
    <row r="650" spans="1:17" x14ac:dyDescent="0.2">
      <c r="A650" t="s">
        <v>1273</v>
      </c>
      <c r="B650" s="6" t="s">
        <v>711</v>
      </c>
      <c r="C650" s="6">
        <v>4</v>
      </c>
      <c r="D650" s="6" t="s">
        <v>1000</v>
      </c>
      <c r="E650" s="6" t="s">
        <v>1065</v>
      </c>
      <c r="F650" s="6" t="s">
        <v>1030</v>
      </c>
      <c r="H650">
        <v>1.2E-2</v>
      </c>
      <c r="N650">
        <v>0</v>
      </c>
      <c r="Q650" t="s">
        <v>8825</v>
      </c>
    </row>
    <row r="651" spans="1:17" x14ac:dyDescent="0.2">
      <c r="A651" t="s">
        <v>1273</v>
      </c>
      <c r="B651" s="6" t="s">
        <v>711</v>
      </c>
      <c r="C651" s="6">
        <v>4</v>
      </c>
      <c r="D651" s="6" t="s">
        <v>1000</v>
      </c>
      <c r="E651" s="6" t="s">
        <v>1066</v>
      </c>
      <c r="F651" s="6" t="s">
        <v>1030</v>
      </c>
      <c r="H651">
        <v>7.0000000000000001E-3</v>
      </c>
      <c r="N651">
        <v>0</v>
      </c>
      <c r="Q651" t="s">
        <v>8827</v>
      </c>
    </row>
    <row r="652" spans="1:17" x14ac:dyDescent="0.2">
      <c r="A652" t="s">
        <v>1273</v>
      </c>
      <c r="B652" s="6" t="s">
        <v>711</v>
      </c>
      <c r="C652" s="6">
        <v>4</v>
      </c>
      <c r="D652" s="6" t="s">
        <v>1000</v>
      </c>
      <c r="E652" s="6" t="s">
        <v>1067</v>
      </c>
      <c r="F652" s="6" t="s">
        <v>1030</v>
      </c>
      <c r="H652">
        <v>6.0000000000000001E-3</v>
      </c>
      <c r="N652">
        <v>0</v>
      </c>
      <c r="Q652" t="s">
        <v>8828</v>
      </c>
    </row>
    <row r="653" spans="1:17" x14ac:dyDescent="0.2">
      <c r="A653" t="s">
        <v>1273</v>
      </c>
      <c r="B653" s="6" t="s">
        <v>711</v>
      </c>
      <c r="C653" s="6">
        <v>4</v>
      </c>
      <c r="D653" s="6" t="s">
        <v>1000</v>
      </c>
      <c r="E653" s="6" t="s">
        <v>1068</v>
      </c>
      <c r="F653" s="6" t="s">
        <v>1030</v>
      </c>
      <c r="H653">
        <v>0.01</v>
      </c>
      <c r="N653">
        <v>0</v>
      </c>
      <c r="P653" t="s">
        <v>1081</v>
      </c>
      <c r="Q653" t="s">
        <v>8829</v>
      </c>
    </row>
    <row r="654" spans="1:17" x14ac:dyDescent="0.2">
      <c r="A654" t="s">
        <v>1273</v>
      </c>
      <c r="B654" s="6" t="s">
        <v>711</v>
      </c>
      <c r="C654" s="6">
        <v>4</v>
      </c>
      <c r="D654" s="6" t="s">
        <v>1000</v>
      </c>
      <c r="E654" s="6" t="s">
        <v>1069</v>
      </c>
      <c r="F654" t="s">
        <v>1005</v>
      </c>
      <c r="H654">
        <v>0.5</v>
      </c>
      <c r="P654" t="s">
        <v>1082</v>
      </c>
    </row>
    <row r="655" spans="1:17" x14ac:dyDescent="0.2">
      <c r="A655" t="s">
        <v>1273</v>
      </c>
      <c r="B655" s="6" t="s">
        <v>711</v>
      </c>
      <c r="C655" s="6">
        <v>4</v>
      </c>
      <c r="D655" s="6" t="s">
        <v>1000</v>
      </c>
      <c r="E655" s="6" t="s">
        <v>1070</v>
      </c>
      <c r="F655" s="6" t="s">
        <v>364</v>
      </c>
      <c r="H655">
        <v>4.0000000000000001E-3</v>
      </c>
      <c r="N655">
        <v>0</v>
      </c>
      <c r="Q655" t="s">
        <v>8830</v>
      </c>
    </row>
    <row r="656" spans="1:17" x14ac:dyDescent="0.2">
      <c r="A656" t="s">
        <v>1273</v>
      </c>
      <c r="B656" s="6" t="s">
        <v>711</v>
      </c>
      <c r="C656" s="6">
        <v>4</v>
      </c>
      <c r="D656" s="6" t="s">
        <v>1000</v>
      </c>
      <c r="E656" s="6" t="s">
        <v>1071</v>
      </c>
      <c r="F656" s="6" t="s">
        <v>364</v>
      </c>
      <c r="H656">
        <v>5.0000000000000001E-3</v>
      </c>
      <c r="N656">
        <v>0</v>
      </c>
      <c r="Q656" t="s">
        <v>8831</v>
      </c>
    </row>
    <row r="657" spans="1:17" x14ac:dyDescent="0.2">
      <c r="A657" t="s">
        <v>1273</v>
      </c>
      <c r="B657" s="6" t="s">
        <v>711</v>
      </c>
      <c r="C657" s="6">
        <v>4</v>
      </c>
      <c r="D657" s="6" t="s">
        <v>1000</v>
      </c>
      <c r="E657" s="6" t="s">
        <v>1072</v>
      </c>
      <c r="F657" s="6" t="s">
        <v>364</v>
      </c>
      <c r="H657">
        <v>1E-3</v>
      </c>
      <c r="N657">
        <v>0</v>
      </c>
      <c r="Q657" t="s">
        <v>8832</v>
      </c>
    </row>
    <row r="658" spans="1:17" x14ac:dyDescent="0.2">
      <c r="A658" t="s">
        <v>1273</v>
      </c>
      <c r="B658" s="6" t="s">
        <v>711</v>
      </c>
      <c r="C658" s="6">
        <v>4</v>
      </c>
      <c r="D658" s="6" t="s">
        <v>1000</v>
      </c>
      <c r="E658" s="6" t="s">
        <v>1073</v>
      </c>
      <c r="F658" s="6" t="s">
        <v>364</v>
      </c>
      <c r="H658">
        <v>1E-3</v>
      </c>
      <c r="N658">
        <v>0</v>
      </c>
      <c r="Q658" t="s">
        <v>8833</v>
      </c>
    </row>
    <row r="659" spans="1:17" x14ac:dyDescent="0.2">
      <c r="A659" t="s">
        <v>1273</v>
      </c>
      <c r="B659" s="6" t="s">
        <v>711</v>
      </c>
      <c r="C659" s="6">
        <v>4</v>
      </c>
      <c r="D659" s="6" t="s">
        <v>1000</v>
      </c>
      <c r="E659" s="6" t="s">
        <v>1074</v>
      </c>
      <c r="F659" s="6" t="s">
        <v>364</v>
      </c>
      <c r="H659">
        <v>1E-3</v>
      </c>
      <c r="N659">
        <v>0</v>
      </c>
      <c r="Q659" t="s">
        <v>8834</v>
      </c>
    </row>
    <row r="660" spans="1:17" x14ac:dyDescent="0.2">
      <c r="A660" t="s">
        <v>1273</v>
      </c>
      <c r="B660" s="6" t="s">
        <v>711</v>
      </c>
      <c r="C660" s="6">
        <v>4</v>
      </c>
      <c r="D660" s="6" t="s">
        <v>1000</v>
      </c>
      <c r="E660" s="6" t="s">
        <v>1075</v>
      </c>
      <c r="F660" s="6" t="s">
        <v>364</v>
      </c>
      <c r="H660">
        <v>5.1999999999999998E-2</v>
      </c>
      <c r="M660">
        <v>10</v>
      </c>
      <c r="N660">
        <v>0</v>
      </c>
      <c r="O660" t="s">
        <v>123</v>
      </c>
    </row>
    <row r="661" spans="1:17" x14ac:dyDescent="0.2">
      <c r="A661" t="s">
        <v>1273</v>
      </c>
      <c r="B661" s="6" t="s">
        <v>711</v>
      </c>
      <c r="C661" s="6">
        <v>4</v>
      </c>
      <c r="D661" s="6" t="s">
        <v>1000</v>
      </c>
      <c r="E661" s="6" t="s">
        <v>1076</v>
      </c>
      <c r="F661" s="6" t="s">
        <v>428</v>
      </c>
      <c r="H661">
        <v>8.2000000000000003E-2</v>
      </c>
      <c r="M661" t="s">
        <v>802</v>
      </c>
    </row>
    <row r="662" spans="1:17" x14ac:dyDescent="0.2">
      <c r="A662" t="s">
        <v>1273</v>
      </c>
      <c r="B662" s="6" t="s">
        <v>711</v>
      </c>
      <c r="C662" s="6">
        <v>4</v>
      </c>
      <c r="D662" s="6" t="s">
        <v>1000</v>
      </c>
      <c r="E662" s="6" t="s">
        <v>1077</v>
      </c>
      <c r="F662" s="6" t="s">
        <v>1083</v>
      </c>
      <c r="H662">
        <v>1.0999999999999999E-2</v>
      </c>
      <c r="M662" s="6" t="s">
        <v>802</v>
      </c>
      <c r="N662" s="6"/>
    </row>
    <row r="663" spans="1:17" x14ac:dyDescent="0.2">
      <c r="A663" t="s">
        <v>1273</v>
      </c>
      <c r="B663" s="6" t="s">
        <v>711</v>
      </c>
      <c r="C663" s="6">
        <v>4</v>
      </c>
      <c r="D663" s="6" t="s">
        <v>1000</v>
      </c>
      <c r="E663" s="6" t="s">
        <v>1078</v>
      </c>
      <c r="F663" s="6" t="s">
        <v>343</v>
      </c>
      <c r="H663">
        <v>2.7E-2</v>
      </c>
      <c r="Q663" t="s">
        <v>8836</v>
      </c>
    </row>
    <row r="664" spans="1:17" x14ac:dyDescent="0.2">
      <c r="A664" t="s">
        <v>1273</v>
      </c>
      <c r="B664" s="6" t="s">
        <v>711</v>
      </c>
      <c r="C664" s="6">
        <v>4</v>
      </c>
      <c r="D664" s="6" t="s">
        <v>1000</v>
      </c>
      <c r="E664" s="6" t="s">
        <v>1079</v>
      </c>
      <c r="F664" s="6" t="s">
        <v>343</v>
      </c>
      <c r="H664">
        <v>2.9000000000000001E-2</v>
      </c>
      <c r="Q664" t="s">
        <v>8837</v>
      </c>
    </row>
    <row r="665" spans="1:17" x14ac:dyDescent="0.2">
      <c r="A665" t="s">
        <v>1273</v>
      </c>
      <c r="B665" s="6" t="s">
        <v>711</v>
      </c>
      <c r="C665" s="6">
        <v>4</v>
      </c>
      <c r="D665" s="6" t="s">
        <v>1000</v>
      </c>
      <c r="E665" s="6" t="s">
        <v>1080</v>
      </c>
      <c r="F665" s="6" t="s">
        <v>3930</v>
      </c>
      <c r="H665">
        <v>1.9E-2</v>
      </c>
      <c r="Q665" t="s">
        <v>8838</v>
      </c>
    </row>
    <row r="666" spans="1:17" x14ac:dyDescent="0.2">
      <c r="A666" t="s">
        <v>1273</v>
      </c>
      <c r="B666" s="6" t="s">
        <v>711</v>
      </c>
      <c r="C666" s="6">
        <v>4</v>
      </c>
      <c r="D666" s="6" t="s">
        <v>1000</v>
      </c>
      <c r="E666" s="6" t="s">
        <v>1088</v>
      </c>
      <c r="F666" s="6" t="s">
        <v>343</v>
      </c>
      <c r="H666">
        <v>2.8000000000000001E-2</v>
      </c>
      <c r="Q666" t="s">
        <v>8839</v>
      </c>
    </row>
    <row r="667" spans="1:17" x14ac:dyDescent="0.2">
      <c r="A667" t="s">
        <v>1273</v>
      </c>
      <c r="B667" s="6" t="s">
        <v>711</v>
      </c>
      <c r="C667" s="6">
        <v>4</v>
      </c>
      <c r="D667" s="6" t="s">
        <v>1000</v>
      </c>
      <c r="E667" s="6" t="s">
        <v>1089</v>
      </c>
      <c r="F667" s="6" t="s">
        <v>3930</v>
      </c>
      <c r="H667">
        <v>0.02</v>
      </c>
      <c r="Q667" t="s">
        <v>8840</v>
      </c>
    </row>
    <row r="668" spans="1:17" x14ac:dyDescent="0.2">
      <c r="A668" t="s">
        <v>1273</v>
      </c>
      <c r="B668" s="6" t="s">
        <v>711</v>
      </c>
      <c r="C668" s="6">
        <v>4</v>
      </c>
      <c r="D668" s="6" t="s">
        <v>1000</v>
      </c>
      <c r="E668" s="6" t="s">
        <v>1090</v>
      </c>
      <c r="F668" s="6" t="s">
        <v>8842</v>
      </c>
      <c r="H668">
        <v>1.9E-2</v>
      </c>
      <c r="Q668" t="s">
        <v>8841</v>
      </c>
    </row>
    <row r="669" spans="1:17" x14ac:dyDescent="0.2">
      <c r="A669" t="s">
        <v>1273</v>
      </c>
      <c r="B669" s="6" t="s">
        <v>711</v>
      </c>
      <c r="C669" s="6">
        <v>4</v>
      </c>
      <c r="D669" s="6" t="s">
        <v>1000</v>
      </c>
      <c r="E669" s="6" t="s">
        <v>1091</v>
      </c>
      <c r="F669" s="6" t="s">
        <v>5936</v>
      </c>
      <c r="H669">
        <v>1E-3</v>
      </c>
      <c r="M669">
        <v>3</v>
      </c>
      <c r="Q669" t="s">
        <v>8835</v>
      </c>
    </row>
    <row r="670" spans="1:17" x14ac:dyDescent="0.2">
      <c r="A670" t="s">
        <v>1273</v>
      </c>
      <c r="B670" s="6" t="s">
        <v>711</v>
      </c>
      <c r="C670" s="6">
        <v>4</v>
      </c>
      <c r="D670" s="6" t="s">
        <v>1000</v>
      </c>
      <c r="E670" s="6" t="s">
        <v>1092</v>
      </c>
      <c r="F670" t="s">
        <v>8843</v>
      </c>
      <c r="H670">
        <v>3.0000000000000001E-3</v>
      </c>
      <c r="M670">
        <v>3</v>
      </c>
      <c r="Q670" t="s">
        <v>8835</v>
      </c>
    </row>
    <row r="671" spans="1:17" x14ac:dyDescent="0.2">
      <c r="A671" t="s">
        <v>1273</v>
      </c>
      <c r="B671" s="6" t="s">
        <v>711</v>
      </c>
      <c r="C671" s="6">
        <v>4</v>
      </c>
      <c r="D671" s="6" t="s">
        <v>1000</v>
      </c>
      <c r="E671" s="6" t="s">
        <v>1093</v>
      </c>
      <c r="F671" s="6" t="s">
        <v>343</v>
      </c>
      <c r="H671">
        <v>1.0999999999999999E-2</v>
      </c>
      <c r="Q671" t="s">
        <v>8844</v>
      </c>
    </row>
    <row r="672" spans="1:17" x14ac:dyDescent="0.2">
      <c r="A672" t="s">
        <v>1273</v>
      </c>
      <c r="B672" s="6" t="s">
        <v>711</v>
      </c>
      <c r="C672" s="6">
        <v>4</v>
      </c>
      <c r="D672" s="6" t="s">
        <v>1000</v>
      </c>
      <c r="E672" s="6" t="s">
        <v>1094</v>
      </c>
      <c r="F672" s="6" t="s">
        <v>343</v>
      </c>
      <c r="H672">
        <v>3.0000000000000001E-3</v>
      </c>
      <c r="Q672" t="s">
        <v>8845</v>
      </c>
    </row>
    <row r="673" spans="1:17" x14ac:dyDescent="0.2">
      <c r="A673" t="s">
        <v>1273</v>
      </c>
      <c r="B673" s="6" t="s">
        <v>711</v>
      </c>
      <c r="C673" s="6">
        <v>4</v>
      </c>
      <c r="D673" s="6" t="s">
        <v>1000</v>
      </c>
      <c r="E673" s="6" t="s">
        <v>1095</v>
      </c>
      <c r="F673" s="6" t="s">
        <v>343</v>
      </c>
      <c r="H673">
        <v>4.0000000000000001E-3</v>
      </c>
      <c r="Q673" t="s">
        <v>8846</v>
      </c>
    </row>
    <row r="674" spans="1:17" x14ac:dyDescent="0.2">
      <c r="A674" t="s">
        <v>1273</v>
      </c>
      <c r="B674" s="6" t="s">
        <v>711</v>
      </c>
      <c r="C674" s="6">
        <v>4</v>
      </c>
      <c r="D674" s="6" t="s">
        <v>1000</v>
      </c>
      <c r="E674" s="6" t="s">
        <v>1096</v>
      </c>
      <c r="F674" s="6" t="s">
        <v>343</v>
      </c>
      <c r="H674">
        <v>3.0000000000000001E-3</v>
      </c>
      <c r="Q674" t="s">
        <v>8847</v>
      </c>
    </row>
    <row r="675" spans="1:17" x14ac:dyDescent="0.2">
      <c r="A675" t="s">
        <v>1273</v>
      </c>
      <c r="B675" s="6" t="s">
        <v>711</v>
      </c>
      <c r="C675" s="6">
        <v>4</v>
      </c>
      <c r="D675" s="6" t="s">
        <v>1000</v>
      </c>
      <c r="E675" s="6" t="s">
        <v>1097</v>
      </c>
      <c r="F675" s="6" t="s">
        <v>343</v>
      </c>
      <c r="H675">
        <v>7.0000000000000001E-3</v>
      </c>
      <c r="Q675" t="s">
        <v>8848</v>
      </c>
    </row>
    <row r="676" spans="1:17" x14ac:dyDescent="0.2">
      <c r="A676" t="s">
        <v>1273</v>
      </c>
      <c r="B676" s="6" t="s">
        <v>711</v>
      </c>
      <c r="C676" s="6">
        <v>4</v>
      </c>
      <c r="D676" s="6" t="s">
        <v>1000</v>
      </c>
      <c r="E676" s="6" t="s">
        <v>1098</v>
      </c>
      <c r="F676" s="6" t="s">
        <v>343</v>
      </c>
      <c r="H676">
        <v>1.4999999999999999E-2</v>
      </c>
      <c r="M676">
        <v>3</v>
      </c>
    </row>
    <row r="677" spans="1:17" x14ac:dyDescent="0.2">
      <c r="A677" t="s">
        <v>1273</v>
      </c>
      <c r="B677" s="6" t="s">
        <v>711</v>
      </c>
      <c r="C677" s="6">
        <v>4</v>
      </c>
      <c r="D677" s="6" t="s">
        <v>1000</v>
      </c>
      <c r="E677" s="6" t="s">
        <v>1099</v>
      </c>
      <c r="F677" s="6" t="s">
        <v>1538</v>
      </c>
      <c r="G677" s="6" t="s">
        <v>114</v>
      </c>
      <c r="Q677" t="s">
        <v>8849</v>
      </c>
    </row>
    <row r="678" spans="1:17" x14ac:dyDescent="0.2">
      <c r="A678" t="s">
        <v>1273</v>
      </c>
      <c r="B678" s="6" t="s">
        <v>711</v>
      </c>
      <c r="C678" s="6">
        <v>4</v>
      </c>
      <c r="D678" s="6" t="s">
        <v>1000</v>
      </c>
      <c r="E678" s="6" t="s">
        <v>1100</v>
      </c>
      <c r="F678" s="6" t="s">
        <v>5332</v>
      </c>
      <c r="G678" s="6" t="s">
        <v>114</v>
      </c>
      <c r="Q678" t="s">
        <v>8850</v>
      </c>
    </row>
    <row r="679" spans="1:17" x14ac:dyDescent="0.2">
      <c r="A679" t="s">
        <v>1273</v>
      </c>
      <c r="B679" s="6" t="s">
        <v>711</v>
      </c>
      <c r="C679" s="6">
        <v>4</v>
      </c>
      <c r="D679" s="6" t="s">
        <v>1000</v>
      </c>
      <c r="E679" s="6" t="s">
        <v>1101</v>
      </c>
      <c r="F679" s="6" t="s">
        <v>5332</v>
      </c>
      <c r="G679" s="6" t="s">
        <v>114</v>
      </c>
      <c r="Q679" t="s">
        <v>8851</v>
      </c>
    </row>
    <row r="680" spans="1:17" x14ac:dyDescent="0.2">
      <c r="A680" t="s">
        <v>1273</v>
      </c>
      <c r="B680" s="6" t="s">
        <v>711</v>
      </c>
      <c r="C680" s="6">
        <v>3</v>
      </c>
      <c r="D680" s="6" t="s">
        <v>1000</v>
      </c>
      <c r="E680" s="6" t="s">
        <v>1102</v>
      </c>
      <c r="F680" s="6" t="s">
        <v>847</v>
      </c>
      <c r="H680">
        <v>0.3</v>
      </c>
      <c r="O680" t="s">
        <v>1103</v>
      </c>
    </row>
    <row r="681" spans="1:17" x14ac:dyDescent="0.2">
      <c r="A681" t="s">
        <v>1273</v>
      </c>
      <c r="B681" s="6" t="s">
        <v>711</v>
      </c>
      <c r="C681" s="6">
        <v>3</v>
      </c>
      <c r="D681" s="6" t="s">
        <v>1000</v>
      </c>
      <c r="E681" s="6" t="s">
        <v>1104</v>
      </c>
      <c r="F681" s="6" t="s">
        <v>871</v>
      </c>
      <c r="H681">
        <v>0.113</v>
      </c>
    </row>
    <row r="682" spans="1:17" x14ac:dyDescent="0.2">
      <c r="A682" t="s">
        <v>1273</v>
      </c>
      <c r="B682" s="6" t="s">
        <v>711</v>
      </c>
      <c r="C682" s="6">
        <v>3</v>
      </c>
      <c r="D682" s="6" t="s">
        <v>1000</v>
      </c>
      <c r="E682" s="6" t="s">
        <v>1105</v>
      </c>
      <c r="F682" s="6" t="s">
        <v>8633</v>
      </c>
      <c r="H682">
        <f>1.291-0.593</f>
        <v>0.69799999999999995</v>
      </c>
      <c r="O682" t="s">
        <v>1106</v>
      </c>
    </row>
    <row r="683" spans="1:17" x14ac:dyDescent="0.2">
      <c r="A683" t="s">
        <v>1273</v>
      </c>
      <c r="B683" s="6" t="s">
        <v>711</v>
      </c>
      <c r="C683" s="6">
        <v>3</v>
      </c>
      <c r="D683" s="6" t="s">
        <v>1000</v>
      </c>
      <c r="E683" s="6" t="s">
        <v>1107</v>
      </c>
      <c r="F683" s="6" t="s">
        <v>8633</v>
      </c>
      <c r="H683">
        <v>7.8E-2</v>
      </c>
      <c r="N683">
        <v>0</v>
      </c>
      <c r="Q683" t="s">
        <v>8852</v>
      </c>
    </row>
    <row r="684" spans="1:17" x14ac:dyDescent="0.2">
      <c r="A684" t="s">
        <v>1273</v>
      </c>
      <c r="B684" s="6" t="s">
        <v>711</v>
      </c>
      <c r="C684" s="6">
        <v>3</v>
      </c>
      <c r="D684" s="6" t="s">
        <v>1000</v>
      </c>
      <c r="E684" s="6" t="s">
        <v>1108</v>
      </c>
      <c r="F684" s="6" t="s">
        <v>8633</v>
      </c>
      <c r="H684">
        <v>6.4000000000000001E-2</v>
      </c>
      <c r="N684">
        <v>0</v>
      </c>
      <c r="Q684" t="s">
        <v>8853</v>
      </c>
    </row>
    <row r="685" spans="1:17" x14ac:dyDescent="0.2">
      <c r="A685" t="s">
        <v>1273</v>
      </c>
      <c r="B685" s="6" t="s">
        <v>711</v>
      </c>
      <c r="C685" s="6">
        <v>3</v>
      </c>
      <c r="D685" s="6" t="s">
        <v>1000</v>
      </c>
      <c r="E685" s="6" t="s">
        <v>1109</v>
      </c>
      <c r="F685" s="6" t="s">
        <v>8633</v>
      </c>
      <c r="H685">
        <v>0.19700000000000001</v>
      </c>
      <c r="M685">
        <v>5</v>
      </c>
      <c r="N685">
        <v>0</v>
      </c>
      <c r="O685" t="s">
        <v>481</v>
      </c>
    </row>
    <row r="686" spans="1:17" x14ac:dyDescent="0.2">
      <c r="A686" t="s">
        <v>1273</v>
      </c>
      <c r="B686" s="6" t="s">
        <v>711</v>
      </c>
      <c r="C686" s="6">
        <v>3</v>
      </c>
      <c r="D686" s="6" t="s">
        <v>1000</v>
      </c>
      <c r="E686" s="6" t="s">
        <v>1110</v>
      </c>
      <c r="F686" s="6" t="s">
        <v>8633</v>
      </c>
      <c r="H686">
        <f>0.792-0.41</f>
        <v>0.38200000000000006</v>
      </c>
    </row>
    <row r="687" spans="1:17" x14ac:dyDescent="0.2">
      <c r="A687" t="s">
        <v>1273</v>
      </c>
      <c r="B687" s="6" t="s">
        <v>711</v>
      </c>
      <c r="C687" s="6">
        <v>3</v>
      </c>
      <c r="D687" s="6" t="s">
        <v>1000</v>
      </c>
      <c r="E687" s="6" t="s">
        <v>1111</v>
      </c>
      <c r="F687" s="6" t="s">
        <v>8633</v>
      </c>
      <c r="H687">
        <v>8.0000000000000002E-3</v>
      </c>
      <c r="N687">
        <v>0</v>
      </c>
      <c r="Q687" t="s">
        <v>8854</v>
      </c>
    </row>
    <row r="688" spans="1:17" x14ac:dyDescent="0.2">
      <c r="A688" t="s">
        <v>1273</v>
      </c>
      <c r="B688" s="6" t="s">
        <v>711</v>
      </c>
      <c r="C688" s="6">
        <v>3</v>
      </c>
      <c r="D688" s="6" t="s">
        <v>1000</v>
      </c>
      <c r="E688" s="6" t="s">
        <v>1112</v>
      </c>
      <c r="F688" s="6" t="s">
        <v>8633</v>
      </c>
      <c r="H688">
        <v>3.0000000000000001E-3</v>
      </c>
      <c r="N688">
        <v>0</v>
      </c>
      <c r="Q688" t="s">
        <v>8855</v>
      </c>
    </row>
    <row r="689" spans="1:17" x14ac:dyDescent="0.2">
      <c r="A689" t="s">
        <v>1273</v>
      </c>
      <c r="B689" s="6" t="s">
        <v>711</v>
      </c>
      <c r="C689" s="6">
        <v>3</v>
      </c>
      <c r="D689" s="6" t="s">
        <v>1000</v>
      </c>
      <c r="E689" s="6" t="s">
        <v>1113</v>
      </c>
      <c r="F689" s="6" t="s">
        <v>8633</v>
      </c>
      <c r="H689">
        <v>2.1999999999999999E-2</v>
      </c>
      <c r="N689">
        <v>0</v>
      </c>
    </row>
    <row r="690" spans="1:17" x14ac:dyDescent="0.2">
      <c r="A690" t="s">
        <v>1273</v>
      </c>
      <c r="B690" s="6" t="s">
        <v>711</v>
      </c>
      <c r="C690" s="6">
        <v>3</v>
      </c>
      <c r="D690" s="6" t="s">
        <v>1000</v>
      </c>
      <c r="E690" s="6" t="s">
        <v>1114</v>
      </c>
      <c r="F690" s="6" t="s">
        <v>8633</v>
      </c>
      <c r="H690">
        <v>6.2E-2</v>
      </c>
      <c r="M690">
        <v>5</v>
      </c>
      <c r="N690">
        <v>0</v>
      </c>
      <c r="O690" t="s">
        <v>481</v>
      </c>
    </row>
    <row r="691" spans="1:17" x14ac:dyDescent="0.2">
      <c r="A691" t="s">
        <v>1273</v>
      </c>
      <c r="B691" s="6" t="s">
        <v>711</v>
      </c>
      <c r="C691" s="6">
        <v>3</v>
      </c>
      <c r="D691" s="6" t="s">
        <v>1000</v>
      </c>
      <c r="E691" s="6" t="s">
        <v>1115</v>
      </c>
      <c r="F691" s="6" t="s">
        <v>343</v>
      </c>
      <c r="H691">
        <f>0.57-0.4</f>
        <v>0.16999999999999993</v>
      </c>
    </row>
    <row r="692" spans="1:17" x14ac:dyDescent="0.2">
      <c r="A692" t="s">
        <v>1273</v>
      </c>
      <c r="B692" s="6" t="s">
        <v>711</v>
      </c>
      <c r="C692" s="6">
        <v>3</v>
      </c>
      <c r="D692" s="6" t="s">
        <v>1000</v>
      </c>
      <c r="E692" s="6" t="s">
        <v>1116</v>
      </c>
      <c r="F692" s="6" t="s">
        <v>343</v>
      </c>
      <c r="H692">
        <v>0.1</v>
      </c>
      <c r="N692">
        <v>0</v>
      </c>
      <c r="Q692" t="s">
        <v>8856</v>
      </c>
    </row>
    <row r="693" spans="1:17" x14ac:dyDescent="0.2">
      <c r="A693" t="s">
        <v>1273</v>
      </c>
      <c r="B693" s="6" t="s">
        <v>711</v>
      </c>
      <c r="C693" s="6">
        <v>3</v>
      </c>
      <c r="D693" s="6" t="s">
        <v>1000</v>
      </c>
      <c r="E693" s="6" t="s">
        <v>1117</v>
      </c>
      <c r="F693" s="6" t="s">
        <v>343</v>
      </c>
      <c r="H693">
        <v>4.0000000000000001E-3</v>
      </c>
      <c r="N693">
        <v>0</v>
      </c>
      <c r="Q693" t="s">
        <v>8857</v>
      </c>
    </row>
    <row r="694" spans="1:17" x14ac:dyDescent="0.2">
      <c r="A694" t="s">
        <v>1273</v>
      </c>
      <c r="B694" s="6" t="s">
        <v>711</v>
      </c>
      <c r="C694" s="6">
        <v>3</v>
      </c>
      <c r="D694" s="6" t="s">
        <v>1000</v>
      </c>
      <c r="E694" s="6" t="s">
        <v>1118</v>
      </c>
      <c r="F694" s="6" t="s">
        <v>343</v>
      </c>
      <c r="H694">
        <v>4.0000000000000001E-3</v>
      </c>
      <c r="N694">
        <v>0</v>
      </c>
      <c r="Q694" t="s">
        <v>8858</v>
      </c>
    </row>
    <row r="695" spans="1:17" x14ac:dyDescent="0.2">
      <c r="A695" t="s">
        <v>1273</v>
      </c>
      <c r="B695" s="6" t="s">
        <v>711</v>
      </c>
      <c r="C695" s="6">
        <v>3</v>
      </c>
      <c r="D695" s="6" t="s">
        <v>1000</v>
      </c>
      <c r="E695" s="6" t="s">
        <v>1119</v>
      </c>
      <c r="F695" s="6" t="s">
        <v>847</v>
      </c>
      <c r="H695">
        <f>9.3-0.4</f>
        <v>8.9</v>
      </c>
      <c r="M695" t="s">
        <v>802</v>
      </c>
      <c r="O695" t="s">
        <v>1120</v>
      </c>
    </row>
    <row r="696" spans="1:17" x14ac:dyDescent="0.2">
      <c r="A696" t="s">
        <v>1273</v>
      </c>
      <c r="B696" s="6" t="s">
        <v>711</v>
      </c>
      <c r="C696" s="6">
        <v>3</v>
      </c>
      <c r="D696" s="6" t="s">
        <v>1000</v>
      </c>
      <c r="E696" s="6" t="s">
        <v>1121</v>
      </c>
      <c r="F696" s="6" t="s">
        <v>847</v>
      </c>
      <c r="H696">
        <v>0.106</v>
      </c>
      <c r="O696" t="s">
        <v>1152</v>
      </c>
    </row>
    <row r="697" spans="1:17" x14ac:dyDescent="0.2">
      <c r="A697" t="s">
        <v>1273</v>
      </c>
      <c r="B697" s="6" t="s">
        <v>711</v>
      </c>
      <c r="C697" s="6">
        <v>3</v>
      </c>
      <c r="D697" s="6" t="s">
        <v>1000</v>
      </c>
      <c r="E697" s="6" t="s">
        <v>1122</v>
      </c>
      <c r="F697" s="6" t="s">
        <v>343</v>
      </c>
      <c r="H697">
        <v>4.0000000000000001E-3</v>
      </c>
      <c r="N697">
        <v>0</v>
      </c>
      <c r="Q697" t="s">
        <v>8859</v>
      </c>
    </row>
    <row r="698" spans="1:17" x14ac:dyDescent="0.2">
      <c r="A698" t="s">
        <v>1273</v>
      </c>
      <c r="B698" s="6" t="s">
        <v>711</v>
      </c>
      <c r="C698" s="6">
        <v>3</v>
      </c>
      <c r="D698" s="6" t="s">
        <v>1000</v>
      </c>
      <c r="E698" s="6" t="s">
        <v>1123</v>
      </c>
      <c r="F698" s="6" t="s">
        <v>343</v>
      </c>
      <c r="H698">
        <v>2E-3</v>
      </c>
      <c r="N698">
        <v>0</v>
      </c>
      <c r="Q698" t="s">
        <v>8860</v>
      </c>
    </row>
    <row r="699" spans="1:17" x14ac:dyDescent="0.2">
      <c r="A699" t="s">
        <v>1273</v>
      </c>
      <c r="B699" s="6" t="s">
        <v>711</v>
      </c>
      <c r="C699" s="6">
        <v>3</v>
      </c>
      <c r="D699" s="6" t="s">
        <v>1000</v>
      </c>
      <c r="E699" s="6" t="s">
        <v>1124</v>
      </c>
      <c r="F699" s="6" t="s">
        <v>343</v>
      </c>
      <c r="H699">
        <v>2.8000000000000001E-2</v>
      </c>
      <c r="M699">
        <v>5</v>
      </c>
      <c r="N699">
        <v>0</v>
      </c>
    </row>
    <row r="700" spans="1:17" x14ac:dyDescent="0.2">
      <c r="A700" t="s">
        <v>1273</v>
      </c>
      <c r="B700" s="6" t="s">
        <v>711</v>
      </c>
      <c r="C700" s="6">
        <v>3</v>
      </c>
      <c r="D700" s="6" t="s">
        <v>1000</v>
      </c>
      <c r="E700" s="6" t="s">
        <v>1125</v>
      </c>
      <c r="F700" s="6" t="s">
        <v>364</v>
      </c>
      <c r="H700" s="6">
        <f>0.73-0.587</f>
        <v>0.14300000000000002</v>
      </c>
    </row>
    <row r="701" spans="1:17" x14ac:dyDescent="0.2">
      <c r="A701" t="s">
        <v>1273</v>
      </c>
      <c r="B701" s="6" t="s">
        <v>711</v>
      </c>
      <c r="C701" s="6">
        <v>3</v>
      </c>
      <c r="D701" s="6" t="s">
        <v>1000</v>
      </c>
      <c r="E701" s="6" t="s">
        <v>1126</v>
      </c>
      <c r="F701" s="6" t="s">
        <v>364</v>
      </c>
      <c r="H701">
        <v>5.0000000000000001E-3</v>
      </c>
      <c r="N701">
        <v>0</v>
      </c>
    </row>
    <row r="702" spans="1:17" x14ac:dyDescent="0.2">
      <c r="A702" t="s">
        <v>1273</v>
      </c>
      <c r="B702" s="6" t="s">
        <v>711</v>
      </c>
      <c r="C702" s="6">
        <v>3</v>
      </c>
      <c r="D702" s="6" t="s">
        <v>1000</v>
      </c>
      <c r="E702" s="6" t="s">
        <v>1127</v>
      </c>
      <c r="F702" s="6" t="s">
        <v>364</v>
      </c>
      <c r="H702">
        <v>1.7000000000000001E-2</v>
      </c>
      <c r="N702">
        <v>0</v>
      </c>
      <c r="Q702" t="s">
        <v>8861</v>
      </c>
    </row>
    <row r="703" spans="1:17" x14ac:dyDescent="0.2">
      <c r="A703" t="s">
        <v>1273</v>
      </c>
      <c r="B703" s="6" t="s">
        <v>711</v>
      </c>
      <c r="C703" s="6">
        <v>3</v>
      </c>
      <c r="D703" s="6" t="s">
        <v>1000</v>
      </c>
      <c r="E703" s="6" t="s">
        <v>1129</v>
      </c>
      <c r="F703" s="6" t="s">
        <v>364</v>
      </c>
      <c r="H703">
        <v>1.2999999999999999E-2</v>
      </c>
      <c r="N703">
        <v>0</v>
      </c>
      <c r="Q703" t="s">
        <v>8862</v>
      </c>
    </row>
    <row r="704" spans="1:17" x14ac:dyDescent="0.2">
      <c r="A704" t="s">
        <v>1273</v>
      </c>
      <c r="B704" s="6" t="s">
        <v>711</v>
      </c>
      <c r="C704" s="6">
        <v>3</v>
      </c>
      <c r="D704" s="6" t="s">
        <v>1000</v>
      </c>
      <c r="E704" s="6" t="s">
        <v>1130</v>
      </c>
      <c r="F704" s="6" t="s">
        <v>364</v>
      </c>
      <c r="H704">
        <v>6.0000000000000001E-3</v>
      </c>
      <c r="N704">
        <v>0</v>
      </c>
      <c r="Q704" t="s">
        <v>8863</v>
      </c>
    </row>
    <row r="705" spans="1:17" x14ac:dyDescent="0.2">
      <c r="A705" t="s">
        <v>1273</v>
      </c>
      <c r="B705" s="6" t="s">
        <v>711</v>
      </c>
      <c r="C705" s="6">
        <v>3</v>
      </c>
      <c r="D705" s="6" t="s">
        <v>1000</v>
      </c>
      <c r="E705" s="6" t="s">
        <v>1131</v>
      </c>
      <c r="F705" s="6" t="s">
        <v>364</v>
      </c>
      <c r="H705">
        <v>3.0000000000000001E-3</v>
      </c>
      <c r="N705">
        <v>0</v>
      </c>
    </row>
    <row r="706" spans="1:17" x14ac:dyDescent="0.2">
      <c r="A706" t="s">
        <v>1273</v>
      </c>
      <c r="B706" s="6" t="s">
        <v>711</v>
      </c>
      <c r="C706" s="6">
        <v>3</v>
      </c>
      <c r="D706" s="6" t="s">
        <v>1000</v>
      </c>
      <c r="E706" s="6" t="s">
        <v>1132</v>
      </c>
      <c r="F706" s="6" t="s">
        <v>364</v>
      </c>
      <c r="H706">
        <v>3.7999999999999999E-2</v>
      </c>
      <c r="M706">
        <v>5</v>
      </c>
      <c r="N706">
        <v>0</v>
      </c>
    </row>
    <row r="707" spans="1:17" x14ac:dyDescent="0.2">
      <c r="A707" t="s">
        <v>1273</v>
      </c>
      <c r="B707" s="6" t="s">
        <v>711</v>
      </c>
      <c r="C707" s="6">
        <v>3</v>
      </c>
      <c r="D707" s="6" t="s">
        <v>1000</v>
      </c>
      <c r="E707" s="6" t="s">
        <v>1128</v>
      </c>
      <c r="F707" s="6" t="s">
        <v>871</v>
      </c>
      <c r="H707">
        <v>1.2999999999999999E-2</v>
      </c>
    </row>
    <row r="708" spans="1:17" x14ac:dyDescent="0.2">
      <c r="A708" t="s">
        <v>1273</v>
      </c>
      <c r="B708" s="6" t="s">
        <v>711</v>
      </c>
      <c r="C708" s="6">
        <v>3</v>
      </c>
      <c r="D708" s="6" t="s">
        <v>1000</v>
      </c>
      <c r="E708" s="6" t="s">
        <v>1133</v>
      </c>
      <c r="F708" t="s">
        <v>5848</v>
      </c>
      <c r="H708">
        <v>3.2000000000000001E-2</v>
      </c>
      <c r="Q708" t="s">
        <v>8868</v>
      </c>
    </row>
    <row r="709" spans="1:17" x14ac:dyDescent="0.2">
      <c r="A709" t="s">
        <v>1273</v>
      </c>
      <c r="B709" s="6" t="s">
        <v>711</v>
      </c>
      <c r="C709" s="6">
        <v>3</v>
      </c>
      <c r="D709" s="6" t="s">
        <v>1000</v>
      </c>
      <c r="E709" s="6" t="s">
        <v>1134</v>
      </c>
      <c r="F709" s="6" t="s">
        <v>7138</v>
      </c>
      <c r="H709">
        <v>3.0000000000000001E-3</v>
      </c>
      <c r="Q709" t="s">
        <v>8869</v>
      </c>
    </row>
    <row r="710" spans="1:17" x14ac:dyDescent="0.2">
      <c r="A710" t="s">
        <v>1273</v>
      </c>
      <c r="B710" s="6" t="s">
        <v>711</v>
      </c>
      <c r="C710" s="6">
        <v>3</v>
      </c>
      <c r="D710" s="6" t="s">
        <v>1000</v>
      </c>
      <c r="E710" s="6" t="s">
        <v>1135</v>
      </c>
      <c r="F710" s="6" t="s">
        <v>651</v>
      </c>
      <c r="H710">
        <v>1E-3</v>
      </c>
    </row>
    <row r="711" spans="1:17" x14ac:dyDescent="0.2">
      <c r="A711" t="s">
        <v>1273</v>
      </c>
      <c r="B711" s="6" t="s">
        <v>711</v>
      </c>
      <c r="C711" s="6">
        <v>3</v>
      </c>
      <c r="D711" s="6" t="s">
        <v>1000</v>
      </c>
      <c r="E711" s="6" t="s">
        <v>1136</v>
      </c>
      <c r="F711" s="6" t="s">
        <v>6231</v>
      </c>
      <c r="H711">
        <v>1.4999999999999999E-2</v>
      </c>
      <c r="Q711" t="s">
        <v>8864</v>
      </c>
    </row>
    <row r="712" spans="1:17" x14ac:dyDescent="0.2">
      <c r="A712" t="s">
        <v>1273</v>
      </c>
      <c r="B712" s="6" t="s">
        <v>711</v>
      </c>
      <c r="C712" s="6">
        <v>3</v>
      </c>
      <c r="D712" s="6" t="s">
        <v>1000</v>
      </c>
      <c r="E712" s="6" t="s">
        <v>1137</v>
      </c>
      <c r="F712" s="6" t="s">
        <v>6231</v>
      </c>
      <c r="H712">
        <v>1.9E-2</v>
      </c>
      <c r="Q712" t="s">
        <v>8865</v>
      </c>
    </row>
    <row r="713" spans="1:17" x14ac:dyDescent="0.2">
      <c r="A713" t="s">
        <v>1273</v>
      </c>
      <c r="B713" s="6" t="s">
        <v>711</v>
      </c>
      <c r="C713" s="6">
        <v>3</v>
      </c>
      <c r="D713" s="6" t="s">
        <v>1000</v>
      </c>
      <c r="E713" s="6" t="s">
        <v>1138</v>
      </c>
      <c r="F713" s="6" t="s">
        <v>6231</v>
      </c>
      <c r="H713">
        <v>1.2999999999999999E-2</v>
      </c>
      <c r="Q713" t="s">
        <v>8866</v>
      </c>
    </row>
    <row r="714" spans="1:17" x14ac:dyDescent="0.2">
      <c r="A714" t="s">
        <v>1273</v>
      </c>
      <c r="B714" s="6" t="s">
        <v>711</v>
      </c>
      <c r="C714" s="6">
        <v>3</v>
      </c>
      <c r="D714" s="6" t="s">
        <v>1000</v>
      </c>
      <c r="E714" s="6" t="s">
        <v>1139</v>
      </c>
      <c r="F714" s="6" t="s">
        <v>6231</v>
      </c>
      <c r="H714">
        <v>1.6E-2</v>
      </c>
      <c r="Q714" t="s">
        <v>8867</v>
      </c>
    </row>
    <row r="715" spans="1:17" x14ac:dyDescent="0.2">
      <c r="A715" t="s">
        <v>1273</v>
      </c>
      <c r="B715" s="6" t="s">
        <v>711</v>
      </c>
      <c r="C715" s="6">
        <v>3</v>
      </c>
      <c r="D715" s="6" t="s">
        <v>1000</v>
      </c>
      <c r="E715" s="6" t="s">
        <v>1140</v>
      </c>
      <c r="F715" s="6" t="s">
        <v>1311</v>
      </c>
      <c r="H715">
        <v>4.0000000000000001E-3</v>
      </c>
      <c r="Q715" t="s">
        <v>8870</v>
      </c>
    </row>
    <row r="716" spans="1:17" x14ac:dyDescent="0.2">
      <c r="A716" t="s">
        <v>1273</v>
      </c>
      <c r="B716" s="6" t="s">
        <v>711</v>
      </c>
      <c r="C716" s="6">
        <v>3</v>
      </c>
      <c r="D716" s="6" t="s">
        <v>1000</v>
      </c>
      <c r="E716" s="6" t="s">
        <v>1141</v>
      </c>
      <c r="F716" s="6" t="s">
        <v>1311</v>
      </c>
      <c r="H716">
        <v>2E-3</v>
      </c>
      <c r="Q716" t="s">
        <v>8871</v>
      </c>
    </row>
    <row r="717" spans="1:17" x14ac:dyDescent="0.2">
      <c r="A717" t="s">
        <v>1273</v>
      </c>
      <c r="B717" s="6" t="s">
        <v>711</v>
      </c>
      <c r="C717" s="6">
        <v>3</v>
      </c>
      <c r="D717" s="6" t="s">
        <v>1000</v>
      </c>
      <c r="E717" s="6" t="s">
        <v>1142</v>
      </c>
      <c r="F717" s="6" t="s">
        <v>1311</v>
      </c>
      <c r="H717">
        <v>3.0000000000000001E-3</v>
      </c>
      <c r="Q717" t="s">
        <v>8872</v>
      </c>
    </row>
    <row r="718" spans="1:17" x14ac:dyDescent="0.2">
      <c r="A718" t="s">
        <v>1273</v>
      </c>
      <c r="B718" s="6" t="s">
        <v>711</v>
      </c>
      <c r="C718" s="6">
        <v>3</v>
      </c>
      <c r="D718" s="6" t="s">
        <v>1000</v>
      </c>
      <c r="E718" s="6" t="s">
        <v>1143</v>
      </c>
      <c r="F718" s="6" t="s">
        <v>1311</v>
      </c>
      <c r="H718">
        <v>1E-3</v>
      </c>
      <c r="Q718" t="s">
        <v>8873</v>
      </c>
    </row>
    <row r="719" spans="1:17" x14ac:dyDescent="0.2">
      <c r="A719" t="s">
        <v>1273</v>
      </c>
      <c r="B719" s="6" t="s">
        <v>711</v>
      </c>
      <c r="C719" s="6">
        <v>3</v>
      </c>
      <c r="D719" s="6" t="s">
        <v>1000</v>
      </c>
      <c r="E719" s="6" t="s">
        <v>1144</v>
      </c>
      <c r="F719" s="6" t="s">
        <v>1311</v>
      </c>
      <c r="H719">
        <v>3.0000000000000001E-3</v>
      </c>
      <c r="Q719" t="s">
        <v>8874</v>
      </c>
    </row>
    <row r="720" spans="1:17" x14ac:dyDescent="0.2">
      <c r="A720" t="s">
        <v>1273</v>
      </c>
      <c r="B720" s="6" t="s">
        <v>711</v>
      </c>
      <c r="C720" s="6">
        <v>3</v>
      </c>
      <c r="D720" s="6" t="s">
        <v>1000</v>
      </c>
      <c r="E720" s="6" t="s">
        <v>1145</v>
      </c>
      <c r="F720" s="6" t="s">
        <v>1311</v>
      </c>
      <c r="H720">
        <v>8.9999999999999993E-3</v>
      </c>
      <c r="M720">
        <v>3</v>
      </c>
    </row>
    <row r="721" spans="1:17" x14ac:dyDescent="0.2">
      <c r="A721" t="s">
        <v>1273</v>
      </c>
      <c r="B721" s="6" t="s">
        <v>711</v>
      </c>
      <c r="C721" s="6">
        <v>3</v>
      </c>
      <c r="D721" s="6" t="s">
        <v>1000</v>
      </c>
      <c r="E721" s="6" t="s">
        <v>1146</v>
      </c>
      <c r="F721" s="6" t="s">
        <v>332</v>
      </c>
      <c r="H721">
        <f>0.483-0.427</f>
        <v>5.5999999999999994E-2</v>
      </c>
    </row>
    <row r="722" spans="1:17" x14ac:dyDescent="0.2">
      <c r="A722" t="s">
        <v>1273</v>
      </c>
      <c r="B722" s="6" t="s">
        <v>711</v>
      </c>
      <c r="C722" s="6">
        <v>3</v>
      </c>
      <c r="D722" s="6" t="s">
        <v>1000</v>
      </c>
      <c r="E722" s="6" t="s">
        <v>1147</v>
      </c>
      <c r="F722" s="6" t="s">
        <v>332</v>
      </c>
      <c r="H722">
        <v>1.4999999999999999E-2</v>
      </c>
      <c r="N722">
        <v>0</v>
      </c>
      <c r="Q722" t="s">
        <v>8875</v>
      </c>
    </row>
    <row r="723" spans="1:17" x14ac:dyDescent="0.2">
      <c r="A723" t="s">
        <v>1273</v>
      </c>
      <c r="B723" s="6" t="s">
        <v>711</v>
      </c>
      <c r="C723" s="6">
        <v>3</v>
      </c>
      <c r="D723" s="6" t="s">
        <v>1000</v>
      </c>
      <c r="E723" s="6" t="s">
        <v>1148</v>
      </c>
      <c r="F723" s="6" t="s">
        <v>332</v>
      </c>
      <c r="H723">
        <v>3.0000000000000001E-3</v>
      </c>
      <c r="N723">
        <v>0</v>
      </c>
      <c r="Q723" t="s">
        <v>8876</v>
      </c>
    </row>
    <row r="724" spans="1:17" x14ac:dyDescent="0.2">
      <c r="A724" t="s">
        <v>1273</v>
      </c>
      <c r="B724" s="6" t="s">
        <v>711</v>
      </c>
      <c r="C724" s="6">
        <v>3</v>
      </c>
      <c r="D724" s="6" t="s">
        <v>1000</v>
      </c>
      <c r="E724" s="6" t="s">
        <v>1149</v>
      </c>
      <c r="F724" s="6" t="s">
        <v>332</v>
      </c>
      <c r="G724" s="6" t="s">
        <v>114</v>
      </c>
      <c r="N724">
        <v>0</v>
      </c>
      <c r="Q724" t="s">
        <v>8877</v>
      </c>
    </row>
    <row r="725" spans="1:17" x14ac:dyDescent="0.2">
      <c r="A725" t="s">
        <v>1273</v>
      </c>
      <c r="B725" s="6" t="s">
        <v>711</v>
      </c>
      <c r="C725" s="6">
        <v>3</v>
      </c>
      <c r="D725" s="6" t="s">
        <v>1000</v>
      </c>
      <c r="E725" s="6" t="s">
        <v>1150</v>
      </c>
      <c r="F725" s="6" t="s">
        <v>332</v>
      </c>
      <c r="H725">
        <v>3.0000000000000001E-3</v>
      </c>
      <c r="N725">
        <v>0</v>
      </c>
      <c r="Q725" t="s">
        <v>8878</v>
      </c>
    </row>
    <row r="726" spans="1:17" x14ac:dyDescent="0.2">
      <c r="A726" t="s">
        <v>1273</v>
      </c>
      <c r="B726" s="6" t="s">
        <v>711</v>
      </c>
      <c r="C726" s="6">
        <v>3</v>
      </c>
      <c r="D726" s="6" t="s">
        <v>1000</v>
      </c>
      <c r="E726" s="6" t="s">
        <v>1151</v>
      </c>
      <c r="F726" s="6" t="s">
        <v>332</v>
      </c>
      <c r="H726">
        <v>1E-3</v>
      </c>
      <c r="N726">
        <v>0</v>
      </c>
      <c r="Q726" t="s">
        <v>8879</v>
      </c>
    </row>
    <row r="727" spans="1:17" x14ac:dyDescent="0.2">
      <c r="A727" t="s">
        <v>1273</v>
      </c>
      <c r="B727" s="6" t="s">
        <v>711</v>
      </c>
      <c r="C727" s="6">
        <v>3</v>
      </c>
      <c r="D727" s="6" t="s">
        <v>1000</v>
      </c>
      <c r="E727" s="6" t="s">
        <v>1153</v>
      </c>
      <c r="F727" s="6" t="s">
        <v>332</v>
      </c>
      <c r="H727">
        <v>1.0999999999999999E-2</v>
      </c>
      <c r="M727">
        <v>5</v>
      </c>
      <c r="N727">
        <v>0</v>
      </c>
    </row>
    <row r="728" spans="1:17" x14ac:dyDescent="0.2">
      <c r="A728" t="s">
        <v>1273</v>
      </c>
      <c r="B728" s="6" t="s">
        <v>711</v>
      </c>
      <c r="C728" s="6">
        <v>5</v>
      </c>
      <c r="D728" s="6" t="s">
        <v>1000</v>
      </c>
      <c r="E728" s="6" t="s">
        <v>1154</v>
      </c>
      <c r="F728" s="6" t="s">
        <v>1183</v>
      </c>
      <c r="H728">
        <f>0.759-0.424</f>
        <v>0.33500000000000002</v>
      </c>
      <c r="M728" t="s">
        <v>802</v>
      </c>
      <c r="O728" t="s">
        <v>1184</v>
      </c>
    </row>
    <row r="729" spans="1:17" x14ac:dyDescent="0.2">
      <c r="A729" t="s">
        <v>1273</v>
      </c>
      <c r="B729" s="6" t="s">
        <v>711</v>
      </c>
      <c r="C729" s="6">
        <v>5</v>
      </c>
      <c r="D729" s="6" t="s">
        <v>1000</v>
      </c>
      <c r="E729" s="6" t="s">
        <v>1155</v>
      </c>
      <c r="F729" s="6" t="s">
        <v>505</v>
      </c>
      <c r="H729">
        <v>0.27600000000000002</v>
      </c>
    </row>
    <row r="730" spans="1:17" x14ac:dyDescent="0.2">
      <c r="A730" t="s">
        <v>1273</v>
      </c>
      <c r="B730" s="6" t="s">
        <v>711</v>
      </c>
      <c r="C730" s="6">
        <v>5</v>
      </c>
      <c r="D730" s="6" t="s">
        <v>1000</v>
      </c>
      <c r="E730" s="6" t="s">
        <v>1156</v>
      </c>
      <c r="F730" s="6" t="s">
        <v>1005</v>
      </c>
      <c r="H730">
        <f>10.6-1.7</f>
        <v>8.9</v>
      </c>
      <c r="O730" t="s">
        <v>1187</v>
      </c>
    </row>
    <row r="731" spans="1:17" x14ac:dyDescent="0.2">
      <c r="A731" t="s">
        <v>1273</v>
      </c>
      <c r="B731" s="6" t="s">
        <v>711</v>
      </c>
      <c r="C731" s="6">
        <v>5</v>
      </c>
      <c r="D731" s="6" t="s">
        <v>1000</v>
      </c>
      <c r="E731" s="6" t="s">
        <v>1157</v>
      </c>
      <c r="F731" s="6" t="s">
        <v>7138</v>
      </c>
      <c r="H731">
        <v>6.9000000000000006E-2</v>
      </c>
      <c r="Q731" t="s">
        <v>8880</v>
      </c>
    </row>
    <row r="732" spans="1:17" x14ac:dyDescent="0.2">
      <c r="A732" t="s">
        <v>1273</v>
      </c>
      <c r="B732" s="6" t="s">
        <v>711</v>
      </c>
      <c r="C732" s="6">
        <v>5</v>
      </c>
      <c r="D732" s="6" t="s">
        <v>1000</v>
      </c>
      <c r="E732" s="6" t="s">
        <v>1158</v>
      </c>
      <c r="F732" s="6" t="s">
        <v>652</v>
      </c>
      <c r="H732">
        <v>1.2999999999999999E-2</v>
      </c>
    </row>
    <row r="733" spans="1:17" x14ac:dyDescent="0.2">
      <c r="A733" t="s">
        <v>1273</v>
      </c>
      <c r="B733" s="6" t="s">
        <v>711</v>
      </c>
      <c r="C733" s="6">
        <v>5</v>
      </c>
      <c r="D733" s="6" t="s">
        <v>1000</v>
      </c>
      <c r="E733" s="6" t="s">
        <v>1159</v>
      </c>
      <c r="F733" s="6" t="s">
        <v>7138</v>
      </c>
      <c r="H733">
        <v>5.0000000000000001E-3</v>
      </c>
      <c r="M733">
        <v>3</v>
      </c>
      <c r="Q733" t="s">
        <v>8881</v>
      </c>
    </row>
    <row r="734" spans="1:17" x14ac:dyDescent="0.2">
      <c r="A734" t="s">
        <v>1273</v>
      </c>
      <c r="B734" s="6" t="s">
        <v>711</v>
      </c>
      <c r="C734" s="6">
        <v>5</v>
      </c>
      <c r="D734" s="6" t="s">
        <v>1000</v>
      </c>
      <c r="E734" s="6" t="s">
        <v>1160</v>
      </c>
      <c r="F734" s="6" t="s">
        <v>1185</v>
      </c>
      <c r="H734">
        <v>2E-3</v>
      </c>
    </row>
    <row r="735" spans="1:17" x14ac:dyDescent="0.2">
      <c r="A735" t="s">
        <v>1273</v>
      </c>
      <c r="B735" s="6" t="s">
        <v>711</v>
      </c>
      <c r="C735" s="6">
        <v>5</v>
      </c>
      <c r="D735" s="6" t="s">
        <v>1000</v>
      </c>
      <c r="E735" s="6" t="s">
        <v>1161</v>
      </c>
      <c r="F735" s="6" t="s">
        <v>998</v>
      </c>
      <c r="H735">
        <f>0.505-0.345</f>
        <v>0.16000000000000003</v>
      </c>
      <c r="N735">
        <v>0</v>
      </c>
      <c r="O735" t="s">
        <v>2482</v>
      </c>
    </row>
    <row r="736" spans="1:17" x14ac:dyDescent="0.2">
      <c r="A736" t="s">
        <v>1273</v>
      </c>
      <c r="B736" s="6" t="s">
        <v>711</v>
      </c>
      <c r="C736" s="6">
        <v>5</v>
      </c>
      <c r="D736" s="6" t="s">
        <v>1000</v>
      </c>
      <c r="E736" s="6" t="s">
        <v>1162</v>
      </c>
      <c r="F736" s="6" t="s">
        <v>343</v>
      </c>
      <c r="H736">
        <v>2.5000000000000001E-2</v>
      </c>
      <c r="Q736" t="s">
        <v>8882</v>
      </c>
    </row>
    <row r="737" spans="1:17" x14ac:dyDescent="0.2">
      <c r="A737" t="s">
        <v>1273</v>
      </c>
      <c r="B737" s="6" t="s">
        <v>711</v>
      </c>
      <c r="C737" s="6">
        <v>5</v>
      </c>
      <c r="D737" s="6" t="s">
        <v>1000</v>
      </c>
      <c r="E737" s="6" t="s">
        <v>1163</v>
      </c>
      <c r="F737" s="6" t="s">
        <v>343</v>
      </c>
      <c r="H737">
        <v>0.03</v>
      </c>
      <c r="Q737" t="s">
        <v>8883</v>
      </c>
    </row>
    <row r="738" spans="1:17" x14ac:dyDescent="0.2">
      <c r="A738" t="s">
        <v>1273</v>
      </c>
      <c r="B738" s="6" t="s">
        <v>711</v>
      </c>
      <c r="C738" s="6">
        <v>5</v>
      </c>
      <c r="D738" s="6" t="s">
        <v>1000</v>
      </c>
      <c r="E738" s="6" t="s">
        <v>1164</v>
      </c>
      <c r="F738" s="6" t="s">
        <v>343</v>
      </c>
      <c r="H738">
        <v>1.7000000000000001E-2</v>
      </c>
      <c r="Q738" t="s">
        <v>8884</v>
      </c>
    </row>
    <row r="739" spans="1:17" x14ac:dyDescent="0.2">
      <c r="A739" t="s">
        <v>1273</v>
      </c>
      <c r="B739" s="6" t="s">
        <v>711</v>
      </c>
      <c r="C739" s="6">
        <v>5</v>
      </c>
      <c r="D739" s="6" t="s">
        <v>1000</v>
      </c>
      <c r="E739" s="6" t="s">
        <v>1165</v>
      </c>
      <c r="F739" s="6" t="s">
        <v>343</v>
      </c>
      <c r="H739">
        <v>1.9E-2</v>
      </c>
      <c r="Q739" t="s">
        <v>8885</v>
      </c>
    </row>
    <row r="740" spans="1:17" x14ac:dyDescent="0.2">
      <c r="A740" t="s">
        <v>1273</v>
      </c>
      <c r="B740" s="6" t="s">
        <v>711</v>
      </c>
      <c r="C740" s="6">
        <v>5</v>
      </c>
      <c r="D740" s="6" t="s">
        <v>1000</v>
      </c>
      <c r="E740" s="6" t="s">
        <v>1166</v>
      </c>
      <c r="F740" s="6" t="s">
        <v>332</v>
      </c>
      <c r="H740">
        <v>2.8000000000000001E-2</v>
      </c>
      <c r="Q740" t="s">
        <v>8886</v>
      </c>
    </row>
    <row r="741" spans="1:17" x14ac:dyDescent="0.2">
      <c r="A741" t="s">
        <v>1273</v>
      </c>
      <c r="B741" s="6" t="s">
        <v>711</v>
      </c>
      <c r="C741" s="6">
        <v>5</v>
      </c>
      <c r="D741" s="6" t="s">
        <v>1000</v>
      </c>
      <c r="E741" s="6" t="s">
        <v>1167</v>
      </c>
      <c r="F741" s="6" t="s">
        <v>5353</v>
      </c>
      <c r="H741">
        <v>5.0000000000000001E-3</v>
      </c>
      <c r="Q741" t="s">
        <v>8887</v>
      </c>
    </row>
    <row r="742" spans="1:17" x14ac:dyDescent="0.2">
      <c r="A742" t="s">
        <v>1273</v>
      </c>
      <c r="B742" s="6" t="s">
        <v>711</v>
      </c>
      <c r="C742" s="6">
        <v>5</v>
      </c>
      <c r="D742" s="6" t="s">
        <v>1000</v>
      </c>
      <c r="E742" s="6" t="s">
        <v>1168</v>
      </c>
      <c r="F742" s="6" t="s">
        <v>5353</v>
      </c>
      <c r="H742">
        <v>3.0000000000000001E-3</v>
      </c>
      <c r="Q742" t="s">
        <v>8888</v>
      </c>
    </row>
    <row r="743" spans="1:17" x14ac:dyDescent="0.2">
      <c r="A743" t="s">
        <v>1273</v>
      </c>
      <c r="B743" s="6" t="s">
        <v>711</v>
      </c>
      <c r="C743" s="6">
        <v>5</v>
      </c>
      <c r="D743" s="6" t="s">
        <v>1000</v>
      </c>
      <c r="E743" s="6" t="s">
        <v>1169</v>
      </c>
      <c r="F743" s="6" t="s">
        <v>5353</v>
      </c>
      <c r="H743">
        <v>3.0000000000000001E-3</v>
      </c>
      <c r="Q743" t="s">
        <v>8889</v>
      </c>
    </row>
    <row r="744" spans="1:17" x14ac:dyDescent="0.2">
      <c r="A744" t="s">
        <v>1273</v>
      </c>
      <c r="B744" s="6" t="s">
        <v>711</v>
      </c>
      <c r="C744" s="6">
        <v>5</v>
      </c>
      <c r="D744" s="6" t="s">
        <v>1000</v>
      </c>
      <c r="E744" s="6" t="s">
        <v>1170</v>
      </c>
      <c r="F744" s="6" t="s">
        <v>5353</v>
      </c>
      <c r="H744">
        <v>1E-3</v>
      </c>
      <c r="Q744" t="s">
        <v>8890</v>
      </c>
    </row>
    <row r="745" spans="1:17" x14ac:dyDescent="0.2">
      <c r="A745" t="s">
        <v>1273</v>
      </c>
      <c r="B745" s="6" t="s">
        <v>711</v>
      </c>
      <c r="C745" s="6">
        <v>5</v>
      </c>
      <c r="D745" s="6" t="s">
        <v>1000</v>
      </c>
      <c r="E745" s="6" t="s">
        <v>1172</v>
      </c>
      <c r="F745" s="6" t="s">
        <v>364</v>
      </c>
      <c r="H745">
        <v>2E-3</v>
      </c>
      <c r="Q745" t="s">
        <v>8891</v>
      </c>
    </row>
    <row r="746" spans="1:17" x14ac:dyDescent="0.2">
      <c r="A746" t="s">
        <v>1273</v>
      </c>
      <c r="B746" s="6" t="s">
        <v>711</v>
      </c>
      <c r="C746" s="6">
        <v>5</v>
      </c>
      <c r="D746" s="6" t="s">
        <v>1000</v>
      </c>
      <c r="E746" s="6" t="s">
        <v>1173</v>
      </c>
      <c r="F746" s="6" t="s">
        <v>364</v>
      </c>
      <c r="H746">
        <v>1.6E-2</v>
      </c>
      <c r="M746">
        <v>5</v>
      </c>
    </row>
    <row r="747" spans="1:17" x14ac:dyDescent="0.2">
      <c r="A747" t="s">
        <v>1273</v>
      </c>
      <c r="B747" s="6" t="s">
        <v>711</v>
      </c>
      <c r="C747" s="6">
        <v>5</v>
      </c>
      <c r="D747" s="6" t="s">
        <v>1000</v>
      </c>
      <c r="E747" s="6" t="s">
        <v>1171</v>
      </c>
      <c r="F747" s="6" t="s">
        <v>5936</v>
      </c>
      <c r="G747" t="s">
        <v>114</v>
      </c>
      <c r="Q747" t="s">
        <v>6080</v>
      </c>
    </row>
    <row r="748" spans="1:17" x14ac:dyDescent="0.2">
      <c r="A748" t="s">
        <v>1273</v>
      </c>
      <c r="B748" s="6" t="s">
        <v>711</v>
      </c>
      <c r="C748" s="6">
        <v>5</v>
      </c>
      <c r="D748" s="6" t="s">
        <v>1000</v>
      </c>
      <c r="E748" s="6" t="s">
        <v>1174</v>
      </c>
      <c r="F748" s="6" t="s">
        <v>5353</v>
      </c>
      <c r="G748" t="s">
        <v>114</v>
      </c>
      <c r="Q748" t="s">
        <v>8892</v>
      </c>
    </row>
    <row r="749" spans="1:17" x14ac:dyDescent="0.2">
      <c r="A749" t="s">
        <v>1273</v>
      </c>
      <c r="B749" s="6" t="s">
        <v>711</v>
      </c>
      <c r="C749" s="6">
        <v>5</v>
      </c>
      <c r="D749" s="6" t="s">
        <v>1000</v>
      </c>
      <c r="E749" s="6" t="s">
        <v>1175</v>
      </c>
      <c r="F749" s="6" t="s">
        <v>3930</v>
      </c>
      <c r="H749">
        <v>2E-3</v>
      </c>
      <c r="Q749" t="s">
        <v>8893</v>
      </c>
    </row>
    <row r="750" spans="1:17" x14ac:dyDescent="0.2">
      <c r="A750" t="s">
        <v>1273</v>
      </c>
      <c r="B750" s="6" t="s">
        <v>711</v>
      </c>
      <c r="C750" s="6">
        <v>5</v>
      </c>
      <c r="D750" s="6" t="s">
        <v>1000</v>
      </c>
      <c r="E750" s="6" t="s">
        <v>1176</v>
      </c>
      <c r="F750" s="6" t="s">
        <v>1538</v>
      </c>
      <c r="H750">
        <v>1E-3</v>
      </c>
      <c r="Q750" t="s">
        <v>8894</v>
      </c>
    </row>
    <row r="751" spans="1:17" x14ac:dyDescent="0.2">
      <c r="A751" t="s">
        <v>1273</v>
      </c>
      <c r="B751" s="6" t="s">
        <v>711</v>
      </c>
      <c r="C751" s="6">
        <v>5</v>
      </c>
      <c r="D751" s="6" t="s">
        <v>1000</v>
      </c>
      <c r="E751" s="6" t="s">
        <v>1177</v>
      </c>
      <c r="F751" s="6" t="s">
        <v>1538</v>
      </c>
      <c r="H751">
        <v>1E-3</v>
      </c>
      <c r="Q751" t="s">
        <v>8895</v>
      </c>
    </row>
    <row r="752" spans="1:17" x14ac:dyDescent="0.2">
      <c r="A752" t="s">
        <v>1273</v>
      </c>
      <c r="B752" s="6" t="s">
        <v>711</v>
      </c>
      <c r="C752" s="6">
        <v>5</v>
      </c>
      <c r="D752" s="6" t="s">
        <v>1000</v>
      </c>
      <c r="E752" s="6" t="s">
        <v>1178</v>
      </c>
      <c r="F752" s="6" t="s">
        <v>1559</v>
      </c>
      <c r="H752">
        <v>1E-3</v>
      </c>
      <c r="Q752" t="s">
        <v>8896</v>
      </c>
    </row>
    <row r="753" spans="1:17" x14ac:dyDescent="0.2">
      <c r="A753" t="s">
        <v>1273</v>
      </c>
      <c r="B753" s="6" t="s">
        <v>711</v>
      </c>
      <c r="C753" s="6">
        <v>5</v>
      </c>
      <c r="D753" s="6" t="s">
        <v>1000</v>
      </c>
      <c r="E753" s="6" t="s">
        <v>1179</v>
      </c>
      <c r="F753" s="6" t="s">
        <v>1559</v>
      </c>
      <c r="H753">
        <v>1E-3</v>
      </c>
      <c r="Q753" t="s">
        <v>8897</v>
      </c>
    </row>
    <row r="754" spans="1:17" x14ac:dyDescent="0.2">
      <c r="A754" t="s">
        <v>1273</v>
      </c>
      <c r="B754" s="6" t="s">
        <v>711</v>
      </c>
      <c r="C754" s="6">
        <v>5</v>
      </c>
      <c r="D754" s="6" t="s">
        <v>1000</v>
      </c>
      <c r="E754" s="6" t="s">
        <v>1180</v>
      </c>
      <c r="F754" s="6" t="s">
        <v>1559</v>
      </c>
      <c r="H754">
        <v>1E-3</v>
      </c>
      <c r="Q754" t="s">
        <v>8898</v>
      </c>
    </row>
    <row r="755" spans="1:17" x14ac:dyDescent="0.2">
      <c r="A755" t="s">
        <v>1273</v>
      </c>
      <c r="B755" s="6" t="s">
        <v>711</v>
      </c>
      <c r="C755" s="6">
        <v>5</v>
      </c>
      <c r="D755" s="6" t="s">
        <v>1000</v>
      </c>
      <c r="E755" s="6" t="s">
        <v>1181</v>
      </c>
      <c r="F755" s="6" t="s">
        <v>1559</v>
      </c>
      <c r="G755" t="s">
        <v>114</v>
      </c>
      <c r="Q755" t="s">
        <v>8899</v>
      </c>
    </row>
    <row r="756" spans="1:17" x14ac:dyDescent="0.2">
      <c r="A756" t="s">
        <v>1273</v>
      </c>
      <c r="B756" s="6" t="s">
        <v>711</v>
      </c>
      <c r="C756" s="6">
        <v>5</v>
      </c>
      <c r="D756" s="6" t="s">
        <v>1000</v>
      </c>
      <c r="E756" s="6" t="s">
        <v>1182</v>
      </c>
      <c r="F756" s="6" t="s">
        <v>1559</v>
      </c>
      <c r="G756" t="s">
        <v>114</v>
      </c>
      <c r="Q756" t="s">
        <v>8900</v>
      </c>
    </row>
    <row r="757" spans="1:17" x14ac:dyDescent="0.2">
      <c r="A757" t="s">
        <v>1273</v>
      </c>
      <c r="B757" s="6" t="s">
        <v>711</v>
      </c>
      <c r="C757" s="6">
        <v>6</v>
      </c>
      <c r="D757" s="6" t="s">
        <v>1000</v>
      </c>
      <c r="E757" s="6" t="s">
        <v>1188</v>
      </c>
      <c r="F757" s="6" t="s">
        <v>1005</v>
      </c>
      <c r="H757">
        <f>2.7-0.321</f>
        <v>2.379</v>
      </c>
      <c r="O757" t="s">
        <v>1189</v>
      </c>
    </row>
    <row r="758" spans="1:17" x14ac:dyDescent="0.2">
      <c r="A758" t="s">
        <v>1273</v>
      </c>
      <c r="B758" s="6" t="s">
        <v>711</v>
      </c>
      <c r="C758" s="6">
        <v>6</v>
      </c>
      <c r="D758" s="6" t="s">
        <v>1000</v>
      </c>
      <c r="E758" s="6" t="s">
        <v>1192</v>
      </c>
      <c r="F758" s="6" t="s">
        <v>1183</v>
      </c>
      <c r="H758">
        <f>2.319-0.424</f>
        <v>1.895</v>
      </c>
      <c r="O758" t="s">
        <v>1190</v>
      </c>
    </row>
    <row r="759" spans="1:17" x14ac:dyDescent="0.2">
      <c r="A759" t="s">
        <v>1273</v>
      </c>
      <c r="B759" s="6" t="s">
        <v>711</v>
      </c>
      <c r="C759" s="6">
        <v>6</v>
      </c>
      <c r="D759" s="6" t="s">
        <v>1000</v>
      </c>
      <c r="E759" s="6" t="s">
        <v>1193</v>
      </c>
      <c r="F759" s="6" t="s">
        <v>505</v>
      </c>
      <c r="H759">
        <f>0.753-0.357</f>
        <v>0.39600000000000002</v>
      </c>
      <c r="O759" t="s">
        <v>1191</v>
      </c>
    </row>
    <row r="760" spans="1:17" x14ac:dyDescent="0.2">
      <c r="A760" t="s">
        <v>1273</v>
      </c>
      <c r="B760" s="6" t="s">
        <v>711</v>
      </c>
      <c r="C760" s="6">
        <v>6</v>
      </c>
      <c r="D760" s="6" t="s">
        <v>1000</v>
      </c>
      <c r="E760" s="6" t="s">
        <v>1222</v>
      </c>
      <c r="F760" s="6" t="s">
        <v>1223</v>
      </c>
      <c r="H760">
        <f>0.624-0.41</f>
        <v>0.21400000000000002</v>
      </c>
      <c r="N760">
        <v>0</v>
      </c>
      <c r="O760" t="s">
        <v>1224</v>
      </c>
    </row>
    <row r="761" spans="1:17" x14ac:dyDescent="0.2">
      <c r="A761" t="s">
        <v>1273</v>
      </c>
      <c r="B761" s="6" t="s">
        <v>711</v>
      </c>
      <c r="C761" s="6">
        <v>6</v>
      </c>
      <c r="D761" s="6" t="s">
        <v>1000</v>
      </c>
      <c r="E761" s="6" t="s">
        <v>1194</v>
      </c>
      <c r="F761" s="6" t="s">
        <v>364</v>
      </c>
      <c r="H761">
        <v>1.4999999999999999E-2</v>
      </c>
      <c r="Q761" t="s">
        <v>8901</v>
      </c>
    </row>
    <row r="762" spans="1:17" x14ac:dyDescent="0.2">
      <c r="A762" t="s">
        <v>1273</v>
      </c>
      <c r="B762" s="6" t="s">
        <v>711</v>
      </c>
      <c r="C762" s="6">
        <v>6</v>
      </c>
      <c r="D762" s="6" t="s">
        <v>1000</v>
      </c>
      <c r="E762" s="6" t="s">
        <v>1195</v>
      </c>
      <c r="F762" s="6" t="s">
        <v>364</v>
      </c>
      <c r="H762">
        <v>1.6E-2</v>
      </c>
      <c r="Q762" t="s">
        <v>8902</v>
      </c>
    </row>
    <row r="763" spans="1:17" x14ac:dyDescent="0.2">
      <c r="A763" t="s">
        <v>1273</v>
      </c>
      <c r="B763" s="6" t="s">
        <v>711</v>
      </c>
      <c r="C763" s="6">
        <v>6</v>
      </c>
      <c r="D763" s="6" t="s">
        <v>1000</v>
      </c>
      <c r="E763" s="6" t="s">
        <v>1196</v>
      </c>
      <c r="F763" s="6" t="s">
        <v>364</v>
      </c>
      <c r="H763">
        <v>1.2999999999999999E-2</v>
      </c>
      <c r="Q763" t="s">
        <v>8903</v>
      </c>
    </row>
    <row r="764" spans="1:17" x14ac:dyDescent="0.2">
      <c r="A764" t="s">
        <v>1273</v>
      </c>
      <c r="B764" s="6" t="s">
        <v>711</v>
      </c>
      <c r="C764" s="6">
        <v>6</v>
      </c>
      <c r="D764" s="6" t="s">
        <v>1000</v>
      </c>
      <c r="E764" s="6" t="s">
        <v>1197</v>
      </c>
      <c r="F764" s="6" t="s">
        <v>364</v>
      </c>
      <c r="H764">
        <v>4.0000000000000001E-3</v>
      </c>
      <c r="Q764" t="s">
        <v>8904</v>
      </c>
    </row>
    <row r="765" spans="1:17" x14ac:dyDescent="0.2">
      <c r="A765" t="s">
        <v>1273</v>
      </c>
      <c r="B765" s="6" t="s">
        <v>711</v>
      </c>
      <c r="C765" s="6">
        <v>6</v>
      </c>
      <c r="D765" s="6" t="s">
        <v>1000</v>
      </c>
      <c r="E765" s="6" t="s">
        <v>1198</v>
      </c>
      <c r="F765" s="6" t="s">
        <v>364</v>
      </c>
      <c r="H765">
        <v>4.0000000000000001E-3</v>
      </c>
      <c r="Q765" t="s">
        <v>8914</v>
      </c>
    </row>
    <row r="766" spans="1:17" x14ac:dyDescent="0.2">
      <c r="A766" t="s">
        <v>1273</v>
      </c>
      <c r="B766" s="6" t="s">
        <v>711</v>
      </c>
      <c r="C766" s="6">
        <v>6</v>
      </c>
      <c r="D766" s="6" t="s">
        <v>1000</v>
      </c>
      <c r="E766" s="6" t="s">
        <v>1199</v>
      </c>
      <c r="F766" s="6" t="s">
        <v>1559</v>
      </c>
      <c r="H766">
        <v>2E-3</v>
      </c>
      <c r="Q766" t="s">
        <v>8915</v>
      </c>
    </row>
    <row r="767" spans="1:17" x14ac:dyDescent="0.2">
      <c r="A767" t="s">
        <v>1273</v>
      </c>
      <c r="B767" s="6" t="s">
        <v>711</v>
      </c>
      <c r="C767" s="6">
        <v>6</v>
      </c>
      <c r="D767" s="6" t="s">
        <v>1000</v>
      </c>
      <c r="E767" s="6" t="s">
        <v>1200</v>
      </c>
      <c r="F767" s="6" t="s">
        <v>1559</v>
      </c>
      <c r="H767">
        <v>1E-3</v>
      </c>
      <c r="Q767" t="s">
        <v>8916</v>
      </c>
    </row>
    <row r="768" spans="1:17" x14ac:dyDescent="0.2">
      <c r="A768" t="s">
        <v>1273</v>
      </c>
      <c r="B768" s="6" t="s">
        <v>711</v>
      </c>
      <c r="C768" s="6">
        <v>6</v>
      </c>
      <c r="D768" s="6" t="s">
        <v>1000</v>
      </c>
      <c r="E768" s="6" t="s">
        <v>1201</v>
      </c>
      <c r="F768" s="6" t="s">
        <v>6231</v>
      </c>
      <c r="H768">
        <v>2.5999999999999999E-2</v>
      </c>
      <c r="O768" t="s">
        <v>6232</v>
      </c>
      <c r="Q768" t="s">
        <v>8905</v>
      </c>
    </row>
    <row r="769" spans="1:17" x14ac:dyDescent="0.2">
      <c r="A769" t="s">
        <v>1273</v>
      </c>
      <c r="B769" s="6" t="s">
        <v>711</v>
      </c>
      <c r="C769" s="6">
        <v>6</v>
      </c>
      <c r="D769" s="6" t="s">
        <v>1000</v>
      </c>
      <c r="E769" s="6" t="s">
        <v>1202</v>
      </c>
      <c r="F769" s="6" t="s">
        <v>6231</v>
      </c>
      <c r="H769">
        <v>2.5999999999999999E-2</v>
      </c>
      <c r="O769" t="s">
        <v>6232</v>
      </c>
      <c r="Q769" t="s">
        <v>8906</v>
      </c>
    </row>
    <row r="770" spans="1:17" x14ac:dyDescent="0.2">
      <c r="A770" t="s">
        <v>1273</v>
      </c>
      <c r="B770" s="6" t="s">
        <v>711</v>
      </c>
      <c r="C770" s="6">
        <v>6</v>
      </c>
      <c r="D770" s="6" t="s">
        <v>1000</v>
      </c>
      <c r="E770" s="6" t="s">
        <v>1203</v>
      </c>
      <c r="F770" s="6" t="s">
        <v>6231</v>
      </c>
      <c r="H770">
        <v>2.1000000000000001E-2</v>
      </c>
      <c r="O770" t="s">
        <v>6232</v>
      </c>
      <c r="Q770" t="s">
        <v>8907</v>
      </c>
    </row>
    <row r="771" spans="1:17" x14ac:dyDescent="0.2">
      <c r="A771" t="s">
        <v>1273</v>
      </c>
      <c r="B771" s="6" t="s">
        <v>711</v>
      </c>
      <c r="C771" s="6">
        <v>6</v>
      </c>
      <c r="D771" s="6" t="s">
        <v>1000</v>
      </c>
      <c r="E771" s="6" t="s">
        <v>1204</v>
      </c>
      <c r="F771" s="6" t="s">
        <v>6231</v>
      </c>
      <c r="H771">
        <v>8.9999999999999993E-3</v>
      </c>
      <c r="O771" t="s">
        <v>6232</v>
      </c>
      <c r="Q771" t="s">
        <v>8908</v>
      </c>
    </row>
    <row r="772" spans="1:17" x14ac:dyDescent="0.2">
      <c r="A772" t="s">
        <v>1273</v>
      </c>
      <c r="B772" s="6" t="s">
        <v>711</v>
      </c>
      <c r="C772" s="6">
        <v>6</v>
      </c>
      <c r="D772" s="6" t="s">
        <v>1000</v>
      </c>
      <c r="E772" s="6" t="s">
        <v>1205</v>
      </c>
      <c r="F772" s="6" t="s">
        <v>1391</v>
      </c>
      <c r="H772">
        <v>1.7999999999999999E-2</v>
      </c>
      <c r="Q772" t="s">
        <v>8913</v>
      </c>
    </row>
    <row r="773" spans="1:17" x14ac:dyDescent="0.2">
      <c r="A773" t="s">
        <v>1273</v>
      </c>
      <c r="B773" s="6" t="s">
        <v>711</v>
      </c>
      <c r="C773" s="6">
        <v>6</v>
      </c>
      <c r="D773" s="6" t="s">
        <v>1000</v>
      </c>
      <c r="E773" s="6" t="s">
        <v>1206</v>
      </c>
      <c r="F773" s="6" t="s">
        <v>1226</v>
      </c>
      <c r="G773" t="s">
        <v>114</v>
      </c>
    </row>
    <row r="774" spans="1:17" x14ac:dyDescent="0.2">
      <c r="A774" t="s">
        <v>1273</v>
      </c>
      <c r="B774" s="6" t="s">
        <v>711</v>
      </c>
      <c r="C774" s="6">
        <v>6</v>
      </c>
      <c r="D774" s="6" t="s">
        <v>1000</v>
      </c>
      <c r="E774" s="6" t="s">
        <v>1207</v>
      </c>
      <c r="F774" s="6" t="s">
        <v>8912</v>
      </c>
      <c r="H774">
        <v>7.0000000000000001E-3</v>
      </c>
      <c r="Q774" t="s">
        <v>8909</v>
      </c>
    </row>
    <row r="775" spans="1:17" x14ac:dyDescent="0.2">
      <c r="A775" t="s">
        <v>1273</v>
      </c>
      <c r="B775" s="6" t="s">
        <v>711</v>
      </c>
      <c r="C775" s="6">
        <v>6</v>
      </c>
      <c r="D775" s="6" t="s">
        <v>1000</v>
      </c>
      <c r="E775" s="6" t="s">
        <v>1208</v>
      </c>
      <c r="F775" s="6" t="s">
        <v>6936</v>
      </c>
      <c r="H775">
        <v>1.0999999999999999E-2</v>
      </c>
      <c r="Q775" t="s">
        <v>8910</v>
      </c>
    </row>
    <row r="776" spans="1:17" x14ac:dyDescent="0.2">
      <c r="A776" t="s">
        <v>1273</v>
      </c>
      <c r="B776" s="6" t="s">
        <v>711</v>
      </c>
      <c r="C776" s="6">
        <v>6</v>
      </c>
      <c r="D776" s="6" t="s">
        <v>1000</v>
      </c>
      <c r="E776" s="6" t="s">
        <v>1209</v>
      </c>
      <c r="F776" s="6" t="s">
        <v>7138</v>
      </c>
      <c r="H776">
        <v>7.0000000000000001E-3</v>
      </c>
      <c r="Q776" t="s">
        <v>8911</v>
      </c>
    </row>
    <row r="777" spans="1:17" x14ac:dyDescent="0.2">
      <c r="A777" t="s">
        <v>1273</v>
      </c>
      <c r="B777" s="6" t="s">
        <v>711</v>
      </c>
      <c r="C777" s="6">
        <v>6</v>
      </c>
      <c r="D777" s="6" t="s">
        <v>1000</v>
      </c>
      <c r="E777" s="6" t="s">
        <v>1210</v>
      </c>
      <c r="F777" s="6" t="s">
        <v>405</v>
      </c>
      <c r="H777">
        <v>1.4E-2</v>
      </c>
      <c r="M777">
        <v>4</v>
      </c>
      <c r="O777" t="s">
        <v>1227</v>
      </c>
    </row>
    <row r="778" spans="1:17" x14ac:dyDescent="0.2">
      <c r="A778" t="s">
        <v>1273</v>
      </c>
      <c r="B778" s="6" t="s">
        <v>711</v>
      </c>
      <c r="C778" s="6">
        <v>6</v>
      </c>
      <c r="D778" s="6" t="s">
        <v>1000</v>
      </c>
      <c r="E778" s="6" t="s">
        <v>1211</v>
      </c>
      <c r="F778" s="6" t="s">
        <v>987</v>
      </c>
      <c r="H778">
        <v>4.4999999999999998E-2</v>
      </c>
    </row>
    <row r="779" spans="1:17" x14ac:dyDescent="0.2">
      <c r="A779" t="s">
        <v>1273</v>
      </c>
      <c r="B779" s="6" t="s">
        <v>711</v>
      </c>
      <c r="C779" s="6">
        <v>6</v>
      </c>
      <c r="D779" s="6" t="s">
        <v>1000</v>
      </c>
      <c r="E779" s="6" t="s">
        <v>1212</v>
      </c>
      <c r="F779" s="6" t="s">
        <v>1538</v>
      </c>
      <c r="H779">
        <v>1E-3</v>
      </c>
      <c r="Q779" t="s">
        <v>8917</v>
      </c>
    </row>
    <row r="780" spans="1:17" x14ac:dyDescent="0.2">
      <c r="A780" t="s">
        <v>1273</v>
      </c>
      <c r="B780" s="6" t="s">
        <v>711</v>
      </c>
      <c r="C780" s="6">
        <v>6</v>
      </c>
      <c r="D780" s="6" t="s">
        <v>1000</v>
      </c>
      <c r="E780" s="6" t="s">
        <v>1213</v>
      </c>
      <c r="F780" s="6" t="s">
        <v>1538</v>
      </c>
      <c r="H780">
        <v>3.0000000000000001E-3</v>
      </c>
      <c r="Q780" t="s">
        <v>8918</v>
      </c>
    </row>
    <row r="781" spans="1:17" x14ac:dyDescent="0.2">
      <c r="A781" t="s">
        <v>1273</v>
      </c>
      <c r="B781" s="6" t="s">
        <v>711</v>
      </c>
      <c r="C781" s="6">
        <v>6</v>
      </c>
      <c r="D781" s="6" t="s">
        <v>1000</v>
      </c>
      <c r="E781" s="6" t="s">
        <v>1214</v>
      </c>
      <c r="F781" s="6" t="s">
        <v>1538</v>
      </c>
      <c r="H781">
        <v>1E-3</v>
      </c>
      <c r="Q781" t="s">
        <v>8919</v>
      </c>
    </row>
    <row r="782" spans="1:17" x14ac:dyDescent="0.2">
      <c r="A782" t="s">
        <v>1273</v>
      </c>
      <c r="B782" s="6" t="s">
        <v>711</v>
      </c>
      <c r="C782" s="6">
        <v>6</v>
      </c>
      <c r="D782" s="6" t="s">
        <v>1000</v>
      </c>
      <c r="E782" s="6" t="s">
        <v>1215</v>
      </c>
      <c r="F782" s="6" t="s">
        <v>1538</v>
      </c>
      <c r="H782">
        <v>2E-3</v>
      </c>
      <c r="Q782" t="s">
        <v>8920</v>
      </c>
    </row>
    <row r="783" spans="1:17" x14ac:dyDescent="0.2">
      <c r="A783" t="s">
        <v>1273</v>
      </c>
      <c r="B783" s="6" t="s">
        <v>711</v>
      </c>
      <c r="C783" s="6">
        <v>6</v>
      </c>
      <c r="D783" s="6" t="s">
        <v>1000</v>
      </c>
      <c r="E783" s="6" t="s">
        <v>1216</v>
      </c>
      <c r="F783" s="6" t="s">
        <v>1538</v>
      </c>
      <c r="H783">
        <v>2E-3</v>
      </c>
      <c r="Q783" t="s">
        <v>8921</v>
      </c>
    </row>
    <row r="784" spans="1:17" x14ac:dyDescent="0.2">
      <c r="A784" t="s">
        <v>1273</v>
      </c>
      <c r="B784" s="6" t="s">
        <v>711</v>
      </c>
      <c r="C784" s="6">
        <v>6</v>
      </c>
      <c r="D784" s="6" t="s">
        <v>1000</v>
      </c>
      <c r="E784" s="6" t="s">
        <v>1217</v>
      </c>
      <c r="F784" s="6" t="s">
        <v>1538</v>
      </c>
      <c r="H784">
        <v>6.0000000000000001E-3</v>
      </c>
      <c r="M784">
        <v>5</v>
      </c>
    </row>
    <row r="785" spans="1:17" x14ac:dyDescent="0.2">
      <c r="A785" t="s">
        <v>1273</v>
      </c>
      <c r="B785" s="6" t="s">
        <v>711</v>
      </c>
      <c r="C785" s="6">
        <v>6</v>
      </c>
      <c r="D785" s="6" t="s">
        <v>1000</v>
      </c>
      <c r="E785" s="6" t="s">
        <v>1218</v>
      </c>
      <c r="F785" s="6" t="s">
        <v>5936</v>
      </c>
      <c r="H785">
        <v>2E-3</v>
      </c>
      <c r="Q785" t="s">
        <v>6075</v>
      </c>
    </row>
    <row r="786" spans="1:17" x14ac:dyDescent="0.2">
      <c r="A786" t="s">
        <v>1273</v>
      </c>
      <c r="B786" s="6" t="s">
        <v>711</v>
      </c>
      <c r="C786" s="6">
        <v>6</v>
      </c>
      <c r="D786" s="6" t="s">
        <v>1000</v>
      </c>
      <c r="E786" s="6" t="s">
        <v>1219</v>
      </c>
      <c r="F786" s="6" t="s">
        <v>5936</v>
      </c>
      <c r="G786" t="s">
        <v>114</v>
      </c>
      <c r="Q786" t="s">
        <v>6076</v>
      </c>
    </row>
    <row r="787" spans="1:17" x14ac:dyDescent="0.2">
      <c r="A787" t="s">
        <v>1273</v>
      </c>
      <c r="B787" s="6" t="s">
        <v>711</v>
      </c>
      <c r="C787" s="6">
        <v>6</v>
      </c>
      <c r="D787" s="6" t="s">
        <v>1000</v>
      </c>
      <c r="E787" s="6" t="s">
        <v>1220</v>
      </c>
      <c r="F787" s="6" t="s">
        <v>5936</v>
      </c>
      <c r="G787" t="s">
        <v>114</v>
      </c>
      <c r="Q787" t="s">
        <v>6077</v>
      </c>
    </row>
    <row r="788" spans="1:17" x14ac:dyDescent="0.2">
      <c r="A788" t="s">
        <v>1273</v>
      </c>
      <c r="B788" s="6" t="s">
        <v>711</v>
      </c>
      <c r="C788" s="6">
        <v>6</v>
      </c>
      <c r="D788" s="6" t="s">
        <v>1000</v>
      </c>
      <c r="E788" s="6" t="s">
        <v>1221</v>
      </c>
      <c r="F788" s="6" t="s">
        <v>5936</v>
      </c>
      <c r="H788">
        <v>3.0000000000000001E-3</v>
      </c>
      <c r="Q788" t="s">
        <v>6078</v>
      </c>
    </row>
    <row r="789" spans="1:17" x14ac:dyDescent="0.2">
      <c r="A789" t="s">
        <v>1273</v>
      </c>
      <c r="B789" s="6" t="s">
        <v>711</v>
      </c>
      <c r="C789" s="6">
        <v>6</v>
      </c>
      <c r="D789" s="6" t="s">
        <v>1000</v>
      </c>
      <c r="E789" s="6" t="s">
        <v>1228</v>
      </c>
      <c r="F789" s="6" t="s">
        <v>740</v>
      </c>
      <c r="H789">
        <v>1.9E-2</v>
      </c>
      <c r="P789" t="s">
        <v>1526</v>
      </c>
    </row>
    <row r="790" spans="1:17" x14ac:dyDescent="0.2">
      <c r="A790" t="s">
        <v>1273</v>
      </c>
      <c r="B790" s="6" t="s">
        <v>711</v>
      </c>
      <c r="C790" s="6">
        <v>6</v>
      </c>
      <c r="D790" s="6" t="s">
        <v>1000</v>
      </c>
      <c r="E790" s="6" t="s">
        <v>1230</v>
      </c>
      <c r="F790" s="6" t="s">
        <v>5936</v>
      </c>
      <c r="H790">
        <v>1E-3</v>
      </c>
      <c r="M790" t="s">
        <v>1266</v>
      </c>
      <c r="Q790" t="s">
        <v>6079</v>
      </c>
    </row>
    <row r="791" spans="1:17" x14ac:dyDescent="0.2">
      <c r="A791" t="s">
        <v>1273</v>
      </c>
      <c r="B791" s="6" t="s">
        <v>711</v>
      </c>
      <c r="C791" s="6">
        <v>6</v>
      </c>
      <c r="D791" s="6" t="s">
        <v>1000</v>
      </c>
      <c r="E791" s="6" t="s">
        <v>1232</v>
      </c>
      <c r="F791" s="6" t="s">
        <v>5936</v>
      </c>
      <c r="H791">
        <v>1E-3</v>
      </c>
      <c r="M791">
        <v>7</v>
      </c>
    </row>
    <row r="792" spans="1:17" x14ac:dyDescent="0.2">
      <c r="A792" t="s">
        <v>1273</v>
      </c>
      <c r="B792" s="6" t="s">
        <v>711</v>
      </c>
      <c r="C792" s="6">
        <v>6</v>
      </c>
      <c r="D792" s="6" t="s">
        <v>1000</v>
      </c>
      <c r="E792" s="6" t="s">
        <v>1233</v>
      </c>
      <c r="F792" s="6" t="s">
        <v>6760</v>
      </c>
      <c r="H792">
        <v>2E-3</v>
      </c>
      <c r="P792" t="s">
        <v>1526</v>
      </c>
      <c r="Q792" t="s">
        <v>8922</v>
      </c>
    </row>
    <row r="793" spans="1:17" x14ac:dyDescent="0.2">
      <c r="A793" t="s">
        <v>1273</v>
      </c>
      <c r="B793" s="6" t="s">
        <v>711</v>
      </c>
      <c r="C793" s="6">
        <v>6</v>
      </c>
      <c r="D793" s="6" t="s">
        <v>1000</v>
      </c>
      <c r="E793" s="6" t="s">
        <v>1234</v>
      </c>
      <c r="F793" s="6" t="s">
        <v>1235</v>
      </c>
      <c r="H793">
        <f>0.651-0.4</f>
        <v>0.251</v>
      </c>
      <c r="N793">
        <v>0</v>
      </c>
      <c r="O793" t="s">
        <v>1257</v>
      </c>
    </row>
    <row r="794" spans="1:17" x14ac:dyDescent="0.2">
      <c r="A794" t="s">
        <v>1273</v>
      </c>
      <c r="B794" s="6" t="s">
        <v>711</v>
      </c>
      <c r="C794" s="6">
        <v>6</v>
      </c>
      <c r="D794" s="6" t="s">
        <v>1000</v>
      </c>
      <c r="E794" s="6" t="s">
        <v>1236</v>
      </c>
      <c r="F794" s="6" t="s">
        <v>332</v>
      </c>
      <c r="H794">
        <v>3.5999999999999997E-2</v>
      </c>
      <c r="Q794" t="s">
        <v>8923</v>
      </c>
    </row>
    <row r="795" spans="1:17" x14ac:dyDescent="0.2">
      <c r="A795" t="s">
        <v>1273</v>
      </c>
      <c r="B795" s="6" t="s">
        <v>711</v>
      </c>
      <c r="C795" s="6">
        <v>6</v>
      </c>
      <c r="D795" s="6" t="s">
        <v>1000</v>
      </c>
      <c r="E795" s="6" t="s">
        <v>1237</v>
      </c>
      <c r="F795" s="6" t="s">
        <v>332</v>
      </c>
      <c r="H795">
        <v>3.7999999999999999E-2</v>
      </c>
      <c r="Q795" t="s">
        <v>8924</v>
      </c>
    </row>
    <row r="796" spans="1:17" x14ac:dyDescent="0.2">
      <c r="A796" t="s">
        <v>1273</v>
      </c>
      <c r="B796" s="6" t="s">
        <v>711</v>
      </c>
      <c r="C796" s="6">
        <v>6</v>
      </c>
      <c r="D796" s="6" t="s">
        <v>1000</v>
      </c>
      <c r="E796" s="6" t="s">
        <v>1238</v>
      </c>
      <c r="F796" s="6" t="s">
        <v>332</v>
      </c>
      <c r="H796">
        <v>2.5000000000000001E-2</v>
      </c>
      <c r="Q796" t="s">
        <v>8925</v>
      </c>
    </row>
    <row r="797" spans="1:17" x14ac:dyDescent="0.2">
      <c r="A797" t="s">
        <v>1273</v>
      </c>
      <c r="B797" s="6" t="s">
        <v>711</v>
      </c>
      <c r="C797" s="6">
        <v>6</v>
      </c>
      <c r="D797" s="6" t="s">
        <v>1000</v>
      </c>
      <c r="E797" s="6" t="s">
        <v>1239</v>
      </c>
      <c r="F797" s="6" t="s">
        <v>332</v>
      </c>
      <c r="H797">
        <v>1.4999999999999999E-2</v>
      </c>
      <c r="Q797" t="s">
        <v>8926</v>
      </c>
    </row>
    <row r="798" spans="1:17" x14ac:dyDescent="0.2">
      <c r="A798" t="s">
        <v>1273</v>
      </c>
      <c r="B798" s="6" t="s">
        <v>711</v>
      </c>
      <c r="C798" s="6">
        <v>6</v>
      </c>
      <c r="D798" s="6" t="s">
        <v>1000</v>
      </c>
      <c r="E798" s="6" t="s">
        <v>1240</v>
      </c>
      <c r="F798" s="6" t="s">
        <v>332</v>
      </c>
      <c r="H798">
        <v>1.2999999999999999E-2</v>
      </c>
      <c r="Q798" t="s">
        <v>8927</v>
      </c>
    </row>
    <row r="799" spans="1:17" x14ac:dyDescent="0.2">
      <c r="A799" t="s">
        <v>1273</v>
      </c>
      <c r="B799" s="6" t="s">
        <v>711</v>
      </c>
      <c r="C799" s="6">
        <v>6</v>
      </c>
      <c r="D799" s="6" t="s">
        <v>1000</v>
      </c>
      <c r="E799" s="6" t="s">
        <v>1241</v>
      </c>
      <c r="F799" s="6" t="s">
        <v>343</v>
      </c>
      <c r="H799">
        <v>1.0999999999999999E-2</v>
      </c>
      <c r="Q799" t="s">
        <v>8928</v>
      </c>
    </row>
    <row r="800" spans="1:17" x14ac:dyDescent="0.2">
      <c r="A800" t="s">
        <v>1273</v>
      </c>
      <c r="B800" s="6" t="s">
        <v>711</v>
      </c>
      <c r="C800" s="6">
        <v>6</v>
      </c>
      <c r="D800" s="6" t="s">
        <v>1000</v>
      </c>
      <c r="E800" s="6" t="s">
        <v>1242</v>
      </c>
      <c r="F800" s="6" t="s">
        <v>343</v>
      </c>
      <c r="H800">
        <v>1.6E-2</v>
      </c>
      <c r="Q800" t="s">
        <v>8929</v>
      </c>
    </row>
    <row r="801" spans="1:17" x14ac:dyDescent="0.2">
      <c r="A801" t="s">
        <v>1273</v>
      </c>
      <c r="B801" s="6" t="s">
        <v>711</v>
      </c>
      <c r="C801" s="6">
        <v>6</v>
      </c>
      <c r="D801" s="6" t="s">
        <v>1000</v>
      </c>
      <c r="E801" s="6" t="s">
        <v>1243</v>
      </c>
      <c r="F801" s="6" t="s">
        <v>343</v>
      </c>
      <c r="H801">
        <v>5.0000000000000001E-3</v>
      </c>
      <c r="Q801" t="s">
        <v>8930</v>
      </c>
    </row>
    <row r="802" spans="1:17" x14ac:dyDescent="0.2">
      <c r="A802" t="s">
        <v>1273</v>
      </c>
      <c r="B802" s="6" t="s">
        <v>711</v>
      </c>
      <c r="C802" s="6">
        <v>6</v>
      </c>
      <c r="D802" s="6" t="s">
        <v>1000</v>
      </c>
      <c r="E802" s="6" t="s">
        <v>1244</v>
      </c>
      <c r="F802" s="6" t="s">
        <v>343</v>
      </c>
      <c r="H802">
        <v>4.0000000000000001E-3</v>
      </c>
      <c r="Q802" t="s">
        <v>8931</v>
      </c>
    </row>
    <row r="803" spans="1:17" x14ac:dyDescent="0.2">
      <c r="A803" t="s">
        <v>1273</v>
      </c>
      <c r="B803" s="6" t="s">
        <v>711</v>
      </c>
      <c r="C803" s="6">
        <v>6</v>
      </c>
      <c r="D803" s="6" t="s">
        <v>1000</v>
      </c>
      <c r="E803" s="6" t="s">
        <v>1245</v>
      </c>
      <c r="F803" s="6" t="s">
        <v>343</v>
      </c>
      <c r="H803">
        <v>6.0000000000000001E-3</v>
      </c>
      <c r="Q803" t="s">
        <v>8932</v>
      </c>
    </row>
    <row r="804" spans="1:17" x14ac:dyDescent="0.2">
      <c r="A804" t="s">
        <v>1273</v>
      </c>
      <c r="B804" s="6" t="s">
        <v>711</v>
      </c>
      <c r="C804" s="6">
        <v>6</v>
      </c>
      <c r="D804" s="6" t="s">
        <v>1000</v>
      </c>
      <c r="E804" s="6" t="s">
        <v>1246</v>
      </c>
      <c r="F804" s="6" t="s">
        <v>343</v>
      </c>
      <c r="H804">
        <v>0.03</v>
      </c>
      <c r="M804">
        <v>5</v>
      </c>
    </row>
    <row r="805" spans="1:17" x14ac:dyDescent="0.2">
      <c r="A805" t="s">
        <v>1273</v>
      </c>
      <c r="B805" s="6" t="s">
        <v>711</v>
      </c>
      <c r="C805" s="6">
        <v>6</v>
      </c>
      <c r="D805" s="6" t="s">
        <v>1000</v>
      </c>
      <c r="E805" s="6" t="s">
        <v>1247</v>
      </c>
      <c r="F805" s="6" t="s">
        <v>1311</v>
      </c>
      <c r="H805">
        <v>1E-3</v>
      </c>
      <c r="Q805" t="s">
        <v>8934</v>
      </c>
    </row>
    <row r="806" spans="1:17" x14ac:dyDescent="0.2">
      <c r="A806" t="s">
        <v>1273</v>
      </c>
      <c r="B806" s="6" t="s">
        <v>711</v>
      </c>
      <c r="C806" s="6">
        <v>6</v>
      </c>
      <c r="D806" s="6" t="s">
        <v>1000</v>
      </c>
      <c r="E806" s="6" t="s">
        <v>1248</v>
      </c>
      <c r="F806" s="6" t="s">
        <v>1311</v>
      </c>
      <c r="G806" t="s">
        <v>114</v>
      </c>
      <c r="Q806" t="s">
        <v>8935</v>
      </c>
    </row>
    <row r="807" spans="1:17" x14ac:dyDescent="0.2">
      <c r="A807" t="s">
        <v>1273</v>
      </c>
      <c r="B807" s="6" t="s">
        <v>711</v>
      </c>
      <c r="C807" s="6">
        <v>6</v>
      </c>
      <c r="D807" s="6" t="s">
        <v>1000</v>
      </c>
      <c r="E807" s="6" t="s">
        <v>1249</v>
      </c>
      <c r="F807" s="6" t="s">
        <v>1311</v>
      </c>
      <c r="H807">
        <v>1E-3</v>
      </c>
      <c r="Q807" t="s">
        <v>8936</v>
      </c>
    </row>
    <row r="808" spans="1:17" x14ac:dyDescent="0.2">
      <c r="A808" t="s">
        <v>1273</v>
      </c>
      <c r="B808" s="6" t="s">
        <v>711</v>
      </c>
      <c r="C808" s="6">
        <v>6</v>
      </c>
      <c r="D808" s="6" t="s">
        <v>1000</v>
      </c>
      <c r="E808" s="6" t="s">
        <v>1250</v>
      </c>
      <c r="F808" s="6" t="s">
        <v>1311</v>
      </c>
      <c r="H808">
        <v>6.0000000000000001E-3</v>
      </c>
      <c r="O808" t="s">
        <v>1267</v>
      </c>
      <c r="Q808" t="s">
        <v>8933</v>
      </c>
    </row>
    <row r="809" spans="1:17" x14ac:dyDescent="0.2">
      <c r="A809" t="s">
        <v>1273</v>
      </c>
      <c r="B809" s="6" t="s">
        <v>711</v>
      </c>
      <c r="C809" s="6">
        <v>6</v>
      </c>
      <c r="D809" s="6" t="s">
        <v>1000</v>
      </c>
      <c r="E809" s="6" t="s">
        <v>1251</v>
      </c>
      <c r="F809" s="6" t="s">
        <v>1389</v>
      </c>
      <c r="H809">
        <v>1E-3</v>
      </c>
      <c r="Q809" t="s">
        <v>8937</v>
      </c>
    </row>
    <row r="810" spans="1:17" x14ac:dyDescent="0.2">
      <c r="A810" t="s">
        <v>1273</v>
      </c>
      <c r="B810" s="6" t="s">
        <v>711</v>
      </c>
      <c r="C810" s="6">
        <v>6</v>
      </c>
      <c r="D810" s="6" t="s">
        <v>1000</v>
      </c>
      <c r="E810" s="6" t="s">
        <v>1252</v>
      </c>
      <c r="F810" s="6" t="s">
        <v>1389</v>
      </c>
      <c r="H810">
        <v>3.0000000000000001E-3</v>
      </c>
      <c r="Q810" t="s">
        <v>8938</v>
      </c>
    </row>
    <row r="811" spans="1:17" x14ac:dyDescent="0.2">
      <c r="A811" t="s">
        <v>1273</v>
      </c>
      <c r="B811" s="6" t="s">
        <v>711</v>
      </c>
      <c r="C811" s="6">
        <v>6</v>
      </c>
      <c r="D811" s="6" t="s">
        <v>1000</v>
      </c>
      <c r="E811" s="6" t="s">
        <v>1253</v>
      </c>
      <c r="F811" s="6" t="s">
        <v>1389</v>
      </c>
      <c r="H811">
        <v>2E-3</v>
      </c>
      <c r="Q811" t="s">
        <v>8939</v>
      </c>
    </row>
    <row r="812" spans="1:17" x14ac:dyDescent="0.2">
      <c r="A812" t="s">
        <v>1273</v>
      </c>
      <c r="B812" s="6" t="s">
        <v>711</v>
      </c>
      <c r="C812" s="6">
        <v>6</v>
      </c>
      <c r="D812" s="6" t="s">
        <v>1000</v>
      </c>
      <c r="E812" s="6" t="s">
        <v>1254</v>
      </c>
      <c r="F812" s="6" t="s">
        <v>1389</v>
      </c>
      <c r="H812">
        <v>1E-3</v>
      </c>
      <c r="Q812" t="s">
        <v>8940</v>
      </c>
    </row>
    <row r="813" spans="1:17" x14ac:dyDescent="0.2">
      <c r="A813" t="s">
        <v>1273</v>
      </c>
      <c r="B813" s="6" t="s">
        <v>711</v>
      </c>
      <c r="C813" s="6">
        <v>6</v>
      </c>
      <c r="D813" s="6" t="s">
        <v>1000</v>
      </c>
      <c r="E813" s="6" t="s">
        <v>1255</v>
      </c>
      <c r="F813" s="6" t="s">
        <v>1389</v>
      </c>
      <c r="H813">
        <v>1</v>
      </c>
    </row>
    <row r="814" spans="1:17" x14ac:dyDescent="0.2">
      <c r="A814" t="s">
        <v>1273</v>
      </c>
      <c r="B814" s="6" t="s">
        <v>711</v>
      </c>
      <c r="C814" s="6">
        <v>6</v>
      </c>
      <c r="D814" s="6" t="s">
        <v>1000</v>
      </c>
      <c r="E814" s="6" t="s">
        <v>1256</v>
      </c>
      <c r="F814" s="6" t="s">
        <v>1389</v>
      </c>
      <c r="H814">
        <v>1E-3</v>
      </c>
      <c r="Q814" t="s">
        <v>8941</v>
      </c>
    </row>
    <row r="815" spans="1:17" x14ac:dyDescent="0.2">
      <c r="A815" t="s">
        <v>1273</v>
      </c>
      <c r="B815" s="6" t="s">
        <v>711</v>
      </c>
      <c r="C815" s="6">
        <v>1</v>
      </c>
      <c r="D815" s="6" t="s">
        <v>1000</v>
      </c>
      <c r="E815" s="6" t="s">
        <v>1258</v>
      </c>
      <c r="F815" t="s">
        <v>1260</v>
      </c>
      <c r="H815">
        <v>2.5390000000000001</v>
      </c>
    </row>
    <row r="816" spans="1:17" x14ac:dyDescent="0.2">
      <c r="A816" t="s">
        <v>1273</v>
      </c>
      <c r="B816" s="6" t="s">
        <v>711</v>
      </c>
      <c r="C816" s="6">
        <v>1</v>
      </c>
      <c r="D816" s="6" t="s">
        <v>1000</v>
      </c>
      <c r="E816" s="6" t="s">
        <v>1259</v>
      </c>
      <c r="F816" t="s">
        <v>1261</v>
      </c>
      <c r="H816">
        <v>3.4000000000000002E-2</v>
      </c>
    </row>
    <row r="817" spans="1:17" x14ac:dyDescent="0.2">
      <c r="A817" t="s">
        <v>1273</v>
      </c>
      <c r="B817" s="6" t="s">
        <v>711</v>
      </c>
      <c r="C817" s="6">
        <v>1</v>
      </c>
      <c r="D817" s="6" t="s">
        <v>1000</v>
      </c>
      <c r="E817" s="6" t="s">
        <v>1262</v>
      </c>
      <c r="F817" t="s">
        <v>1264</v>
      </c>
      <c r="H817">
        <f>20.7-1.8</f>
        <v>18.899999999999999</v>
      </c>
      <c r="O817" t="s">
        <v>1265</v>
      </c>
    </row>
    <row r="818" spans="1:17" x14ac:dyDescent="0.2">
      <c r="A818" t="s">
        <v>1273</v>
      </c>
      <c r="B818" s="6" t="s">
        <v>711</v>
      </c>
      <c r="C818" s="6">
        <v>1</v>
      </c>
      <c r="D818" s="6" t="s">
        <v>1000</v>
      </c>
      <c r="E818" s="6" t="s">
        <v>1263</v>
      </c>
      <c r="F818" t="s">
        <v>1183</v>
      </c>
      <c r="H818">
        <f>1.114-0.41</f>
        <v>0.70400000000000018</v>
      </c>
      <c r="O818" t="s">
        <v>1265</v>
      </c>
    </row>
    <row r="819" spans="1:17" x14ac:dyDescent="0.2">
      <c r="A819" t="s">
        <v>1272</v>
      </c>
      <c r="B819" s="6" t="s">
        <v>1268</v>
      </c>
      <c r="C819" s="6">
        <v>2</v>
      </c>
      <c r="D819" s="6" t="s">
        <v>1276</v>
      </c>
      <c r="E819" s="6" t="s">
        <v>1278</v>
      </c>
      <c r="F819" s="6" t="s">
        <v>1279</v>
      </c>
      <c r="H819">
        <f>8-0.408</f>
        <v>7.5919999999999996</v>
      </c>
      <c r="O819" t="s">
        <v>1280</v>
      </c>
    </row>
    <row r="820" spans="1:17" x14ac:dyDescent="0.2">
      <c r="A820" t="s">
        <v>1272</v>
      </c>
      <c r="B820" s="6" t="s">
        <v>1268</v>
      </c>
      <c r="C820" s="6">
        <v>2</v>
      </c>
      <c r="D820" s="6" t="s">
        <v>1276</v>
      </c>
      <c r="E820" s="6" t="s">
        <v>1281</v>
      </c>
      <c r="F820" s="6" t="s">
        <v>8633</v>
      </c>
      <c r="H820">
        <v>2.1000000000000001E-2</v>
      </c>
      <c r="P820" t="s">
        <v>1479</v>
      </c>
      <c r="Q820" t="s">
        <v>8947</v>
      </c>
    </row>
    <row r="821" spans="1:17" x14ac:dyDescent="0.2">
      <c r="A821" t="s">
        <v>1272</v>
      </c>
      <c r="B821" s="6" t="s">
        <v>1268</v>
      </c>
      <c r="C821" s="6">
        <v>2</v>
      </c>
      <c r="D821" s="6" t="s">
        <v>1276</v>
      </c>
      <c r="E821" s="6" t="s">
        <v>1282</v>
      </c>
      <c r="F821" s="6" t="s">
        <v>8633</v>
      </c>
      <c r="H821">
        <f>1.228-0.224</f>
        <v>1.004</v>
      </c>
      <c r="L821" t="s">
        <v>315</v>
      </c>
      <c r="N821">
        <v>0</v>
      </c>
      <c r="O821" t="s">
        <v>1317</v>
      </c>
    </row>
    <row r="822" spans="1:17" x14ac:dyDescent="0.2">
      <c r="A822" t="s">
        <v>1272</v>
      </c>
      <c r="B822" s="6" t="s">
        <v>1268</v>
      </c>
      <c r="C822" s="6">
        <v>2</v>
      </c>
      <c r="D822" s="6" t="s">
        <v>1276</v>
      </c>
      <c r="E822" s="6" t="s">
        <v>1283</v>
      </c>
      <c r="F822" s="6" t="s">
        <v>8633</v>
      </c>
      <c r="H822">
        <v>5.0999999999999997E-2</v>
      </c>
      <c r="Q822" t="s">
        <v>8948</v>
      </c>
    </row>
    <row r="823" spans="1:17" x14ac:dyDescent="0.2">
      <c r="A823" t="s">
        <v>1272</v>
      </c>
      <c r="B823" s="6" t="s">
        <v>1268</v>
      </c>
      <c r="C823" s="6">
        <v>2</v>
      </c>
      <c r="D823" s="6" t="s">
        <v>1276</v>
      </c>
      <c r="E823" s="6" t="s">
        <v>1284</v>
      </c>
      <c r="F823" s="6" t="s">
        <v>8633</v>
      </c>
      <c r="H823">
        <v>4.7E-2</v>
      </c>
      <c r="Q823" t="s">
        <v>8949</v>
      </c>
    </row>
    <row r="824" spans="1:17" x14ac:dyDescent="0.2">
      <c r="A824" t="s">
        <v>1272</v>
      </c>
      <c r="B824" s="6" t="s">
        <v>1268</v>
      </c>
      <c r="C824" s="6">
        <v>2</v>
      </c>
      <c r="D824" s="6" t="s">
        <v>1276</v>
      </c>
      <c r="E824" s="6" t="s">
        <v>1285</v>
      </c>
      <c r="F824" s="6" t="s">
        <v>8633</v>
      </c>
      <c r="H824">
        <v>7.0000000000000007E-2</v>
      </c>
      <c r="Q824" t="s">
        <v>8950</v>
      </c>
    </row>
    <row r="825" spans="1:17" x14ac:dyDescent="0.2">
      <c r="A825" t="s">
        <v>1272</v>
      </c>
      <c r="B825" s="6" t="s">
        <v>1268</v>
      </c>
      <c r="C825" s="6">
        <v>2</v>
      </c>
      <c r="D825" s="6" t="s">
        <v>1276</v>
      </c>
      <c r="E825" s="6" t="s">
        <v>1286</v>
      </c>
      <c r="F825" s="6" t="s">
        <v>8633</v>
      </c>
      <c r="H825">
        <f>0.035-0.008</f>
        <v>2.7000000000000003E-2</v>
      </c>
      <c r="Q825" t="s">
        <v>8951</v>
      </c>
    </row>
    <row r="826" spans="1:17" x14ac:dyDescent="0.2">
      <c r="A826" t="s">
        <v>1272</v>
      </c>
      <c r="B826" s="6" t="s">
        <v>1268</v>
      </c>
      <c r="C826" s="6">
        <v>2</v>
      </c>
      <c r="D826" s="6" t="s">
        <v>1276</v>
      </c>
      <c r="E826" s="6" t="s">
        <v>1287</v>
      </c>
      <c r="F826" s="6" t="s">
        <v>8633</v>
      </c>
      <c r="H826">
        <v>0.214</v>
      </c>
      <c r="M826">
        <v>5</v>
      </c>
    </row>
    <row r="827" spans="1:17" x14ac:dyDescent="0.2">
      <c r="A827" t="s">
        <v>1272</v>
      </c>
      <c r="B827" s="6" t="s">
        <v>1268</v>
      </c>
      <c r="C827" s="6">
        <v>2</v>
      </c>
      <c r="D827" s="6" t="s">
        <v>1276</v>
      </c>
      <c r="E827" s="6" t="s">
        <v>1296</v>
      </c>
      <c r="F827" s="6" t="s">
        <v>8633</v>
      </c>
      <c r="H827">
        <v>0.36499999999999999</v>
      </c>
    </row>
    <row r="828" spans="1:17" x14ac:dyDescent="0.2">
      <c r="A828" t="s">
        <v>1272</v>
      </c>
      <c r="B828" s="6" t="s">
        <v>1268</v>
      </c>
      <c r="C828" s="6">
        <v>2</v>
      </c>
      <c r="D828" s="6" t="s">
        <v>1276</v>
      </c>
      <c r="E828" s="6" t="s">
        <v>1288</v>
      </c>
      <c r="F828" s="6" t="s">
        <v>8633</v>
      </c>
      <c r="H828">
        <f>0.948-0.4</f>
        <v>0.54799999999999993</v>
      </c>
      <c r="L828" t="s">
        <v>315</v>
      </c>
      <c r="N828">
        <v>0</v>
      </c>
      <c r="O828" t="s">
        <v>1318</v>
      </c>
    </row>
    <row r="829" spans="1:17" x14ac:dyDescent="0.2">
      <c r="A829" t="s">
        <v>1272</v>
      </c>
      <c r="B829" s="6" t="s">
        <v>1268</v>
      </c>
      <c r="C829" s="6">
        <v>2</v>
      </c>
      <c r="D829" s="6" t="s">
        <v>1276</v>
      </c>
      <c r="E829" s="6" t="s">
        <v>1289</v>
      </c>
      <c r="F829" s="6" t="s">
        <v>8633</v>
      </c>
      <c r="H829">
        <v>7.0000000000000001E-3</v>
      </c>
      <c r="Q829" t="s">
        <v>8942</v>
      </c>
    </row>
    <row r="830" spans="1:17" x14ac:dyDescent="0.2">
      <c r="A830" t="s">
        <v>1272</v>
      </c>
      <c r="B830" s="6" t="s">
        <v>1268</v>
      </c>
      <c r="C830" s="6">
        <v>2</v>
      </c>
      <c r="D830" s="6" t="s">
        <v>1276</v>
      </c>
      <c r="E830" s="6" t="s">
        <v>1290</v>
      </c>
      <c r="F830" s="6" t="s">
        <v>8633</v>
      </c>
      <c r="H830">
        <v>6.0000000000000001E-3</v>
      </c>
      <c r="Q830" t="s">
        <v>8943</v>
      </c>
    </row>
    <row r="831" spans="1:17" x14ac:dyDescent="0.2">
      <c r="A831" t="s">
        <v>1272</v>
      </c>
      <c r="B831" s="6" t="s">
        <v>1268</v>
      </c>
      <c r="C831" s="6">
        <v>2</v>
      </c>
      <c r="D831" s="6" t="s">
        <v>1276</v>
      </c>
      <c r="E831" s="6" t="s">
        <v>1291</v>
      </c>
      <c r="F831" s="6" t="s">
        <v>8633</v>
      </c>
      <c r="H831">
        <v>1.7999999999999999E-2</v>
      </c>
      <c r="Q831" t="s">
        <v>8944</v>
      </c>
    </row>
    <row r="832" spans="1:17" x14ac:dyDescent="0.2">
      <c r="A832" t="s">
        <v>1272</v>
      </c>
      <c r="B832" s="6" t="s">
        <v>1268</v>
      </c>
      <c r="C832" s="6">
        <v>2</v>
      </c>
      <c r="D832" s="6" t="s">
        <v>1276</v>
      </c>
      <c r="E832" s="6" t="s">
        <v>1292</v>
      </c>
      <c r="F832" s="6" t="s">
        <v>8633</v>
      </c>
      <c r="H832">
        <v>1.9E-2</v>
      </c>
      <c r="Q832" t="s">
        <v>8945</v>
      </c>
    </row>
    <row r="833" spans="1:17" x14ac:dyDescent="0.2">
      <c r="A833" t="s">
        <v>1272</v>
      </c>
      <c r="B833" s="6" t="s">
        <v>1268</v>
      </c>
      <c r="C833" s="6">
        <v>2</v>
      </c>
      <c r="D833" s="6" t="s">
        <v>1276</v>
      </c>
      <c r="E833" s="6" t="s">
        <v>1293</v>
      </c>
      <c r="F833" s="6" t="s">
        <v>8633</v>
      </c>
      <c r="H833">
        <v>1.0999999999999999E-2</v>
      </c>
      <c r="Q833" t="s">
        <v>8946</v>
      </c>
    </row>
    <row r="834" spans="1:17" x14ac:dyDescent="0.2">
      <c r="A834" t="s">
        <v>1272</v>
      </c>
      <c r="B834" s="6" t="s">
        <v>1268</v>
      </c>
      <c r="C834" s="6">
        <v>2</v>
      </c>
      <c r="D834" s="6" t="s">
        <v>1276</v>
      </c>
      <c r="E834" s="6" t="s">
        <v>1294</v>
      </c>
      <c r="F834" s="6" t="s">
        <v>8633</v>
      </c>
      <c r="H834">
        <v>7.0999999999999994E-2</v>
      </c>
    </row>
    <row r="835" spans="1:17" x14ac:dyDescent="0.2">
      <c r="A835" t="s">
        <v>1272</v>
      </c>
      <c r="B835" s="6" t="s">
        <v>1268</v>
      </c>
      <c r="C835" s="6">
        <v>2</v>
      </c>
      <c r="D835" s="6" t="s">
        <v>1276</v>
      </c>
      <c r="E835" s="6" t="s">
        <v>1295</v>
      </c>
      <c r="F835" s="6" t="s">
        <v>8633</v>
      </c>
      <c r="H835">
        <v>0.37</v>
      </c>
      <c r="L835" t="s">
        <v>315</v>
      </c>
    </row>
    <row r="836" spans="1:17" x14ac:dyDescent="0.2">
      <c r="A836" t="s">
        <v>1272</v>
      </c>
      <c r="B836" s="6" t="s">
        <v>1268</v>
      </c>
      <c r="C836" s="6">
        <v>2</v>
      </c>
      <c r="D836" s="6" t="s">
        <v>1276</v>
      </c>
      <c r="E836" s="6" t="s">
        <v>1297</v>
      </c>
      <c r="F836" s="6" t="s">
        <v>7337</v>
      </c>
      <c r="H836">
        <v>9.4E-2</v>
      </c>
      <c r="Q836" t="s">
        <v>8952</v>
      </c>
    </row>
    <row r="837" spans="1:17" x14ac:dyDescent="0.2">
      <c r="A837" t="s">
        <v>1272</v>
      </c>
      <c r="B837" s="6" t="s">
        <v>1268</v>
      </c>
      <c r="C837" s="6">
        <v>2</v>
      </c>
      <c r="D837" s="6" t="s">
        <v>1276</v>
      </c>
      <c r="E837" s="6" t="s">
        <v>1298</v>
      </c>
      <c r="F837" s="6" t="s">
        <v>7337</v>
      </c>
      <c r="H837">
        <v>1.4E-2</v>
      </c>
      <c r="Q837" t="s">
        <v>8953</v>
      </c>
    </row>
    <row r="838" spans="1:17" x14ac:dyDescent="0.2">
      <c r="A838" t="s">
        <v>1272</v>
      </c>
      <c r="B838" s="6" t="s">
        <v>1268</v>
      </c>
      <c r="C838" s="6">
        <v>2</v>
      </c>
      <c r="D838" s="6" t="s">
        <v>1276</v>
      </c>
      <c r="E838" s="6" t="s">
        <v>1299</v>
      </c>
      <c r="F838" s="6" t="s">
        <v>6231</v>
      </c>
      <c r="H838">
        <v>0.02</v>
      </c>
      <c r="Q838" t="s">
        <v>8954</v>
      </c>
    </row>
    <row r="839" spans="1:17" x14ac:dyDescent="0.2">
      <c r="A839" t="s">
        <v>1272</v>
      </c>
      <c r="B839" s="6" t="s">
        <v>1268</v>
      </c>
      <c r="C839" s="6">
        <v>2</v>
      </c>
      <c r="D839" s="6" t="s">
        <v>1276</v>
      </c>
      <c r="E839" s="6" t="s">
        <v>1300</v>
      </c>
      <c r="F839" s="6" t="s">
        <v>6231</v>
      </c>
      <c r="H839">
        <v>1.7000000000000001E-2</v>
      </c>
      <c r="Q839" t="s">
        <v>8955</v>
      </c>
    </row>
    <row r="840" spans="1:17" x14ac:dyDescent="0.2">
      <c r="A840" t="s">
        <v>1272</v>
      </c>
      <c r="B840" s="6" t="s">
        <v>1268</v>
      </c>
      <c r="C840" s="6">
        <v>2</v>
      </c>
      <c r="D840" s="6" t="s">
        <v>1276</v>
      </c>
      <c r="E840" s="6" t="s">
        <v>1301</v>
      </c>
      <c r="F840" s="6" t="s">
        <v>1391</v>
      </c>
      <c r="H840">
        <v>6.0000000000000001E-3</v>
      </c>
      <c r="Q840" t="s">
        <v>8956</v>
      </c>
    </row>
    <row r="841" spans="1:17" x14ac:dyDescent="0.2">
      <c r="A841" t="s">
        <v>1272</v>
      </c>
      <c r="B841" s="6" t="s">
        <v>1268</v>
      </c>
      <c r="C841" s="6">
        <v>2</v>
      </c>
      <c r="D841" s="6" t="s">
        <v>1276</v>
      </c>
      <c r="E841" s="6" t="s">
        <v>1302</v>
      </c>
      <c r="F841" s="6" t="s">
        <v>1391</v>
      </c>
      <c r="H841">
        <v>3.0000000000000001E-3</v>
      </c>
      <c r="Q841" t="s">
        <v>8957</v>
      </c>
    </row>
    <row r="842" spans="1:17" x14ac:dyDescent="0.2">
      <c r="A842" t="s">
        <v>1272</v>
      </c>
      <c r="B842" s="6" t="s">
        <v>1268</v>
      </c>
      <c r="C842" s="6">
        <v>2</v>
      </c>
      <c r="D842" s="6" t="s">
        <v>1276</v>
      </c>
      <c r="E842" s="6" t="s">
        <v>1306</v>
      </c>
      <c r="F842" s="6" t="s">
        <v>332</v>
      </c>
      <c r="H842">
        <f>0.589-0.4</f>
        <v>0.18899999999999995</v>
      </c>
    </row>
    <row r="843" spans="1:17" x14ac:dyDescent="0.2">
      <c r="A843" t="s">
        <v>1272</v>
      </c>
      <c r="B843" s="6" t="s">
        <v>1268</v>
      </c>
      <c r="C843" s="6">
        <v>2</v>
      </c>
      <c r="D843" s="6" t="s">
        <v>1276</v>
      </c>
      <c r="E843" s="6" t="s">
        <v>1307</v>
      </c>
      <c r="F843" s="6" t="s">
        <v>7138</v>
      </c>
      <c r="H843">
        <v>8.8999999999999996E-2</v>
      </c>
      <c r="Q843" t="s">
        <v>8965</v>
      </c>
    </row>
    <row r="844" spans="1:17" x14ac:dyDescent="0.2">
      <c r="A844" t="s">
        <v>1272</v>
      </c>
      <c r="B844" s="6" t="s">
        <v>1268</v>
      </c>
      <c r="C844" s="6">
        <v>2</v>
      </c>
      <c r="D844" s="6" t="s">
        <v>1276</v>
      </c>
      <c r="E844" s="6" t="s">
        <v>1308</v>
      </c>
      <c r="F844" s="6" t="s">
        <v>7138</v>
      </c>
      <c r="H844">
        <v>4.0000000000000001E-3</v>
      </c>
      <c r="M844">
        <v>3</v>
      </c>
      <c r="Q844" t="s">
        <v>8966</v>
      </c>
    </row>
    <row r="845" spans="1:17" x14ac:dyDescent="0.2">
      <c r="A845" t="s">
        <v>1272</v>
      </c>
      <c r="B845" s="6" t="s">
        <v>1268</v>
      </c>
      <c r="C845" s="6">
        <v>2</v>
      </c>
      <c r="D845" s="6" t="s">
        <v>1276</v>
      </c>
      <c r="E845" s="6" t="s">
        <v>1309</v>
      </c>
      <c r="F845" s="6" t="s">
        <v>7138</v>
      </c>
      <c r="H845">
        <v>4.2000000000000003E-2</v>
      </c>
      <c r="Q845" t="s">
        <v>8967</v>
      </c>
    </row>
    <row r="846" spans="1:17" x14ac:dyDescent="0.2">
      <c r="A846" t="s">
        <v>1272</v>
      </c>
      <c r="B846" s="6" t="s">
        <v>1268</v>
      </c>
      <c r="C846" s="6">
        <v>2</v>
      </c>
      <c r="D846" s="6" t="s">
        <v>1276</v>
      </c>
      <c r="E846" s="6" t="s">
        <v>1310</v>
      </c>
      <c r="F846" s="6" t="s">
        <v>234</v>
      </c>
      <c r="H846">
        <f>0.717-0.593+0.002+0.003</f>
        <v>0.129</v>
      </c>
      <c r="N846">
        <v>0</v>
      </c>
    </row>
    <row r="847" spans="1:17" x14ac:dyDescent="0.2">
      <c r="A847" t="s">
        <v>1272</v>
      </c>
      <c r="B847" s="6" t="s">
        <v>1268</v>
      </c>
      <c r="C847" s="6">
        <v>2</v>
      </c>
      <c r="D847" s="6" t="s">
        <v>1276</v>
      </c>
      <c r="E847" s="6" t="s">
        <v>1312</v>
      </c>
      <c r="F847" s="6" t="s">
        <v>1311</v>
      </c>
      <c r="H847">
        <v>3.0000000000000001E-3</v>
      </c>
      <c r="Q847" t="s">
        <v>8958</v>
      </c>
    </row>
    <row r="848" spans="1:17" x14ac:dyDescent="0.2">
      <c r="A848" t="s">
        <v>1272</v>
      </c>
      <c r="B848" s="6" t="s">
        <v>1268</v>
      </c>
      <c r="C848" s="6">
        <v>2</v>
      </c>
      <c r="D848" s="6" t="s">
        <v>1276</v>
      </c>
      <c r="E848" s="6" t="s">
        <v>1313</v>
      </c>
      <c r="F848" s="6" t="s">
        <v>1311</v>
      </c>
      <c r="H848">
        <v>2E-3</v>
      </c>
      <c r="Q848" t="s">
        <v>8959</v>
      </c>
    </row>
    <row r="849" spans="1:17" x14ac:dyDescent="0.2">
      <c r="A849" t="s">
        <v>1272</v>
      </c>
      <c r="B849" s="6" t="s">
        <v>1268</v>
      </c>
      <c r="C849" s="6">
        <v>2</v>
      </c>
      <c r="D849" s="6" t="s">
        <v>1276</v>
      </c>
      <c r="E849" s="6" t="s">
        <v>1314</v>
      </c>
      <c r="F849" s="6" t="s">
        <v>364</v>
      </c>
      <c r="H849">
        <v>8.0000000000000002E-3</v>
      </c>
      <c r="Q849" t="s">
        <v>8960</v>
      </c>
    </row>
    <row r="850" spans="1:17" x14ac:dyDescent="0.2">
      <c r="A850" t="s">
        <v>1272</v>
      </c>
      <c r="B850" s="6" t="s">
        <v>1268</v>
      </c>
      <c r="C850" s="6">
        <v>2</v>
      </c>
      <c r="D850" s="6" t="s">
        <v>1276</v>
      </c>
      <c r="E850" s="6" t="s">
        <v>1315</v>
      </c>
      <c r="F850" s="6" t="s">
        <v>1316</v>
      </c>
      <c r="H850">
        <f>0.65-0.427</f>
        <v>0.22300000000000003</v>
      </c>
    </row>
    <row r="851" spans="1:17" x14ac:dyDescent="0.2">
      <c r="A851" t="s">
        <v>1272</v>
      </c>
      <c r="B851" s="6" t="s">
        <v>1268</v>
      </c>
      <c r="C851" s="6">
        <v>2</v>
      </c>
      <c r="D851" s="6" t="s">
        <v>1276</v>
      </c>
      <c r="E851" s="6" t="s">
        <v>1319</v>
      </c>
      <c r="F851" s="6" t="s">
        <v>364</v>
      </c>
      <c r="H851">
        <v>7.0000000000000001E-3</v>
      </c>
      <c r="Q851" t="s">
        <v>8961</v>
      </c>
    </row>
    <row r="852" spans="1:17" x14ac:dyDescent="0.2">
      <c r="A852" t="s">
        <v>1272</v>
      </c>
      <c r="B852" s="6" t="s">
        <v>1268</v>
      </c>
      <c r="C852" s="6">
        <v>2</v>
      </c>
      <c r="D852" s="6" t="s">
        <v>1276</v>
      </c>
      <c r="E852" s="6" t="s">
        <v>1320</v>
      </c>
      <c r="F852" s="6" t="s">
        <v>364</v>
      </c>
      <c r="H852">
        <v>4.0000000000000001E-3</v>
      </c>
      <c r="Q852" t="s">
        <v>8962</v>
      </c>
    </row>
    <row r="853" spans="1:17" x14ac:dyDescent="0.2">
      <c r="A853" t="s">
        <v>1272</v>
      </c>
      <c r="B853" s="6" t="s">
        <v>1268</v>
      </c>
      <c r="C853" s="6">
        <v>2</v>
      </c>
      <c r="D853" s="6" t="s">
        <v>1276</v>
      </c>
      <c r="E853" s="6" t="s">
        <v>1321</v>
      </c>
      <c r="F853" s="6" t="s">
        <v>364</v>
      </c>
      <c r="H853">
        <v>6.0000000000000001E-3</v>
      </c>
      <c r="Q853" t="s">
        <v>8963</v>
      </c>
    </row>
    <row r="854" spans="1:17" x14ac:dyDescent="0.2">
      <c r="A854" t="s">
        <v>1272</v>
      </c>
      <c r="B854" s="6" t="s">
        <v>1268</v>
      </c>
      <c r="C854" s="6">
        <v>2</v>
      </c>
      <c r="D854" s="6" t="s">
        <v>1276</v>
      </c>
      <c r="E854" s="6" t="s">
        <v>1322</v>
      </c>
      <c r="F854" s="6" t="s">
        <v>364</v>
      </c>
      <c r="H854">
        <v>3.0000000000000001E-3</v>
      </c>
      <c r="Q854" t="s">
        <v>8964</v>
      </c>
    </row>
    <row r="855" spans="1:17" x14ac:dyDescent="0.2">
      <c r="A855" t="s">
        <v>1272</v>
      </c>
      <c r="B855" s="6" t="s">
        <v>1268</v>
      </c>
      <c r="C855" s="6">
        <v>2</v>
      </c>
      <c r="D855" s="6" t="s">
        <v>1276</v>
      </c>
      <c r="E855" s="6" t="s">
        <v>1323</v>
      </c>
      <c r="F855" s="6" t="s">
        <v>364</v>
      </c>
      <c r="H855">
        <v>5.6000000000000001E-2</v>
      </c>
    </row>
    <row r="856" spans="1:17" x14ac:dyDescent="0.2">
      <c r="A856" t="s">
        <v>1272</v>
      </c>
      <c r="B856" s="6" t="s">
        <v>1268</v>
      </c>
      <c r="C856" s="6">
        <v>2</v>
      </c>
      <c r="D856" s="6" t="s">
        <v>1276</v>
      </c>
      <c r="E856" s="6" t="s">
        <v>1324</v>
      </c>
      <c r="F856" s="6" t="s">
        <v>364</v>
      </c>
      <c r="H856">
        <v>5.6000000000000001E-2</v>
      </c>
    </row>
    <row r="857" spans="1:17" x14ac:dyDescent="0.2">
      <c r="A857" t="s">
        <v>1272</v>
      </c>
      <c r="B857" s="6" t="s">
        <v>1268</v>
      </c>
      <c r="C857" s="6">
        <v>2</v>
      </c>
      <c r="D857" s="6" t="s">
        <v>1276</v>
      </c>
      <c r="E857" s="6" t="s">
        <v>1325</v>
      </c>
      <c r="F857" s="6" t="s">
        <v>1326</v>
      </c>
      <c r="H857">
        <f>0.508-0.345</f>
        <v>0.16300000000000003</v>
      </c>
      <c r="N857">
        <v>0</v>
      </c>
      <c r="O857" t="s">
        <v>1327</v>
      </c>
    </row>
    <row r="858" spans="1:17" x14ac:dyDescent="0.2">
      <c r="A858" t="s">
        <v>1272</v>
      </c>
      <c r="B858" s="6" t="s">
        <v>1268</v>
      </c>
      <c r="C858" s="6">
        <v>2</v>
      </c>
      <c r="D858" s="6" t="s">
        <v>1276</v>
      </c>
      <c r="E858" s="6" t="s">
        <v>1328</v>
      </c>
      <c r="F858" s="6" t="s">
        <v>1326</v>
      </c>
      <c r="H858">
        <v>1.6E-2</v>
      </c>
      <c r="Q858" t="s">
        <v>8968</v>
      </c>
    </row>
    <row r="859" spans="1:17" x14ac:dyDescent="0.2">
      <c r="A859" t="s">
        <v>1272</v>
      </c>
      <c r="B859" s="6" t="s">
        <v>1268</v>
      </c>
      <c r="C859" s="6">
        <v>2</v>
      </c>
      <c r="D859" s="6" t="s">
        <v>1276</v>
      </c>
      <c r="E859" s="6" t="s">
        <v>1329</v>
      </c>
      <c r="F859" s="6" t="s">
        <v>1326</v>
      </c>
      <c r="H859">
        <v>1.7999999999999999E-2</v>
      </c>
      <c r="Q859" t="s">
        <v>8969</v>
      </c>
    </row>
    <row r="860" spans="1:17" x14ac:dyDescent="0.2">
      <c r="A860" t="s">
        <v>1272</v>
      </c>
      <c r="B860" s="6" t="s">
        <v>1268</v>
      </c>
      <c r="C860" s="6">
        <v>2</v>
      </c>
      <c r="D860" s="6" t="s">
        <v>1276</v>
      </c>
      <c r="E860" s="6" t="s">
        <v>1330</v>
      </c>
      <c r="F860" s="6" t="s">
        <v>1326</v>
      </c>
      <c r="H860">
        <v>3.0000000000000001E-3</v>
      </c>
      <c r="Q860" t="s">
        <v>8970</v>
      </c>
    </row>
    <row r="861" spans="1:17" x14ac:dyDescent="0.2">
      <c r="A861" t="s">
        <v>1272</v>
      </c>
      <c r="B861" s="6" t="s">
        <v>1268</v>
      </c>
      <c r="C861" s="6">
        <v>2</v>
      </c>
      <c r="D861" s="6" t="s">
        <v>1276</v>
      </c>
      <c r="E861" s="6" t="s">
        <v>1331</v>
      </c>
      <c r="F861" s="6" t="s">
        <v>1326</v>
      </c>
      <c r="H861">
        <v>3.0000000000000001E-3</v>
      </c>
      <c r="Q861" t="s">
        <v>8971</v>
      </c>
    </row>
    <row r="862" spans="1:17" x14ac:dyDescent="0.2">
      <c r="A862" t="s">
        <v>1272</v>
      </c>
      <c r="B862" s="6" t="s">
        <v>1268</v>
      </c>
      <c r="C862" s="6">
        <v>2</v>
      </c>
      <c r="D862" s="6" t="s">
        <v>1276</v>
      </c>
      <c r="E862" s="6" t="s">
        <v>1332</v>
      </c>
      <c r="F862" s="6" t="s">
        <v>1326</v>
      </c>
      <c r="H862">
        <v>7.0000000000000001E-3</v>
      </c>
      <c r="Q862" t="s">
        <v>8972</v>
      </c>
    </row>
    <row r="863" spans="1:17" x14ac:dyDescent="0.2">
      <c r="A863" t="s">
        <v>1272</v>
      </c>
      <c r="B863" s="6" t="s">
        <v>1268</v>
      </c>
      <c r="C863" s="6">
        <v>2</v>
      </c>
      <c r="D863" s="6" t="s">
        <v>1276</v>
      </c>
      <c r="E863" s="6" t="s">
        <v>1333</v>
      </c>
      <c r="F863" s="6" t="s">
        <v>1326</v>
      </c>
      <c r="H863">
        <v>0.03</v>
      </c>
      <c r="M863">
        <v>5</v>
      </c>
    </row>
    <row r="864" spans="1:17" x14ac:dyDescent="0.2">
      <c r="A864" t="s">
        <v>1272</v>
      </c>
      <c r="B864" s="6" t="s">
        <v>1268</v>
      </c>
      <c r="C864" s="6">
        <v>2</v>
      </c>
      <c r="D864" s="6" t="s">
        <v>1276</v>
      </c>
      <c r="E864" s="6" t="s">
        <v>1334</v>
      </c>
      <c r="F864" s="6" t="s">
        <v>1326</v>
      </c>
      <c r="H864">
        <v>0.08</v>
      </c>
    </row>
    <row r="865" spans="1:17" x14ac:dyDescent="0.2">
      <c r="A865" t="s">
        <v>1272</v>
      </c>
      <c r="B865" s="6" t="s">
        <v>1268</v>
      </c>
      <c r="C865" s="6">
        <v>2</v>
      </c>
      <c r="D865" s="6" t="s">
        <v>1276</v>
      </c>
      <c r="E865" s="6" t="s">
        <v>1335</v>
      </c>
      <c r="F865" s="6" t="s">
        <v>915</v>
      </c>
      <c r="H865">
        <f>1.2-0.427</f>
        <v>0.77299999999999991</v>
      </c>
      <c r="O865" t="s">
        <v>1336</v>
      </c>
    </row>
    <row r="866" spans="1:17" x14ac:dyDescent="0.2">
      <c r="A866" t="s">
        <v>1272</v>
      </c>
      <c r="B866" s="6" t="s">
        <v>1268</v>
      </c>
      <c r="C866" s="6">
        <v>2</v>
      </c>
      <c r="D866" s="6" t="s">
        <v>1276</v>
      </c>
      <c r="E866" s="6" t="s">
        <v>1337</v>
      </c>
      <c r="F866" s="6" t="s">
        <v>6815</v>
      </c>
      <c r="H866">
        <v>1.0999999999999999E-2</v>
      </c>
      <c r="O866" t="s">
        <v>1345</v>
      </c>
      <c r="Q866" t="s">
        <v>6072</v>
      </c>
    </row>
    <row r="867" spans="1:17" x14ac:dyDescent="0.2">
      <c r="A867" t="s">
        <v>1272</v>
      </c>
      <c r="B867" s="6" t="s">
        <v>1268</v>
      </c>
      <c r="C867" s="6">
        <v>2</v>
      </c>
      <c r="D867" s="6" t="s">
        <v>1276</v>
      </c>
      <c r="E867" s="6" t="s">
        <v>1338</v>
      </c>
      <c r="F867" s="6" t="s">
        <v>5936</v>
      </c>
      <c r="H867">
        <v>2E-3</v>
      </c>
      <c r="O867" t="s">
        <v>1345</v>
      </c>
      <c r="Q867" t="s">
        <v>6073</v>
      </c>
    </row>
    <row r="868" spans="1:17" x14ac:dyDescent="0.2">
      <c r="A868" t="s">
        <v>1272</v>
      </c>
      <c r="B868" s="6" t="s">
        <v>1268</v>
      </c>
      <c r="C868" s="6">
        <v>2</v>
      </c>
      <c r="D868" s="6" t="s">
        <v>1276</v>
      </c>
      <c r="E868" s="6" t="s">
        <v>1341</v>
      </c>
      <c r="F868" s="6" t="s">
        <v>5936</v>
      </c>
      <c r="H868">
        <v>2E-3</v>
      </c>
      <c r="O868" t="s">
        <v>1345</v>
      </c>
      <c r="Q868" t="s">
        <v>6074</v>
      </c>
    </row>
    <row r="869" spans="1:17" x14ac:dyDescent="0.2">
      <c r="A869" t="s">
        <v>1272</v>
      </c>
      <c r="B869" s="6" t="s">
        <v>1268</v>
      </c>
      <c r="C869" s="6">
        <v>2</v>
      </c>
      <c r="D869" s="6" t="s">
        <v>1276</v>
      </c>
      <c r="E869" s="6" t="s">
        <v>1342</v>
      </c>
      <c r="F869" s="6" t="s">
        <v>5936</v>
      </c>
      <c r="H869">
        <v>2E-3</v>
      </c>
      <c r="O869" t="s">
        <v>1345</v>
      </c>
    </row>
    <row r="870" spans="1:17" x14ac:dyDescent="0.2">
      <c r="A870" t="s">
        <v>1272</v>
      </c>
      <c r="B870" s="6" t="s">
        <v>1268</v>
      </c>
      <c r="C870" s="6">
        <v>2</v>
      </c>
      <c r="D870" s="6" t="s">
        <v>1276</v>
      </c>
      <c r="E870" s="6" t="s">
        <v>1343</v>
      </c>
      <c r="F870" s="6" t="s">
        <v>1344</v>
      </c>
      <c r="H870">
        <f>0.469-0.424</f>
        <v>4.4999999999999984E-2</v>
      </c>
    </row>
    <row r="871" spans="1:17" x14ac:dyDescent="0.2">
      <c r="A871" t="s">
        <v>1272</v>
      </c>
      <c r="B871" s="6" t="s">
        <v>1268</v>
      </c>
      <c r="C871" s="6">
        <v>2</v>
      </c>
      <c r="D871" s="6" t="s">
        <v>1276</v>
      </c>
      <c r="E871" s="6" t="s">
        <v>1339</v>
      </c>
      <c r="F871" s="6" t="s">
        <v>5936</v>
      </c>
      <c r="G871" t="s">
        <v>114</v>
      </c>
      <c r="Q871" t="s">
        <v>6070</v>
      </c>
    </row>
    <row r="872" spans="1:17" x14ac:dyDescent="0.2">
      <c r="A872" t="s">
        <v>1272</v>
      </c>
      <c r="B872" s="6" t="s">
        <v>1268</v>
      </c>
      <c r="C872" s="6">
        <v>2</v>
      </c>
      <c r="D872" s="6" t="s">
        <v>1276</v>
      </c>
      <c r="E872" s="6" t="s">
        <v>1340</v>
      </c>
      <c r="F872" s="6" t="s">
        <v>5936</v>
      </c>
      <c r="H872">
        <v>2E-3</v>
      </c>
      <c r="Q872" t="s">
        <v>6071</v>
      </c>
    </row>
    <row r="873" spans="1:17" x14ac:dyDescent="0.2">
      <c r="A873" t="s">
        <v>1272</v>
      </c>
      <c r="B873" s="6" t="s">
        <v>1268</v>
      </c>
      <c r="C873" s="6">
        <v>2</v>
      </c>
      <c r="D873" s="6" t="s">
        <v>1276</v>
      </c>
      <c r="E873" s="6" t="s">
        <v>1346</v>
      </c>
      <c r="F873" s="6" t="s">
        <v>1347</v>
      </c>
      <c r="H873">
        <f>2.2-0.589</f>
        <v>1.6110000000000002</v>
      </c>
      <c r="O873" t="s">
        <v>1348</v>
      </c>
    </row>
    <row r="874" spans="1:17" x14ac:dyDescent="0.2">
      <c r="A874" t="s">
        <v>1272</v>
      </c>
      <c r="B874" s="6" t="s">
        <v>1268</v>
      </c>
      <c r="C874" s="6">
        <v>4</v>
      </c>
      <c r="D874" s="6" t="s">
        <v>1276</v>
      </c>
      <c r="E874" s="6" t="s">
        <v>1350</v>
      </c>
      <c r="F874" s="6" t="s">
        <v>1351</v>
      </c>
      <c r="H874">
        <f>5-0.4</f>
        <v>4.5999999999999996</v>
      </c>
      <c r="O874" t="s">
        <v>1354</v>
      </c>
    </row>
    <row r="875" spans="1:17" x14ac:dyDescent="0.2">
      <c r="A875" t="s">
        <v>1272</v>
      </c>
      <c r="B875" s="6" t="s">
        <v>1268</v>
      </c>
      <c r="C875" s="6">
        <v>4</v>
      </c>
      <c r="D875" s="6" t="s">
        <v>1276</v>
      </c>
      <c r="E875" s="6" t="s">
        <v>1352</v>
      </c>
      <c r="F875" s="6" t="s">
        <v>645</v>
      </c>
      <c r="H875">
        <f>0.975-0.285</f>
        <v>0.69</v>
      </c>
      <c r="O875" t="s">
        <v>1355</v>
      </c>
    </row>
    <row r="876" spans="1:17" x14ac:dyDescent="0.2">
      <c r="A876" t="s">
        <v>1272</v>
      </c>
      <c r="B876" s="6" t="s">
        <v>1268</v>
      </c>
      <c r="C876" s="6">
        <v>4</v>
      </c>
      <c r="D876" s="6" t="s">
        <v>1276</v>
      </c>
      <c r="E876" s="6" t="s">
        <v>1349</v>
      </c>
      <c r="F876" s="6" t="s">
        <v>1353</v>
      </c>
      <c r="H876">
        <v>1.0329999999999999</v>
      </c>
      <c r="N876">
        <v>0</v>
      </c>
      <c r="O876" t="s">
        <v>1356</v>
      </c>
    </row>
    <row r="877" spans="1:17" x14ac:dyDescent="0.2">
      <c r="A877" t="s">
        <v>1272</v>
      </c>
      <c r="B877" s="6" t="s">
        <v>1268</v>
      </c>
      <c r="C877" s="6">
        <v>4</v>
      </c>
      <c r="D877" s="6" t="s">
        <v>1276</v>
      </c>
      <c r="E877" s="6" t="s">
        <v>1357</v>
      </c>
      <c r="F877" s="6" t="s">
        <v>332</v>
      </c>
      <c r="H877">
        <v>3.2000000000000001E-2</v>
      </c>
      <c r="Q877" t="s">
        <v>8976</v>
      </c>
    </row>
    <row r="878" spans="1:17" x14ac:dyDescent="0.2">
      <c r="A878" t="s">
        <v>1272</v>
      </c>
      <c r="B878" s="6" t="s">
        <v>1268</v>
      </c>
      <c r="C878" s="6">
        <v>4</v>
      </c>
      <c r="D878" s="6" t="s">
        <v>1276</v>
      </c>
      <c r="E878" s="6" t="s">
        <v>1358</v>
      </c>
      <c r="F878" s="6" t="s">
        <v>332</v>
      </c>
      <c r="H878">
        <v>3.0000000000000001E-3</v>
      </c>
      <c r="Q878" t="s">
        <v>8984</v>
      </c>
    </row>
    <row r="879" spans="1:17" x14ac:dyDescent="0.2">
      <c r="A879" t="s">
        <v>1272</v>
      </c>
      <c r="B879" s="6" t="s">
        <v>1268</v>
      </c>
      <c r="C879" s="6">
        <v>4</v>
      </c>
      <c r="D879" s="6" t="s">
        <v>1276</v>
      </c>
      <c r="E879" s="6" t="s">
        <v>1359</v>
      </c>
      <c r="F879" s="6" t="s">
        <v>332</v>
      </c>
      <c r="H879">
        <v>3.0000000000000001E-3</v>
      </c>
      <c r="Q879" t="s">
        <v>8985</v>
      </c>
    </row>
    <row r="880" spans="1:17" x14ac:dyDescent="0.2">
      <c r="A880" t="s">
        <v>1272</v>
      </c>
      <c r="B880" s="6" t="s">
        <v>1268</v>
      </c>
      <c r="C880" s="6">
        <v>4</v>
      </c>
      <c r="D880" s="6" t="s">
        <v>1276</v>
      </c>
      <c r="E880" s="6" t="s">
        <v>1360</v>
      </c>
      <c r="F880" s="6" t="s">
        <v>8975</v>
      </c>
      <c r="H880">
        <v>0.01</v>
      </c>
      <c r="Q880" t="s">
        <v>8974</v>
      </c>
    </row>
    <row r="881" spans="1:17" x14ac:dyDescent="0.2">
      <c r="A881" t="s">
        <v>1272</v>
      </c>
      <c r="B881" s="6" t="s">
        <v>1268</v>
      </c>
      <c r="C881" s="6">
        <v>4</v>
      </c>
      <c r="D881" s="6" t="s">
        <v>1276</v>
      </c>
      <c r="E881" s="6" t="s">
        <v>1361</v>
      </c>
      <c r="F881" s="6" t="s">
        <v>364</v>
      </c>
      <c r="H881">
        <v>7.0000000000000001E-3</v>
      </c>
      <c r="Q881" t="s">
        <v>8977</v>
      </c>
    </row>
    <row r="882" spans="1:17" x14ac:dyDescent="0.2">
      <c r="A882" t="s">
        <v>1272</v>
      </c>
      <c r="B882" s="6" t="s">
        <v>1268</v>
      </c>
      <c r="C882" s="6">
        <v>4</v>
      </c>
      <c r="D882" s="6" t="s">
        <v>1276</v>
      </c>
      <c r="E882" s="6" t="s">
        <v>1362</v>
      </c>
      <c r="F882" s="6" t="s">
        <v>364</v>
      </c>
      <c r="H882">
        <v>2E-3</v>
      </c>
      <c r="Q882" t="s">
        <v>8978</v>
      </c>
    </row>
    <row r="883" spans="1:17" x14ac:dyDescent="0.2">
      <c r="A883" t="s">
        <v>1272</v>
      </c>
      <c r="B883" s="6" t="s">
        <v>1268</v>
      </c>
      <c r="C883" s="6">
        <v>4</v>
      </c>
      <c r="D883" s="6" t="s">
        <v>1276</v>
      </c>
      <c r="E883" s="6" t="s">
        <v>1363</v>
      </c>
      <c r="F883" s="6" t="s">
        <v>364</v>
      </c>
      <c r="H883">
        <v>7.0000000000000001E-3</v>
      </c>
      <c r="Q883" t="s">
        <v>8979</v>
      </c>
    </row>
    <row r="884" spans="1:17" x14ac:dyDescent="0.2">
      <c r="A884" t="s">
        <v>1272</v>
      </c>
      <c r="B884" s="6" t="s">
        <v>1268</v>
      </c>
      <c r="C884" s="6">
        <v>4</v>
      </c>
      <c r="D884" s="6" t="s">
        <v>1276</v>
      </c>
      <c r="E884" s="6" t="s">
        <v>1364</v>
      </c>
      <c r="F884" s="6" t="s">
        <v>364</v>
      </c>
      <c r="G884" s="6" t="s">
        <v>114</v>
      </c>
      <c r="Q884" t="s">
        <v>8980</v>
      </c>
    </row>
    <row r="885" spans="1:17" x14ac:dyDescent="0.2">
      <c r="A885" t="s">
        <v>1272</v>
      </c>
      <c r="B885" s="6" t="s">
        <v>1268</v>
      </c>
      <c r="C885" s="6">
        <v>4</v>
      </c>
      <c r="D885" s="6" t="s">
        <v>1276</v>
      </c>
      <c r="E885" s="6" t="s">
        <v>1365</v>
      </c>
      <c r="F885" s="6" t="s">
        <v>364</v>
      </c>
      <c r="H885">
        <v>3.0000000000000001E-3</v>
      </c>
      <c r="Q885" t="s">
        <v>8981</v>
      </c>
    </row>
    <row r="886" spans="1:17" x14ac:dyDescent="0.2">
      <c r="A886" t="s">
        <v>1272</v>
      </c>
      <c r="B886" s="6" t="s">
        <v>1268</v>
      </c>
      <c r="C886" s="6">
        <v>4</v>
      </c>
      <c r="D886" s="6" t="s">
        <v>1276</v>
      </c>
      <c r="E886" s="6" t="s">
        <v>1367</v>
      </c>
      <c r="F886" s="6" t="s">
        <v>1391</v>
      </c>
      <c r="H886">
        <v>4.0000000000000001E-3</v>
      </c>
    </row>
    <row r="887" spans="1:17" x14ac:dyDescent="0.2">
      <c r="A887" t="s">
        <v>1272</v>
      </c>
      <c r="B887" s="6" t="s">
        <v>1268</v>
      </c>
      <c r="C887" s="6">
        <v>4</v>
      </c>
      <c r="D887" s="6" t="s">
        <v>1276</v>
      </c>
      <c r="E887" s="6" t="s">
        <v>1370</v>
      </c>
      <c r="F887" s="6" t="s">
        <v>1390</v>
      </c>
      <c r="H887">
        <v>1E-3</v>
      </c>
      <c r="Q887" t="s">
        <v>8973</v>
      </c>
    </row>
    <row r="888" spans="1:17" x14ac:dyDescent="0.2">
      <c r="A888" t="s">
        <v>1272</v>
      </c>
      <c r="B888" s="6" t="s">
        <v>1268</v>
      </c>
      <c r="C888" s="6">
        <v>4</v>
      </c>
      <c r="D888" s="6" t="s">
        <v>1276</v>
      </c>
      <c r="E888" s="6" t="s">
        <v>1371</v>
      </c>
      <c r="F888" s="6" t="s">
        <v>1390</v>
      </c>
      <c r="H888">
        <v>1E-3</v>
      </c>
      <c r="Q888" t="s">
        <v>8982</v>
      </c>
    </row>
    <row r="889" spans="1:17" x14ac:dyDescent="0.2">
      <c r="A889" t="s">
        <v>1272</v>
      </c>
      <c r="B889" s="6" t="s">
        <v>1268</v>
      </c>
      <c r="C889" s="6">
        <v>4</v>
      </c>
      <c r="D889" s="6" t="s">
        <v>1276</v>
      </c>
      <c r="E889" s="6" t="s">
        <v>1372</v>
      </c>
      <c r="F889" s="6" t="s">
        <v>1390</v>
      </c>
      <c r="H889">
        <v>1E-3</v>
      </c>
      <c r="Q889" t="s">
        <v>8983</v>
      </c>
    </row>
    <row r="890" spans="1:17" x14ac:dyDescent="0.2">
      <c r="A890" t="s">
        <v>1272</v>
      </c>
      <c r="B890" s="6" t="s">
        <v>1268</v>
      </c>
      <c r="C890" s="6">
        <v>4</v>
      </c>
      <c r="D890" s="6" t="s">
        <v>1276</v>
      </c>
      <c r="E890" s="6" t="s">
        <v>1373</v>
      </c>
      <c r="F890" s="6" t="s">
        <v>364</v>
      </c>
      <c r="H890">
        <v>2.1000000000000001E-2</v>
      </c>
    </row>
    <row r="891" spans="1:17" x14ac:dyDescent="0.2">
      <c r="A891" t="s">
        <v>1272</v>
      </c>
      <c r="B891" s="6" t="s">
        <v>1268</v>
      </c>
      <c r="C891" s="6">
        <v>4</v>
      </c>
      <c r="D891" s="6" t="s">
        <v>1276</v>
      </c>
      <c r="E891" s="6" t="s">
        <v>1374</v>
      </c>
      <c r="F891" t="s">
        <v>364</v>
      </c>
      <c r="H891">
        <v>2.5000000000000001E-2</v>
      </c>
    </row>
    <row r="892" spans="1:17" x14ac:dyDescent="0.2">
      <c r="A892" t="s">
        <v>1272</v>
      </c>
      <c r="B892" s="6" t="s">
        <v>1268</v>
      </c>
      <c r="C892" s="6">
        <v>4</v>
      </c>
      <c r="D892" s="6" t="s">
        <v>1276</v>
      </c>
      <c r="E892" s="6" t="s">
        <v>1349</v>
      </c>
      <c r="F892" t="s">
        <v>234</v>
      </c>
      <c r="H892">
        <f>0.831-0.593</f>
        <v>0.23799999999999999</v>
      </c>
      <c r="N892">
        <v>0</v>
      </c>
    </row>
    <row r="893" spans="1:17" x14ac:dyDescent="0.2">
      <c r="A893" t="s">
        <v>1272</v>
      </c>
      <c r="B893" s="6" t="s">
        <v>1268</v>
      </c>
      <c r="C893" s="6">
        <v>4</v>
      </c>
      <c r="D893" s="6" t="s">
        <v>1276</v>
      </c>
      <c r="E893" s="6" t="s">
        <v>1375</v>
      </c>
      <c r="F893" s="6" t="s">
        <v>364</v>
      </c>
      <c r="H893">
        <v>6.0000000000000001E-3</v>
      </c>
      <c r="Q893" t="s">
        <v>8987</v>
      </c>
    </row>
    <row r="894" spans="1:17" x14ac:dyDescent="0.2">
      <c r="A894" t="s">
        <v>1272</v>
      </c>
      <c r="B894" s="6" t="s">
        <v>1268</v>
      </c>
      <c r="C894" s="6">
        <v>4</v>
      </c>
      <c r="D894" s="6" t="s">
        <v>1276</v>
      </c>
      <c r="E894" s="6" t="s">
        <v>1376</v>
      </c>
      <c r="F894" s="6" t="s">
        <v>364</v>
      </c>
      <c r="H894">
        <v>3.0000000000000001E-3</v>
      </c>
      <c r="Q894" t="s">
        <v>8988</v>
      </c>
    </row>
    <row r="895" spans="1:17" x14ac:dyDescent="0.2">
      <c r="A895" t="s">
        <v>1272</v>
      </c>
      <c r="B895" s="6" t="s">
        <v>1268</v>
      </c>
      <c r="C895" s="6">
        <v>4</v>
      </c>
      <c r="D895" s="6" t="s">
        <v>1276</v>
      </c>
      <c r="E895" s="6" t="s">
        <v>1377</v>
      </c>
      <c r="F895" s="6" t="s">
        <v>364</v>
      </c>
      <c r="H895">
        <v>1.2999999999999999E-2</v>
      </c>
      <c r="Q895" t="s">
        <v>8989</v>
      </c>
    </row>
    <row r="896" spans="1:17" x14ac:dyDescent="0.2">
      <c r="A896" t="s">
        <v>1272</v>
      </c>
      <c r="B896" s="6" t="s">
        <v>1268</v>
      </c>
      <c r="C896" s="6">
        <v>4</v>
      </c>
      <c r="D896" s="6" t="s">
        <v>1276</v>
      </c>
      <c r="E896" s="6" t="s">
        <v>1378</v>
      </c>
      <c r="F896" s="6" t="s">
        <v>364</v>
      </c>
      <c r="H896">
        <v>3.0000000000000001E-3</v>
      </c>
      <c r="Q896" t="s">
        <v>8990</v>
      </c>
    </row>
    <row r="897" spans="1:17" x14ac:dyDescent="0.2">
      <c r="A897" t="s">
        <v>1272</v>
      </c>
      <c r="B897" s="6" t="s">
        <v>1268</v>
      </c>
      <c r="C897" s="6">
        <v>4</v>
      </c>
      <c r="D897" s="6" t="s">
        <v>1276</v>
      </c>
      <c r="E897" s="6" t="s">
        <v>1379</v>
      </c>
      <c r="F897" s="6" t="s">
        <v>364</v>
      </c>
      <c r="H897">
        <v>0.03</v>
      </c>
    </row>
    <row r="898" spans="1:17" x14ac:dyDescent="0.2">
      <c r="A898" t="s">
        <v>1272</v>
      </c>
      <c r="B898" s="6" t="s">
        <v>1268</v>
      </c>
      <c r="C898" s="6">
        <v>4</v>
      </c>
      <c r="D898" s="6" t="s">
        <v>1276</v>
      </c>
      <c r="E898" s="6" t="s">
        <v>1374</v>
      </c>
      <c r="F898" s="6" t="s">
        <v>364</v>
      </c>
      <c r="H898">
        <f>0.775-0.593</f>
        <v>0.18200000000000005</v>
      </c>
      <c r="N898">
        <v>0</v>
      </c>
    </row>
    <row r="899" spans="1:17" x14ac:dyDescent="0.2">
      <c r="A899" t="s">
        <v>1272</v>
      </c>
      <c r="B899" s="6" t="s">
        <v>1268</v>
      </c>
      <c r="C899" s="6">
        <v>4</v>
      </c>
      <c r="D899" s="6" t="s">
        <v>1276</v>
      </c>
      <c r="E899" s="6" t="s">
        <v>1366</v>
      </c>
      <c r="F899" s="6" t="s">
        <v>364</v>
      </c>
      <c r="H899">
        <v>2.1999999999999999E-2</v>
      </c>
      <c r="Q899" t="s">
        <v>8986</v>
      </c>
    </row>
    <row r="900" spans="1:17" x14ac:dyDescent="0.2">
      <c r="A900" t="s">
        <v>1272</v>
      </c>
      <c r="B900" s="6" t="s">
        <v>1268</v>
      </c>
      <c r="C900" s="6">
        <v>4</v>
      </c>
      <c r="D900" s="6" t="s">
        <v>1276</v>
      </c>
      <c r="E900" s="6" t="s">
        <v>1380</v>
      </c>
      <c r="F900" s="6" t="s">
        <v>338</v>
      </c>
      <c r="H900">
        <v>8.9999999999999993E-3</v>
      </c>
    </row>
    <row r="901" spans="1:17" x14ac:dyDescent="0.2">
      <c r="A901" t="s">
        <v>1272</v>
      </c>
      <c r="B901" s="6" t="s">
        <v>1268</v>
      </c>
      <c r="C901" s="6">
        <v>4</v>
      </c>
      <c r="D901" s="6" t="s">
        <v>1276</v>
      </c>
      <c r="E901" s="6" t="s">
        <v>1369</v>
      </c>
      <c r="F901" s="6" t="s">
        <v>106</v>
      </c>
      <c r="H901">
        <v>1.0999999999999999E-2</v>
      </c>
    </row>
    <row r="902" spans="1:17" x14ac:dyDescent="0.2">
      <c r="A902" t="s">
        <v>1272</v>
      </c>
      <c r="B902" s="6" t="s">
        <v>1268</v>
      </c>
      <c r="C902" s="6">
        <v>4</v>
      </c>
      <c r="D902" s="6" t="s">
        <v>1276</v>
      </c>
      <c r="E902" s="6" t="s">
        <v>1368</v>
      </c>
      <c r="F902" s="6" t="s">
        <v>118</v>
      </c>
      <c r="H902">
        <v>1.4E-2</v>
      </c>
    </row>
    <row r="903" spans="1:17" x14ac:dyDescent="0.2">
      <c r="A903" t="s">
        <v>1272</v>
      </c>
      <c r="B903" s="6" t="s">
        <v>1268</v>
      </c>
      <c r="C903" s="6">
        <v>3</v>
      </c>
      <c r="D903" s="6" t="s">
        <v>1276</v>
      </c>
      <c r="E903" s="6" t="s">
        <v>1381</v>
      </c>
      <c r="F903" s="6" t="s">
        <v>1351</v>
      </c>
      <c r="H903">
        <f>8.2-0.5</f>
        <v>7.6999999999999993</v>
      </c>
    </row>
    <row r="904" spans="1:17" x14ac:dyDescent="0.2">
      <c r="A904" t="s">
        <v>1272</v>
      </c>
      <c r="B904" s="6" t="s">
        <v>1268</v>
      </c>
      <c r="C904" s="6">
        <v>3</v>
      </c>
      <c r="D904" s="6" t="s">
        <v>1276</v>
      </c>
      <c r="E904" s="6" t="s">
        <v>1382</v>
      </c>
      <c r="F904" s="6" t="s">
        <v>335</v>
      </c>
      <c r="H904">
        <f>1.1-0.41</f>
        <v>0.69000000000000017</v>
      </c>
      <c r="O904" t="s">
        <v>1392</v>
      </c>
    </row>
    <row r="905" spans="1:17" x14ac:dyDescent="0.2">
      <c r="A905" t="s">
        <v>1272</v>
      </c>
      <c r="B905" s="6" t="s">
        <v>1268</v>
      </c>
      <c r="C905" s="6">
        <v>3</v>
      </c>
      <c r="D905" s="6" t="s">
        <v>1276</v>
      </c>
      <c r="E905" s="6" t="s">
        <v>1383</v>
      </c>
      <c r="F905" s="6" t="s">
        <v>645</v>
      </c>
      <c r="H905">
        <f>1.586-0.427</f>
        <v>1.159</v>
      </c>
      <c r="O905" t="s">
        <v>1393</v>
      </c>
    </row>
    <row r="906" spans="1:17" x14ac:dyDescent="0.2">
      <c r="A906" t="s">
        <v>1272</v>
      </c>
      <c r="B906" s="6" t="s">
        <v>1268</v>
      </c>
      <c r="C906" s="6">
        <v>3</v>
      </c>
      <c r="D906" s="6" t="s">
        <v>1276</v>
      </c>
      <c r="E906" s="6" t="s">
        <v>1384</v>
      </c>
      <c r="F906" s="6" t="s">
        <v>7138</v>
      </c>
      <c r="H906">
        <v>3.0000000000000001E-3</v>
      </c>
      <c r="O906" t="s">
        <v>1394</v>
      </c>
      <c r="Q906" t="s">
        <v>8991</v>
      </c>
    </row>
    <row r="907" spans="1:17" x14ac:dyDescent="0.2">
      <c r="A907" t="s">
        <v>1272</v>
      </c>
      <c r="B907" s="6" t="s">
        <v>1268</v>
      </c>
      <c r="C907" s="6">
        <v>3</v>
      </c>
      <c r="D907" s="6" t="s">
        <v>1276</v>
      </c>
      <c r="E907" s="6" t="s">
        <v>1385</v>
      </c>
      <c r="F907" s="6" t="s">
        <v>1344</v>
      </c>
      <c r="H907">
        <v>1.4999999999999999E-2</v>
      </c>
    </row>
    <row r="908" spans="1:17" x14ac:dyDescent="0.2">
      <c r="A908" t="s">
        <v>1272</v>
      </c>
      <c r="B908" s="6" t="s">
        <v>1268</v>
      </c>
      <c r="C908" s="6">
        <v>3</v>
      </c>
      <c r="D908" s="6" t="s">
        <v>1276</v>
      </c>
      <c r="E908" s="6" t="s">
        <v>1386</v>
      </c>
      <c r="F908" s="6" t="s">
        <v>1425</v>
      </c>
      <c r="H908">
        <v>1.7000000000000001E-2</v>
      </c>
      <c r="Q908" t="s">
        <v>8992</v>
      </c>
    </row>
    <row r="909" spans="1:17" x14ac:dyDescent="0.2">
      <c r="A909" t="s">
        <v>1272</v>
      </c>
      <c r="B909" s="6" t="s">
        <v>1268</v>
      </c>
      <c r="C909" s="6">
        <v>3</v>
      </c>
      <c r="D909" s="6" t="s">
        <v>1276</v>
      </c>
      <c r="E909" s="6" t="s">
        <v>1387</v>
      </c>
      <c r="F909" s="6" t="s">
        <v>1425</v>
      </c>
      <c r="H909">
        <v>1.2E-2</v>
      </c>
      <c r="Q909" t="s">
        <v>8993</v>
      </c>
    </row>
    <row r="910" spans="1:17" x14ac:dyDescent="0.2">
      <c r="A910" t="s">
        <v>1272</v>
      </c>
      <c r="B910" s="6" t="s">
        <v>1268</v>
      </c>
      <c r="C910" s="6">
        <v>3</v>
      </c>
      <c r="D910" s="6" t="s">
        <v>1276</v>
      </c>
      <c r="E910" s="6" t="s">
        <v>1388</v>
      </c>
      <c r="F910" s="6" t="s">
        <v>3930</v>
      </c>
      <c r="H910">
        <v>1.2999999999999999E-2</v>
      </c>
      <c r="Q910" t="s">
        <v>8994</v>
      </c>
    </row>
    <row r="911" spans="1:17" x14ac:dyDescent="0.2">
      <c r="A911" t="s">
        <v>1272</v>
      </c>
      <c r="B911" s="6" t="s">
        <v>1268</v>
      </c>
      <c r="C911" s="6">
        <v>3</v>
      </c>
      <c r="D911" s="6" t="s">
        <v>1276</v>
      </c>
      <c r="E911" s="6" t="s">
        <v>1395</v>
      </c>
      <c r="F911" s="6" t="s">
        <v>3930</v>
      </c>
      <c r="H911">
        <v>1.2999999999999999E-2</v>
      </c>
      <c r="Q911" t="s">
        <v>8995</v>
      </c>
    </row>
    <row r="912" spans="1:17" x14ac:dyDescent="0.2">
      <c r="A912" t="s">
        <v>1272</v>
      </c>
      <c r="B912" s="6" t="s">
        <v>1268</v>
      </c>
      <c r="C912" s="6">
        <v>3</v>
      </c>
      <c r="D912" s="6" t="s">
        <v>1276</v>
      </c>
      <c r="E912" s="6" t="s">
        <v>1396</v>
      </c>
      <c r="F912" s="6" t="s">
        <v>5936</v>
      </c>
      <c r="G912" t="s">
        <v>114</v>
      </c>
      <c r="P912" t="s">
        <v>5999</v>
      </c>
      <c r="Q912" t="s">
        <v>6068</v>
      </c>
    </row>
    <row r="913" spans="1:17" x14ac:dyDescent="0.2">
      <c r="A913" t="s">
        <v>1272</v>
      </c>
      <c r="B913" s="6" t="s">
        <v>1268</v>
      </c>
      <c r="C913" s="6">
        <v>3</v>
      </c>
      <c r="D913" s="6" t="s">
        <v>1276</v>
      </c>
      <c r="E913" s="6" t="s">
        <v>1397</v>
      </c>
      <c r="F913" s="6" t="s">
        <v>5936</v>
      </c>
      <c r="H913">
        <v>1E-3</v>
      </c>
      <c r="Q913" t="s">
        <v>6069</v>
      </c>
    </row>
    <row r="914" spans="1:17" x14ac:dyDescent="0.2">
      <c r="A914" t="s">
        <v>1272</v>
      </c>
      <c r="B914" s="6" t="s">
        <v>1268</v>
      </c>
      <c r="C914" s="6">
        <v>3</v>
      </c>
      <c r="D914" s="6" t="s">
        <v>1276</v>
      </c>
      <c r="E914" s="6" t="s">
        <v>1398</v>
      </c>
      <c r="F914" t="s">
        <v>1425</v>
      </c>
      <c r="H914">
        <v>5.0000000000000001E-3</v>
      </c>
      <c r="Q914" t="s">
        <v>8996</v>
      </c>
    </row>
    <row r="915" spans="1:17" x14ac:dyDescent="0.2">
      <c r="A915" t="s">
        <v>1272</v>
      </c>
      <c r="B915" s="6" t="s">
        <v>1268</v>
      </c>
      <c r="C915" s="6">
        <v>3</v>
      </c>
      <c r="D915" s="6" t="s">
        <v>1276</v>
      </c>
      <c r="E915" s="6" t="s">
        <v>1399</v>
      </c>
      <c r="F915" t="s">
        <v>1425</v>
      </c>
      <c r="H915">
        <v>5.0000000000000001E-3</v>
      </c>
      <c r="Q915" t="s">
        <v>8997</v>
      </c>
    </row>
    <row r="916" spans="1:17" x14ac:dyDescent="0.2">
      <c r="A916" t="s">
        <v>1272</v>
      </c>
      <c r="B916" s="6" t="s">
        <v>1268</v>
      </c>
      <c r="C916" s="6">
        <v>3</v>
      </c>
      <c r="D916" s="6" t="s">
        <v>1276</v>
      </c>
      <c r="E916" s="6" t="s">
        <v>1400</v>
      </c>
      <c r="F916" t="s">
        <v>1425</v>
      </c>
      <c r="H916">
        <v>2E-3</v>
      </c>
      <c r="Q916" t="s">
        <v>8998</v>
      </c>
    </row>
    <row r="917" spans="1:17" x14ac:dyDescent="0.2">
      <c r="A917" t="s">
        <v>1272</v>
      </c>
      <c r="B917" s="6" t="s">
        <v>1268</v>
      </c>
      <c r="C917" s="6">
        <v>3</v>
      </c>
      <c r="D917" s="6" t="s">
        <v>1276</v>
      </c>
      <c r="E917" s="6" t="s">
        <v>1401</v>
      </c>
      <c r="F917" t="s">
        <v>1425</v>
      </c>
      <c r="H917">
        <v>6.0000000000000001E-3</v>
      </c>
      <c r="Q917" t="s">
        <v>8999</v>
      </c>
    </row>
    <row r="918" spans="1:17" x14ac:dyDescent="0.2">
      <c r="A918" t="s">
        <v>1272</v>
      </c>
      <c r="B918" s="6" t="s">
        <v>1268</v>
      </c>
      <c r="C918" s="6">
        <v>3</v>
      </c>
      <c r="D918" s="6" t="s">
        <v>1276</v>
      </c>
      <c r="E918" s="6" t="s">
        <v>1402</v>
      </c>
      <c r="F918" t="s">
        <v>1425</v>
      </c>
      <c r="H918">
        <v>4.0000000000000001E-3</v>
      </c>
      <c r="Q918" t="s">
        <v>9000</v>
      </c>
    </row>
    <row r="919" spans="1:17" x14ac:dyDescent="0.2">
      <c r="A919" t="s">
        <v>1272</v>
      </c>
      <c r="B919" s="6" t="s">
        <v>1268</v>
      </c>
      <c r="C919" s="6">
        <v>3</v>
      </c>
      <c r="D919" s="6" t="s">
        <v>1276</v>
      </c>
      <c r="E919" s="6" t="s">
        <v>1403</v>
      </c>
      <c r="F919" t="s">
        <v>1425</v>
      </c>
      <c r="H919">
        <v>8.9999999999999993E-3</v>
      </c>
      <c r="Q919" t="s">
        <v>9001</v>
      </c>
    </row>
    <row r="920" spans="1:17" x14ac:dyDescent="0.2">
      <c r="A920" t="s">
        <v>1272</v>
      </c>
      <c r="B920" s="6" t="s">
        <v>1268</v>
      </c>
      <c r="C920" s="6">
        <v>3</v>
      </c>
      <c r="D920" s="6" t="s">
        <v>1276</v>
      </c>
      <c r="E920" s="6" t="s">
        <v>1404</v>
      </c>
      <c r="F920" t="s">
        <v>1425</v>
      </c>
      <c r="H920">
        <v>3.0000000000000001E-3</v>
      </c>
      <c r="Q920" t="s">
        <v>9002</v>
      </c>
    </row>
    <row r="921" spans="1:17" x14ac:dyDescent="0.2">
      <c r="A921" t="s">
        <v>1272</v>
      </c>
      <c r="B921" s="6" t="s">
        <v>1268</v>
      </c>
      <c r="C921" s="6">
        <v>3</v>
      </c>
      <c r="D921" s="6" t="s">
        <v>1276</v>
      </c>
      <c r="E921" s="6" t="s">
        <v>1405</v>
      </c>
      <c r="F921" t="s">
        <v>1425</v>
      </c>
      <c r="H921">
        <v>7.0000000000000001E-3</v>
      </c>
      <c r="Q921" t="s">
        <v>9003</v>
      </c>
    </row>
    <row r="922" spans="1:17" x14ac:dyDescent="0.2">
      <c r="A922" t="s">
        <v>1272</v>
      </c>
      <c r="B922" s="6" t="s">
        <v>1268</v>
      </c>
      <c r="C922" s="6">
        <v>3</v>
      </c>
      <c r="D922" s="6" t="s">
        <v>1276</v>
      </c>
      <c r="E922" s="6" t="s">
        <v>1406</v>
      </c>
      <c r="F922" t="s">
        <v>1425</v>
      </c>
      <c r="H922">
        <v>5.0000000000000001E-3</v>
      </c>
      <c r="Q922" t="s">
        <v>9004</v>
      </c>
    </row>
    <row r="923" spans="1:17" x14ac:dyDescent="0.2">
      <c r="A923" t="s">
        <v>1272</v>
      </c>
      <c r="B923" s="6" t="s">
        <v>1268</v>
      </c>
      <c r="C923" s="6">
        <v>3</v>
      </c>
      <c r="D923" s="6" t="s">
        <v>1276</v>
      </c>
      <c r="E923" s="6" t="s">
        <v>1407</v>
      </c>
      <c r="F923" t="s">
        <v>1425</v>
      </c>
      <c r="H923">
        <v>3.0000000000000001E-3</v>
      </c>
      <c r="Q923" t="s">
        <v>9005</v>
      </c>
    </row>
    <row r="924" spans="1:17" x14ac:dyDescent="0.2">
      <c r="A924" t="s">
        <v>1272</v>
      </c>
      <c r="B924" s="6" t="s">
        <v>1268</v>
      </c>
      <c r="C924" s="6">
        <v>3</v>
      </c>
      <c r="D924" s="6" t="s">
        <v>1276</v>
      </c>
      <c r="E924" s="6" t="s">
        <v>1409</v>
      </c>
      <c r="F924" t="s">
        <v>332</v>
      </c>
      <c r="H924">
        <v>3.1E-2</v>
      </c>
      <c r="Q924" t="s">
        <v>9006</v>
      </c>
    </row>
    <row r="925" spans="1:17" x14ac:dyDescent="0.2">
      <c r="A925" t="s">
        <v>1272</v>
      </c>
      <c r="B925" s="6" t="s">
        <v>1268</v>
      </c>
      <c r="C925" s="6">
        <v>3</v>
      </c>
      <c r="D925" s="6" t="s">
        <v>1276</v>
      </c>
      <c r="E925" s="6" t="s">
        <v>1410</v>
      </c>
      <c r="F925" t="s">
        <v>332</v>
      </c>
      <c r="H925">
        <v>6.0000000000000001E-3</v>
      </c>
      <c r="Q925" t="s">
        <v>9007</v>
      </c>
    </row>
    <row r="926" spans="1:17" x14ac:dyDescent="0.2">
      <c r="A926" t="s">
        <v>1272</v>
      </c>
      <c r="B926" s="6" t="s">
        <v>1268</v>
      </c>
      <c r="C926" s="6">
        <v>3</v>
      </c>
      <c r="D926" s="6" t="s">
        <v>1276</v>
      </c>
      <c r="E926" s="6" t="s">
        <v>1411</v>
      </c>
      <c r="F926" t="s">
        <v>332</v>
      </c>
      <c r="H926">
        <v>6.0000000000000001E-3</v>
      </c>
      <c r="Q926" t="s">
        <v>9008</v>
      </c>
    </row>
    <row r="927" spans="1:17" x14ac:dyDescent="0.2">
      <c r="A927" t="s">
        <v>1272</v>
      </c>
      <c r="B927" s="6" t="s">
        <v>1268</v>
      </c>
      <c r="C927" s="6">
        <v>3</v>
      </c>
      <c r="D927" s="6" t="s">
        <v>1276</v>
      </c>
      <c r="E927" s="6" t="s">
        <v>1412</v>
      </c>
      <c r="F927" t="s">
        <v>332</v>
      </c>
      <c r="H927">
        <v>5.0000000000000001E-3</v>
      </c>
      <c r="Q927" t="s">
        <v>9009</v>
      </c>
    </row>
    <row r="928" spans="1:17" x14ac:dyDescent="0.2">
      <c r="A928" t="s">
        <v>1272</v>
      </c>
      <c r="B928" s="6" t="s">
        <v>1268</v>
      </c>
      <c r="C928" s="6">
        <v>3</v>
      </c>
      <c r="D928" s="6" t="s">
        <v>1276</v>
      </c>
      <c r="E928" s="6" t="s">
        <v>1413</v>
      </c>
      <c r="F928" t="s">
        <v>7990</v>
      </c>
      <c r="H928">
        <v>2E-3</v>
      </c>
      <c r="Q928" t="s">
        <v>9010</v>
      </c>
    </row>
    <row r="929" spans="1:17" x14ac:dyDescent="0.2">
      <c r="A929" t="s">
        <v>1272</v>
      </c>
      <c r="B929" s="6" t="s">
        <v>1268</v>
      </c>
      <c r="C929" s="6">
        <v>3</v>
      </c>
      <c r="D929" s="6" t="s">
        <v>1276</v>
      </c>
      <c r="E929" s="6" t="s">
        <v>1414</v>
      </c>
      <c r="F929" t="s">
        <v>332</v>
      </c>
      <c r="G929" t="s">
        <v>114</v>
      </c>
      <c r="Q929" t="s">
        <v>9011</v>
      </c>
    </row>
    <row r="930" spans="1:17" x14ac:dyDescent="0.2">
      <c r="A930" t="s">
        <v>1272</v>
      </c>
      <c r="B930" s="6" t="s">
        <v>1268</v>
      </c>
      <c r="C930" s="6">
        <v>3</v>
      </c>
      <c r="D930" s="6" t="s">
        <v>1276</v>
      </c>
      <c r="E930" s="6" t="s">
        <v>1415</v>
      </c>
      <c r="F930" t="s">
        <v>332</v>
      </c>
      <c r="H930">
        <v>1E-3</v>
      </c>
      <c r="Q930" t="s">
        <v>9012</v>
      </c>
    </row>
    <row r="931" spans="1:17" x14ac:dyDescent="0.2">
      <c r="A931" t="s">
        <v>1272</v>
      </c>
      <c r="B931" s="6" t="s">
        <v>1268</v>
      </c>
      <c r="C931" s="6">
        <v>3</v>
      </c>
      <c r="D931" s="6" t="s">
        <v>1276</v>
      </c>
      <c r="E931" s="6" t="s">
        <v>1416</v>
      </c>
      <c r="F931" t="s">
        <v>332</v>
      </c>
      <c r="G931" t="s">
        <v>114</v>
      </c>
      <c r="Q931" t="s">
        <v>9013</v>
      </c>
    </row>
    <row r="932" spans="1:17" x14ac:dyDescent="0.2">
      <c r="A932" t="s">
        <v>1272</v>
      </c>
      <c r="B932" s="6" t="s">
        <v>1268</v>
      </c>
      <c r="C932" s="6">
        <v>3</v>
      </c>
      <c r="D932" s="6" t="s">
        <v>1276</v>
      </c>
      <c r="E932" s="6" t="s">
        <v>1417</v>
      </c>
      <c r="F932" t="s">
        <v>332</v>
      </c>
      <c r="G932" t="s">
        <v>114</v>
      </c>
      <c r="Q932" t="s">
        <v>9014</v>
      </c>
    </row>
    <row r="933" spans="1:17" x14ac:dyDescent="0.2">
      <c r="A933" t="s">
        <v>1272</v>
      </c>
      <c r="B933" s="6" t="s">
        <v>1268</v>
      </c>
      <c r="C933" s="6">
        <v>3</v>
      </c>
      <c r="D933" s="6" t="s">
        <v>1276</v>
      </c>
      <c r="E933" s="6" t="s">
        <v>1408</v>
      </c>
      <c r="F933" t="s">
        <v>1425</v>
      </c>
      <c r="H933">
        <v>0.02</v>
      </c>
      <c r="M933">
        <v>5</v>
      </c>
    </row>
    <row r="934" spans="1:17" x14ac:dyDescent="0.2">
      <c r="A934" t="s">
        <v>1272</v>
      </c>
      <c r="B934" s="6" t="s">
        <v>1268</v>
      </c>
      <c r="C934" s="6">
        <v>3</v>
      </c>
      <c r="D934" s="6" t="s">
        <v>1276</v>
      </c>
      <c r="E934" s="6" t="s">
        <v>1418</v>
      </c>
      <c r="F934" t="s">
        <v>1538</v>
      </c>
      <c r="H934">
        <v>3.0000000000000001E-3</v>
      </c>
      <c r="M934">
        <v>3</v>
      </c>
    </row>
    <row r="935" spans="1:17" x14ac:dyDescent="0.2">
      <c r="A935" t="s">
        <v>1272</v>
      </c>
      <c r="B935" s="6" t="s">
        <v>1268</v>
      </c>
      <c r="C935" s="6">
        <v>3</v>
      </c>
      <c r="D935" s="6" t="s">
        <v>1276</v>
      </c>
      <c r="E935" s="6" t="s">
        <v>1429</v>
      </c>
      <c r="F935" t="s">
        <v>1425</v>
      </c>
      <c r="H935">
        <v>3.1E-2</v>
      </c>
    </row>
    <row r="936" spans="1:17" x14ac:dyDescent="0.2">
      <c r="A936" t="s">
        <v>1272</v>
      </c>
      <c r="B936" s="6" t="s">
        <v>1268</v>
      </c>
      <c r="C936" s="6">
        <v>3</v>
      </c>
      <c r="D936" s="6" t="s">
        <v>1276</v>
      </c>
      <c r="E936" s="6" t="s">
        <v>1419</v>
      </c>
      <c r="F936" t="s">
        <v>1311</v>
      </c>
      <c r="H936">
        <v>4.0000000000000001E-3</v>
      </c>
      <c r="Q936" t="s">
        <v>9015</v>
      </c>
    </row>
    <row r="937" spans="1:17" x14ac:dyDescent="0.2">
      <c r="A937" t="s">
        <v>1272</v>
      </c>
      <c r="B937" s="6" t="s">
        <v>1268</v>
      </c>
      <c r="C937" s="6">
        <v>3</v>
      </c>
      <c r="D937" s="6" t="s">
        <v>1276</v>
      </c>
      <c r="E937" s="6" t="s">
        <v>1420</v>
      </c>
      <c r="F937" t="s">
        <v>1389</v>
      </c>
      <c r="H937">
        <v>8.0000000000000002E-3</v>
      </c>
      <c r="Q937" t="s">
        <v>9016</v>
      </c>
    </row>
    <row r="938" spans="1:17" x14ac:dyDescent="0.2">
      <c r="A938" t="s">
        <v>1272</v>
      </c>
      <c r="B938" s="6" t="s">
        <v>1268</v>
      </c>
      <c r="C938" s="6">
        <v>3</v>
      </c>
      <c r="D938" s="6" t="s">
        <v>1276</v>
      </c>
      <c r="E938" s="6" t="s">
        <v>1421</v>
      </c>
      <c r="F938" t="s">
        <v>1389</v>
      </c>
      <c r="H938">
        <v>5.0000000000000001E-3</v>
      </c>
      <c r="Q938" t="s">
        <v>9017</v>
      </c>
    </row>
    <row r="939" spans="1:17" x14ac:dyDescent="0.2">
      <c r="A939" t="s">
        <v>1272</v>
      </c>
      <c r="B939" s="6" t="s">
        <v>1268</v>
      </c>
      <c r="C939" s="6">
        <v>3</v>
      </c>
      <c r="D939" s="6" t="s">
        <v>1276</v>
      </c>
      <c r="E939" s="6" t="s">
        <v>1422</v>
      </c>
      <c r="F939" t="s">
        <v>1389</v>
      </c>
      <c r="H939">
        <v>1E-3</v>
      </c>
      <c r="Q939" t="s">
        <v>9018</v>
      </c>
    </row>
    <row r="940" spans="1:17" x14ac:dyDescent="0.2">
      <c r="A940" t="s">
        <v>1272</v>
      </c>
      <c r="B940" s="6" t="s">
        <v>1268</v>
      </c>
      <c r="C940" s="6">
        <v>3</v>
      </c>
      <c r="D940" s="6" t="s">
        <v>1276</v>
      </c>
      <c r="E940" s="6" t="s">
        <v>1423</v>
      </c>
      <c r="F940" t="s">
        <v>1389</v>
      </c>
      <c r="H940">
        <v>4.0000000000000001E-3</v>
      </c>
      <c r="Q940" t="s">
        <v>9019</v>
      </c>
    </row>
    <row r="941" spans="1:17" x14ac:dyDescent="0.2">
      <c r="A941" t="s">
        <v>1272</v>
      </c>
      <c r="B941" s="6" t="s">
        <v>1268</v>
      </c>
      <c r="C941" s="6">
        <v>3</v>
      </c>
      <c r="D941" s="6" t="s">
        <v>1276</v>
      </c>
      <c r="E941" s="6" t="s">
        <v>1424</v>
      </c>
      <c r="F941" t="s">
        <v>1389</v>
      </c>
      <c r="H941">
        <v>3.0000000000000001E-3</v>
      </c>
      <c r="Q941" t="s">
        <v>9020</v>
      </c>
    </row>
    <row r="942" spans="1:17" x14ac:dyDescent="0.2">
      <c r="A942" t="s">
        <v>1272</v>
      </c>
      <c r="B942" s="6" t="s">
        <v>1268</v>
      </c>
      <c r="C942" s="6">
        <v>3</v>
      </c>
      <c r="D942" s="6" t="s">
        <v>1276</v>
      </c>
      <c r="E942" s="6" t="s">
        <v>1428</v>
      </c>
      <c r="F942" t="s">
        <v>1389</v>
      </c>
      <c r="H942">
        <v>2.1999999999999999E-2</v>
      </c>
      <c r="M942">
        <v>5</v>
      </c>
    </row>
    <row r="943" spans="1:17" x14ac:dyDescent="0.2">
      <c r="A943" t="s">
        <v>1272</v>
      </c>
      <c r="B943" s="6" t="s">
        <v>1268</v>
      </c>
      <c r="C943" s="6">
        <v>3</v>
      </c>
      <c r="D943" s="6" t="s">
        <v>1276</v>
      </c>
      <c r="E943" s="6" t="s">
        <v>1429</v>
      </c>
      <c r="F943" t="s">
        <v>1389</v>
      </c>
      <c r="H943">
        <v>2.8000000000000001E-2</v>
      </c>
    </row>
    <row r="944" spans="1:17" x14ac:dyDescent="0.2">
      <c r="A944" t="s">
        <v>1272</v>
      </c>
      <c r="B944" s="6" t="s">
        <v>1268</v>
      </c>
      <c r="C944" s="6">
        <v>5</v>
      </c>
      <c r="D944" s="6" t="s">
        <v>1276</v>
      </c>
      <c r="E944" s="6" t="s">
        <v>1430</v>
      </c>
      <c r="F944" t="s">
        <v>504</v>
      </c>
      <c r="H944">
        <f>1.459-0.344</f>
        <v>1.1150000000000002</v>
      </c>
    </row>
    <row r="945" spans="1:17" x14ac:dyDescent="0.2">
      <c r="A945" t="s">
        <v>1272</v>
      </c>
      <c r="B945" s="6" t="s">
        <v>1268</v>
      </c>
      <c r="C945" s="6">
        <v>5</v>
      </c>
      <c r="D945" s="6" t="s">
        <v>1276</v>
      </c>
      <c r="E945" s="6" t="s">
        <v>1432</v>
      </c>
      <c r="F945" t="s">
        <v>1351</v>
      </c>
      <c r="H945" s="6">
        <f>7.3-0.357</f>
        <v>6.9429999999999996</v>
      </c>
    </row>
    <row r="946" spans="1:17" x14ac:dyDescent="0.2">
      <c r="A946" t="s">
        <v>1272</v>
      </c>
      <c r="B946" s="6" t="s">
        <v>1268</v>
      </c>
      <c r="C946" s="6">
        <v>5</v>
      </c>
      <c r="D946" s="6" t="s">
        <v>1276</v>
      </c>
      <c r="E946" s="6" t="s">
        <v>1431</v>
      </c>
      <c r="F946" t="s">
        <v>1457</v>
      </c>
      <c r="P946" t="s">
        <v>1491</v>
      </c>
    </row>
    <row r="947" spans="1:17" x14ac:dyDescent="0.2">
      <c r="A947" t="s">
        <v>1272</v>
      </c>
      <c r="B947" s="6" t="s">
        <v>1268</v>
      </c>
      <c r="C947" s="6">
        <v>5</v>
      </c>
      <c r="D947" s="6" t="s">
        <v>1276</v>
      </c>
      <c r="E947" s="6" t="s">
        <v>1433</v>
      </c>
      <c r="F947" t="s">
        <v>6933</v>
      </c>
      <c r="H947">
        <v>0.04</v>
      </c>
      <c r="O947" t="s">
        <v>7713</v>
      </c>
    </row>
    <row r="948" spans="1:17" x14ac:dyDescent="0.2">
      <c r="A948" t="s">
        <v>1272</v>
      </c>
      <c r="B948" s="6" t="s">
        <v>1268</v>
      </c>
      <c r="C948" s="6">
        <v>5</v>
      </c>
      <c r="D948" s="6" t="s">
        <v>1276</v>
      </c>
      <c r="E948" s="6" t="s">
        <v>1434</v>
      </c>
      <c r="F948" t="s">
        <v>7138</v>
      </c>
      <c r="H948">
        <v>1E-3</v>
      </c>
      <c r="M948">
        <v>2</v>
      </c>
      <c r="Q948" t="s">
        <v>9021</v>
      </c>
    </row>
    <row r="949" spans="1:17" x14ac:dyDescent="0.2">
      <c r="A949" t="s">
        <v>1272</v>
      </c>
      <c r="B949" s="6" t="s">
        <v>1268</v>
      </c>
      <c r="C949" s="6">
        <v>5</v>
      </c>
      <c r="D949" s="6" t="s">
        <v>1276</v>
      </c>
      <c r="E949" s="6" t="s">
        <v>1435</v>
      </c>
      <c r="F949" t="s">
        <v>6862</v>
      </c>
      <c r="H949">
        <v>7.0000000000000001E-3</v>
      </c>
      <c r="Q949" t="s">
        <v>6067</v>
      </c>
    </row>
    <row r="950" spans="1:17" x14ac:dyDescent="0.2">
      <c r="A950" t="s">
        <v>1272</v>
      </c>
      <c r="B950" s="6" t="s">
        <v>1268</v>
      </c>
      <c r="C950" s="6">
        <v>5</v>
      </c>
      <c r="D950" s="6" t="s">
        <v>1276</v>
      </c>
      <c r="E950" s="6" t="s">
        <v>1436</v>
      </c>
      <c r="F950" t="s">
        <v>1458</v>
      </c>
      <c r="H950">
        <v>8.0000000000000002E-3</v>
      </c>
    </row>
    <row r="951" spans="1:17" x14ac:dyDescent="0.2">
      <c r="A951" t="s">
        <v>1272</v>
      </c>
      <c r="B951" s="6" t="s">
        <v>1268</v>
      </c>
      <c r="C951" s="6">
        <v>5</v>
      </c>
      <c r="D951" s="6" t="s">
        <v>1276</v>
      </c>
      <c r="E951" s="6" t="s">
        <v>1437</v>
      </c>
      <c r="F951" t="s">
        <v>1425</v>
      </c>
      <c r="H951">
        <v>8.0000000000000002E-3</v>
      </c>
      <c r="Q951" t="s">
        <v>9022</v>
      </c>
    </row>
    <row r="952" spans="1:17" x14ac:dyDescent="0.2">
      <c r="A952" t="s">
        <v>1272</v>
      </c>
      <c r="B952" s="6" t="s">
        <v>1268</v>
      </c>
      <c r="C952" s="6">
        <v>5</v>
      </c>
      <c r="D952" s="6" t="s">
        <v>1276</v>
      </c>
      <c r="E952" s="6" t="s">
        <v>1438</v>
      </c>
      <c r="F952" t="s">
        <v>364</v>
      </c>
      <c r="H952">
        <v>1.4E-2</v>
      </c>
      <c r="Q952" t="s">
        <v>9023</v>
      </c>
    </row>
    <row r="953" spans="1:17" x14ac:dyDescent="0.2">
      <c r="A953" t="s">
        <v>1272</v>
      </c>
      <c r="B953" s="6" t="s">
        <v>1268</v>
      </c>
      <c r="C953" s="6">
        <v>5</v>
      </c>
      <c r="D953" s="6" t="s">
        <v>1276</v>
      </c>
      <c r="E953" s="6" t="s">
        <v>1439</v>
      </c>
      <c r="F953" t="s">
        <v>364</v>
      </c>
      <c r="H953">
        <v>5.0000000000000001E-3</v>
      </c>
      <c r="Q953" t="s">
        <v>9024</v>
      </c>
    </row>
    <row r="954" spans="1:17" x14ac:dyDescent="0.2">
      <c r="A954" t="s">
        <v>1272</v>
      </c>
      <c r="B954" s="6" t="s">
        <v>1268</v>
      </c>
      <c r="C954" s="6">
        <v>5</v>
      </c>
      <c r="D954" s="6" t="s">
        <v>1276</v>
      </c>
      <c r="E954" s="6" t="s">
        <v>1440</v>
      </c>
      <c r="F954" t="s">
        <v>1425</v>
      </c>
      <c r="H954">
        <v>2.7E-2</v>
      </c>
      <c r="Q954" t="s">
        <v>9025</v>
      </c>
    </row>
    <row r="955" spans="1:17" x14ac:dyDescent="0.2">
      <c r="A955" s="6" t="s">
        <v>1272</v>
      </c>
      <c r="B955" s="6" t="s">
        <v>1268</v>
      </c>
      <c r="C955" s="6">
        <v>6</v>
      </c>
      <c r="D955" s="6" t="s">
        <v>1276</v>
      </c>
      <c r="E955" s="6" t="s">
        <v>1441</v>
      </c>
      <c r="F955" t="s">
        <v>504</v>
      </c>
      <c r="H955">
        <f>11-0.321-0.4</f>
        <v>10.279</v>
      </c>
      <c r="O955" t="s">
        <v>1492</v>
      </c>
    </row>
    <row r="956" spans="1:17" x14ac:dyDescent="0.2">
      <c r="A956" s="6" t="s">
        <v>1272</v>
      </c>
      <c r="B956" s="6" t="s">
        <v>1268</v>
      </c>
      <c r="C956" s="6">
        <v>6</v>
      </c>
      <c r="D956" s="6" t="s">
        <v>1276</v>
      </c>
      <c r="E956" s="6" t="s">
        <v>1442</v>
      </c>
      <c r="F956" t="s">
        <v>1351</v>
      </c>
      <c r="H956">
        <f>0.821-0.261</f>
        <v>0.55999999999999994</v>
      </c>
      <c r="O956" t="s">
        <v>1493</v>
      </c>
    </row>
    <row r="957" spans="1:17" x14ac:dyDescent="0.2">
      <c r="A957" s="6" t="s">
        <v>1272</v>
      </c>
      <c r="B957" s="6" t="s">
        <v>1268</v>
      </c>
      <c r="C957" s="6">
        <v>6</v>
      </c>
      <c r="D957" s="6" t="s">
        <v>1276</v>
      </c>
      <c r="E957" s="6" t="s">
        <v>1443</v>
      </c>
      <c r="F957" t="s">
        <v>405</v>
      </c>
      <c r="H957">
        <v>1.4999999999999999E-2</v>
      </c>
      <c r="O957" t="s">
        <v>1494</v>
      </c>
    </row>
    <row r="958" spans="1:17" x14ac:dyDescent="0.2">
      <c r="A958" s="6" t="s">
        <v>1272</v>
      </c>
      <c r="B958" s="6" t="s">
        <v>1268</v>
      </c>
      <c r="C958" s="6">
        <v>6</v>
      </c>
      <c r="D958" s="6" t="s">
        <v>1276</v>
      </c>
      <c r="E958" s="6" t="s">
        <v>1444</v>
      </c>
      <c r="F958" t="s">
        <v>405</v>
      </c>
      <c r="H958">
        <v>1.6E-2</v>
      </c>
      <c r="O958" t="s">
        <v>1494</v>
      </c>
    </row>
    <row r="959" spans="1:17" x14ac:dyDescent="0.2">
      <c r="A959" s="6" t="s">
        <v>1272</v>
      </c>
      <c r="B959" s="6" t="s">
        <v>1268</v>
      </c>
      <c r="C959" s="6">
        <v>6</v>
      </c>
      <c r="D959" s="6" t="s">
        <v>1276</v>
      </c>
      <c r="E959" s="6" t="s">
        <v>1445</v>
      </c>
      <c r="F959" t="s">
        <v>405</v>
      </c>
      <c r="H959">
        <v>2.1999999999999999E-2</v>
      </c>
    </row>
    <row r="960" spans="1:17" x14ac:dyDescent="0.2">
      <c r="A960" s="6" t="s">
        <v>1272</v>
      </c>
      <c r="B960" s="6" t="s">
        <v>1268</v>
      </c>
      <c r="C960" s="6">
        <v>6</v>
      </c>
      <c r="D960" s="6" t="s">
        <v>1276</v>
      </c>
      <c r="E960" s="6" t="s">
        <v>1446</v>
      </c>
      <c r="F960" t="s">
        <v>125</v>
      </c>
      <c r="H960">
        <v>1.2999999999999999E-2</v>
      </c>
    </row>
    <row r="961" spans="1:17" x14ac:dyDescent="0.2">
      <c r="A961" s="6" t="s">
        <v>1272</v>
      </c>
      <c r="B961" s="6" t="s">
        <v>1268</v>
      </c>
      <c r="C961" s="6">
        <v>6</v>
      </c>
      <c r="D961" s="6" t="s">
        <v>1276</v>
      </c>
      <c r="E961" s="6" t="s">
        <v>1447</v>
      </c>
      <c r="F961" t="s">
        <v>1459</v>
      </c>
      <c r="H961">
        <v>1.4E-2</v>
      </c>
      <c r="M961" t="s">
        <v>802</v>
      </c>
    </row>
    <row r="962" spans="1:17" x14ac:dyDescent="0.2">
      <c r="A962" s="6" t="s">
        <v>1272</v>
      </c>
      <c r="B962" s="6" t="s">
        <v>1268</v>
      </c>
      <c r="C962" s="6">
        <v>6</v>
      </c>
      <c r="D962" s="6" t="s">
        <v>1276</v>
      </c>
      <c r="E962" s="6" t="s">
        <v>1448</v>
      </c>
      <c r="F962" t="s">
        <v>405</v>
      </c>
      <c r="G962" s="6" t="s">
        <v>114</v>
      </c>
      <c r="O962" t="s">
        <v>1462</v>
      </c>
    </row>
    <row r="963" spans="1:17" x14ac:dyDescent="0.2">
      <c r="A963" s="6" t="s">
        <v>1272</v>
      </c>
      <c r="B963" s="6" t="s">
        <v>1268</v>
      </c>
      <c r="C963" s="6">
        <v>6</v>
      </c>
      <c r="D963" s="6" t="s">
        <v>1276</v>
      </c>
      <c r="E963" s="6" t="s">
        <v>1449</v>
      </c>
      <c r="F963" t="s">
        <v>1460</v>
      </c>
      <c r="H963">
        <v>4.0000000000000001E-3</v>
      </c>
      <c r="O963" t="s">
        <v>1495</v>
      </c>
    </row>
    <row r="964" spans="1:17" x14ac:dyDescent="0.2">
      <c r="A964" s="6" t="s">
        <v>1272</v>
      </c>
      <c r="B964" s="6" t="s">
        <v>1268</v>
      </c>
      <c r="C964" s="6">
        <v>6</v>
      </c>
      <c r="D964" s="6" t="s">
        <v>1276</v>
      </c>
      <c r="E964" s="6" t="s">
        <v>1450</v>
      </c>
      <c r="F964" t="s">
        <v>6862</v>
      </c>
      <c r="H964">
        <v>1.2999999999999999E-2</v>
      </c>
      <c r="Q964" t="s">
        <v>6064</v>
      </c>
    </row>
    <row r="965" spans="1:17" x14ac:dyDescent="0.2">
      <c r="A965" s="6" t="s">
        <v>1272</v>
      </c>
      <c r="B965" s="6" t="s">
        <v>1268</v>
      </c>
      <c r="C965" s="6">
        <v>6</v>
      </c>
      <c r="D965" s="6" t="s">
        <v>1276</v>
      </c>
      <c r="E965" s="6" t="s">
        <v>1451</v>
      </c>
      <c r="F965" t="s">
        <v>6862</v>
      </c>
      <c r="H965">
        <v>4.0000000000000001E-3</v>
      </c>
      <c r="Q965" t="s">
        <v>6062</v>
      </c>
    </row>
    <row r="966" spans="1:17" x14ac:dyDescent="0.2">
      <c r="A966" s="6" t="s">
        <v>1272</v>
      </c>
      <c r="B966" s="6" t="s">
        <v>1268</v>
      </c>
      <c r="C966" s="6">
        <v>6</v>
      </c>
      <c r="D966" s="6" t="s">
        <v>1276</v>
      </c>
      <c r="E966" s="6" t="s">
        <v>1452</v>
      </c>
      <c r="F966" t="s">
        <v>6862</v>
      </c>
      <c r="H966">
        <v>3.0000000000000001E-3</v>
      </c>
      <c r="Q966" t="s">
        <v>6063</v>
      </c>
    </row>
    <row r="967" spans="1:17" x14ac:dyDescent="0.2">
      <c r="A967" s="6" t="s">
        <v>1272</v>
      </c>
      <c r="B967" s="6" t="s">
        <v>1268</v>
      </c>
      <c r="C967" s="6">
        <v>6</v>
      </c>
      <c r="D967" s="6" t="s">
        <v>1276</v>
      </c>
      <c r="E967" s="6" t="s">
        <v>1453</v>
      </c>
      <c r="F967" t="s">
        <v>6862</v>
      </c>
      <c r="H967">
        <v>2E-3</v>
      </c>
      <c r="Q967" t="s">
        <v>6065</v>
      </c>
    </row>
    <row r="968" spans="1:17" x14ac:dyDescent="0.2">
      <c r="A968" s="6" t="s">
        <v>1272</v>
      </c>
      <c r="B968" s="6" t="s">
        <v>1268</v>
      </c>
      <c r="C968" s="6">
        <v>6</v>
      </c>
      <c r="D968" s="6" t="s">
        <v>1276</v>
      </c>
      <c r="E968" s="6" t="s">
        <v>1454</v>
      </c>
      <c r="F968" t="s">
        <v>6862</v>
      </c>
      <c r="H968" s="6">
        <v>1E-3</v>
      </c>
      <c r="Q968" t="s">
        <v>6066</v>
      </c>
    </row>
    <row r="969" spans="1:17" x14ac:dyDescent="0.2">
      <c r="A969" s="6" t="s">
        <v>1272</v>
      </c>
      <c r="B969" s="6" t="s">
        <v>1268</v>
      </c>
      <c r="C969" s="6">
        <v>6</v>
      </c>
      <c r="D969" s="6" t="s">
        <v>1276</v>
      </c>
      <c r="E969" s="6" t="s">
        <v>1455</v>
      </c>
      <c r="F969" t="s">
        <v>6862</v>
      </c>
      <c r="H969">
        <v>1.0999999999999999E-2</v>
      </c>
      <c r="M969">
        <v>5</v>
      </c>
    </row>
    <row r="970" spans="1:17" x14ac:dyDescent="0.2">
      <c r="A970" s="6" t="s">
        <v>1272</v>
      </c>
      <c r="B970" s="6" t="s">
        <v>1268</v>
      </c>
      <c r="C970" s="6">
        <v>6</v>
      </c>
      <c r="D970" s="6" t="s">
        <v>1276</v>
      </c>
      <c r="E970" s="6" t="s">
        <v>1456</v>
      </c>
      <c r="F970" t="s">
        <v>1425</v>
      </c>
      <c r="H970">
        <v>1.4E-2</v>
      </c>
      <c r="Q970" t="s">
        <v>9026</v>
      </c>
    </row>
    <row r="971" spans="1:17" x14ac:dyDescent="0.2">
      <c r="A971" s="6" t="s">
        <v>1272</v>
      </c>
      <c r="B971" s="6" t="s">
        <v>1268</v>
      </c>
      <c r="C971" s="6">
        <v>6</v>
      </c>
      <c r="D971" s="6" t="s">
        <v>1276</v>
      </c>
      <c r="E971" s="6" t="s">
        <v>1463</v>
      </c>
      <c r="F971" s="6" t="s">
        <v>332</v>
      </c>
      <c r="H971">
        <v>2.9000000000000001E-2</v>
      </c>
      <c r="Q971" t="s">
        <v>9027</v>
      </c>
    </row>
    <row r="972" spans="1:17" x14ac:dyDescent="0.2">
      <c r="A972" s="6" t="s">
        <v>1272</v>
      </c>
      <c r="B972" s="6" t="s">
        <v>1268</v>
      </c>
      <c r="C972" s="6">
        <v>6</v>
      </c>
      <c r="D972" s="6" t="s">
        <v>1276</v>
      </c>
      <c r="E972" s="6" t="s">
        <v>1464</v>
      </c>
      <c r="F972" s="6" t="s">
        <v>332</v>
      </c>
      <c r="H972">
        <v>1.4999999999999999E-2</v>
      </c>
      <c r="Q972" t="s">
        <v>9028</v>
      </c>
    </row>
    <row r="973" spans="1:17" x14ac:dyDescent="0.2">
      <c r="A973" s="6" t="s">
        <v>1272</v>
      </c>
      <c r="B973" s="6" t="s">
        <v>1268</v>
      </c>
      <c r="C973" s="6">
        <v>6</v>
      </c>
      <c r="D973" s="6" t="s">
        <v>1276</v>
      </c>
      <c r="E973" s="6" t="s">
        <v>1465</v>
      </c>
      <c r="F973" s="6" t="s">
        <v>332</v>
      </c>
      <c r="H973">
        <v>8.9999999999999993E-3</v>
      </c>
      <c r="Q973" t="s">
        <v>9029</v>
      </c>
    </row>
    <row r="974" spans="1:17" x14ac:dyDescent="0.2">
      <c r="A974" s="6" t="s">
        <v>1272</v>
      </c>
      <c r="B974" s="6" t="s">
        <v>1268</v>
      </c>
      <c r="C974" s="6">
        <v>6</v>
      </c>
      <c r="D974" s="6" t="s">
        <v>1276</v>
      </c>
      <c r="E974" s="6" t="s">
        <v>1466</v>
      </c>
      <c r="F974" s="6" t="s">
        <v>332</v>
      </c>
      <c r="H974">
        <v>2.4E-2</v>
      </c>
      <c r="Q974" t="s">
        <v>9030</v>
      </c>
    </row>
    <row r="975" spans="1:17" x14ac:dyDescent="0.2">
      <c r="A975" s="6" t="s">
        <v>1272</v>
      </c>
      <c r="B975" s="6" t="s">
        <v>1268</v>
      </c>
      <c r="C975" s="6">
        <v>6</v>
      </c>
      <c r="D975" s="6" t="s">
        <v>1276</v>
      </c>
      <c r="E975" s="6" t="s">
        <v>1467</v>
      </c>
      <c r="F975" s="6" t="s">
        <v>6379</v>
      </c>
      <c r="H975">
        <v>2E-3</v>
      </c>
      <c r="Q975" t="s">
        <v>9037</v>
      </c>
    </row>
    <row r="976" spans="1:17" x14ac:dyDescent="0.2">
      <c r="A976" s="6" t="s">
        <v>1272</v>
      </c>
      <c r="B976" s="6" t="s">
        <v>1268</v>
      </c>
      <c r="C976" s="6">
        <v>6</v>
      </c>
      <c r="D976" s="6" t="s">
        <v>1276</v>
      </c>
      <c r="E976" s="6" t="s">
        <v>1468</v>
      </c>
      <c r="F976" s="6" t="s">
        <v>364</v>
      </c>
      <c r="G976" s="6"/>
      <c r="H976">
        <v>5.0000000000000001E-3</v>
      </c>
      <c r="Q976" t="s">
        <v>9038</v>
      </c>
    </row>
    <row r="977" spans="1:17" x14ac:dyDescent="0.2">
      <c r="A977" s="6" t="s">
        <v>1272</v>
      </c>
      <c r="B977" s="6" t="s">
        <v>1268</v>
      </c>
      <c r="C977" s="6">
        <v>6</v>
      </c>
      <c r="D977" s="6" t="s">
        <v>1276</v>
      </c>
      <c r="E977" s="6" t="s">
        <v>1469</v>
      </c>
      <c r="F977" s="6" t="s">
        <v>364</v>
      </c>
      <c r="G977" s="6" t="s">
        <v>114</v>
      </c>
      <c r="Q977" t="s">
        <v>9041</v>
      </c>
    </row>
    <row r="978" spans="1:17" x14ac:dyDescent="0.2">
      <c r="A978" s="6" t="s">
        <v>1272</v>
      </c>
      <c r="B978" s="6" t="s">
        <v>1268</v>
      </c>
      <c r="C978" s="6">
        <v>6</v>
      </c>
      <c r="D978" s="6" t="s">
        <v>1276</v>
      </c>
      <c r="E978" s="6" t="s">
        <v>1470</v>
      </c>
      <c r="F978" s="6" t="s">
        <v>364</v>
      </c>
      <c r="G978" s="6" t="s">
        <v>114</v>
      </c>
      <c r="Q978" t="s">
        <v>9040</v>
      </c>
    </row>
    <row r="979" spans="1:17" x14ac:dyDescent="0.2">
      <c r="A979" s="6" t="s">
        <v>1272</v>
      </c>
      <c r="B979" s="6" t="s">
        <v>1268</v>
      </c>
      <c r="C979" s="6">
        <v>6</v>
      </c>
      <c r="D979" s="6" t="s">
        <v>1276</v>
      </c>
      <c r="E979" s="6" t="s">
        <v>1471</v>
      </c>
      <c r="F979" s="6" t="s">
        <v>364</v>
      </c>
      <c r="G979" s="6" t="s">
        <v>114</v>
      </c>
      <c r="Q979" t="s">
        <v>9039</v>
      </c>
    </row>
    <row r="980" spans="1:17" x14ac:dyDescent="0.2">
      <c r="A980" s="6" t="s">
        <v>1272</v>
      </c>
      <c r="B980" s="6" t="s">
        <v>1268</v>
      </c>
      <c r="C980" s="6">
        <v>6</v>
      </c>
      <c r="D980" s="6" t="s">
        <v>1276</v>
      </c>
      <c r="E980" s="6" t="s">
        <v>1472</v>
      </c>
      <c r="F980" s="6" t="s">
        <v>6239</v>
      </c>
      <c r="G980" s="6" t="s">
        <v>114</v>
      </c>
      <c r="Q980" t="s">
        <v>9036</v>
      </c>
    </row>
    <row r="981" spans="1:17" x14ac:dyDescent="0.2">
      <c r="A981" s="6" t="s">
        <v>1272</v>
      </c>
      <c r="B981" s="6" t="s">
        <v>1268</v>
      </c>
      <c r="C981" s="6">
        <v>6</v>
      </c>
      <c r="D981" s="6" t="s">
        <v>1276</v>
      </c>
      <c r="E981" s="6" t="s">
        <v>1473</v>
      </c>
      <c r="F981" s="6" t="s">
        <v>1538</v>
      </c>
      <c r="H981">
        <v>5.0000000000000001E-3</v>
      </c>
      <c r="Q981" t="s">
        <v>9031</v>
      </c>
    </row>
    <row r="982" spans="1:17" x14ac:dyDescent="0.2">
      <c r="A982" s="6" t="s">
        <v>1272</v>
      </c>
      <c r="B982" s="6" t="s">
        <v>1268</v>
      </c>
      <c r="C982" s="6">
        <v>6</v>
      </c>
      <c r="D982" s="6" t="s">
        <v>1276</v>
      </c>
      <c r="E982" s="6" t="s">
        <v>1474</v>
      </c>
      <c r="F982" s="6" t="s">
        <v>6239</v>
      </c>
      <c r="H982">
        <v>1E-3</v>
      </c>
      <c r="Q982" t="s">
        <v>9032</v>
      </c>
    </row>
    <row r="983" spans="1:17" x14ac:dyDescent="0.2">
      <c r="A983" s="6" t="s">
        <v>1272</v>
      </c>
      <c r="B983" s="6" t="s">
        <v>1268</v>
      </c>
      <c r="C983" s="6">
        <v>6</v>
      </c>
      <c r="D983" s="6" t="s">
        <v>1276</v>
      </c>
      <c r="E983" s="6" t="s">
        <v>1475</v>
      </c>
      <c r="F983" s="6" t="s">
        <v>1538</v>
      </c>
      <c r="H983">
        <v>2E-3</v>
      </c>
      <c r="Q983" t="s">
        <v>9033</v>
      </c>
    </row>
    <row r="984" spans="1:17" x14ac:dyDescent="0.2">
      <c r="A984" s="6" t="s">
        <v>1272</v>
      </c>
      <c r="B984" s="6" t="s">
        <v>1268</v>
      </c>
      <c r="C984" s="6">
        <v>6</v>
      </c>
      <c r="D984" s="6" t="s">
        <v>1276</v>
      </c>
      <c r="E984" s="6" t="s">
        <v>1476</v>
      </c>
      <c r="F984" s="6" t="s">
        <v>6239</v>
      </c>
      <c r="H984">
        <v>2E-3</v>
      </c>
      <c r="Q984" t="s">
        <v>9034</v>
      </c>
    </row>
    <row r="985" spans="1:17" x14ac:dyDescent="0.2">
      <c r="A985" s="6" t="s">
        <v>1272</v>
      </c>
      <c r="B985" s="6" t="s">
        <v>1268</v>
      </c>
      <c r="C985" s="6">
        <v>6</v>
      </c>
      <c r="D985" s="6" t="s">
        <v>1276</v>
      </c>
      <c r="E985" s="6" t="s">
        <v>1477</v>
      </c>
      <c r="F985" s="6" t="s">
        <v>1538</v>
      </c>
      <c r="H985">
        <v>1E-3</v>
      </c>
      <c r="Q985" t="s">
        <v>9035</v>
      </c>
    </row>
    <row r="986" spans="1:17" x14ac:dyDescent="0.2">
      <c r="A986" s="6" t="s">
        <v>1272</v>
      </c>
      <c r="B986" s="6" t="s">
        <v>1268</v>
      </c>
      <c r="C986" s="6">
        <v>6</v>
      </c>
      <c r="D986" s="6" t="s">
        <v>1276</v>
      </c>
      <c r="E986" s="6" t="s">
        <v>1478</v>
      </c>
      <c r="F986" s="6" t="s">
        <v>1538</v>
      </c>
      <c r="H986">
        <v>1.2E-2</v>
      </c>
      <c r="M986">
        <v>9</v>
      </c>
    </row>
    <row r="987" spans="1:17" x14ac:dyDescent="0.2">
      <c r="A987" s="6" t="s">
        <v>1272</v>
      </c>
      <c r="B987" s="6" t="s">
        <v>1268</v>
      </c>
      <c r="C987" s="6">
        <v>1</v>
      </c>
      <c r="D987" s="6" t="s">
        <v>1276</v>
      </c>
      <c r="E987" s="6" t="s">
        <v>1480</v>
      </c>
      <c r="F987" s="6" t="s">
        <v>1279</v>
      </c>
      <c r="H987" s="6">
        <f>9.7-0.5+8.4-0.4</f>
        <v>17.200000000000003</v>
      </c>
      <c r="M987" t="s">
        <v>802</v>
      </c>
      <c r="O987" t="s">
        <v>1265</v>
      </c>
    </row>
    <row r="988" spans="1:17" x14ac:dyDescent="0.2">
      <c r="A988" s="6" t="s">
        <v>1272</v>
      </c>
      <c r="B988" s="6" t="s">
        <v>1268</v>
      </c>
      <c r="C988" s="6">
        <v>1</v>
      </c>
      <c r="D988" s="6" t="s">
        <v>1276</v>
      </c>
      <c r="E988" s="6" t="s">
        <v>1481</v>
      </c>
      <c r="F988" s="6" t="s">
        <v>505</v>
      </c>
      <c r="H988">
        <f>2.824-0.295</f>
        <v>2.5289999999999999</v>
      </c>
      <c r="M988" t="s">
        <v>802</v>
      </c>
    </row>
    <row r="989" spans="1:17" x14ac:dyDescent="0.2">
      <c r="A989" s="6" t="s">
        <v>1272</v>
      </c>
      <c r="B989" s="6" t="s">
        <v>1268</v>
      </c>
      <c r="C989" s="6">
        <v>1</v>
      </c>
      <c r="D989" s="6" t="s">
        <v>1276</v>
      </c>
      <c r="E989" s="6" t="s">
        <v>1482</v>
      </c>
      <c r="F989" s="6" t="s">
        <v>645</v>
      </c>
      <c r="H989">
        <f>3.5-0.357</f>
        <v>3.1429999999999998</v>
      </c>
      <c r="M989" t="s">
        <v>802</v>
      </c>
    </row>
    <row r="990" spans="1:17" x14ac:dyDescent="0.2">
      <c r="A990" s="6" t="s">
        <v>1272</v>
      </c>
      <c r="B990" s="6" t="s">
        <v>1268</v>
      </c>
      <c r="C990" s="6">
        <v>1</v>
      </c>
      <c r="D990" s="6" t="s">
        <v>1276</v>
      </c>
      <c r="E990" s="6" t="s">
        <v>1483</v>
      </c>
      <c r="F990" s="6" t="s">
        <v>998</v>
      </c>
      <c r="H990">
        <f>6.2-0.357</f>
        <v>5.843</v>
      </c>
      <c r="M990" t="s">
        <v>802</v>
      </c>
      <c r="O990" t="s">
        <v>1484</v>
      </c>
    </row>
    <row r="991" spans="1:17" x14ac:dyDescent="0.2">
      <c r="A991" s="6" t="s">
        <v>1272</v>
      </c>
      <c r="B991" s="6" t="s">
        <v>1268</v>
      </c>
      <c r="C991" s="6">
        <v>1</v>
      </c>
      <c r="D991" s="6" t="s">
        <v>1276</v>
      </c>
      <c r="E991" s="6" t="s">
        <v>1485</v>
      </c>
      <c r="F991" s="6" t="s">
        <v>547</v>
      </c>
      <c r="H991">
        <v>5.6000000000000001E-2</v>
      </c>
      <c r="O991" s="6" t="s">
        <v>1490</v>
      </c>
    </row>
    <row r="992" spans="1:17" x14ac:dyDescent="0.2">
      <c r="A992" s="6" t="s">
        <v>1272</v>
      </c>
      <c r="B992" s="6" t="s">
        <v>1268</v>
      </c>
      <c r="C992" s="6">
        <v>1</v>
      </c>
      <c r="D992" s="6" t="s">
        <v>1276</v>
      </c>
      <c r="E992" s="6" t="s">
        <v>1486</v>
      </c>
      <c r="F992" t="s">
        <v>5851</v>
      </c>
      <c r="H992">
        <v>3.6999999999999998E-2</v>
      </c>
      <c r="Q992" t="s">
        <v>9042</v>
      </c>
    </row>
    <row r="993" spans="1:17" x14ac:dyDescent="0.2">
      <c r="A993" s="6" t="s">
        <v>1272</v>
      </c>
      <c r="B993" s="6" t="s">
        <v>1268</v>
      </c>
      <c r="C993" s="6">
        <v>1</v>
      </c>
      <c r="D993" s="6" t="s">
        <v>1276</v>
      </c>
      <c r="E993" s="6" t="s">
        <v>1487</v>
      </c>
      <c r="F993" t="s">
        <v>9043</v>
      </c>
      <c r="H993">
        <v>1.0999999999999999E-2</v>
      </c>
      <c r="P993" t="s">
        <v>5999</v>
      </c>
      <c r="Q993" t="s">
        <v>6060</v>
      </c>
    </row>
    <row r="994" spans="1:17" x14ac:dyDescent="0.2">
      <c r="A994" s="6" t="s">
        <v>1272</v>
      </c>
      <c r="B994" s="6" t="s">
        <v>1268</v>
      </c>
      <c r="C994" s="6">
        <v>1</v>
      </c>
      <c r="D994" s="6" t="s">
        <v>1276</v>
      </c>
      <c r="E994" s="6" t="s">
        <v>1488</v>
      </c>
      <c r="F994" s="6" t="s">
        <v>405</v>
      </c>
      <c r="H994">
        <v>8.7999999999999995E-2</v>
      </c>
      <c r="M994">
        <v>11</v>
      </c>
      <c r="Q994" t="s">
        <v>9044</v>
      </c>
    </row>
    <row r="995" spans="1:17" x14ac:dyDescent="0.2">
      <c r="A995" s="6" t="s">
        <v>1272</v>
      </c>
      <c r="B995" s="6" t="s">
        <v>1268</v>
      </c>
      <c r="C995" s="6">
        <v>1</v>
      </c>
      <c r="D995" s="6" t="s">
        <v>1276</v>
      </c>
      <c r="E995" s="6" t="s">
        <v>1489</v>
      </c>
      <c r="F995" s="6" t="s">
        <v>1344</v>
      </c>
      <c r="H995">
        <v>7.6999999999999999E-2</v>
      </c>
      <c r="M995" t="s">
        <v>802</v>
      </c>
    </row>
    <row r="996" spans="1:17" x14ac:dyDescent="0.2">
      <c r="B996" s="6" t="s">
        <v>1496</v>
      </c>
      <c r="C996" s="6">
        <v>2</v>
      </c>
      <c r="D996" s="6" t="s">
        <v>1497</v>
      </c>
      <c r="E996" s="6" t="s">
        <v>1498</v>
      </c>
      <c r="F996" s="6" t="s">
        <v>1264</v>
      </c>
      <c r="H996">
        <f>1.831-0.424</f>
        <v>1.407</v>
      </c>
      <c r="O996" t="s">
        <v>829</v>
      </c>
    </row>
    <row r="997" spans="1:17" x14ac:dyDescent="0.2">
      <c r="B997" s="6" t="s">
        <v>1496</v>
      </c>
      <c r="C997" s="6">
        <v>2</v>
      </c>
      <c r="D997" s="6" t="s">
        <v>1497</v>
      </c>
      <c r="E997" s="6" t="s">
        <v>1499</v>
      </c>
      <c r="F997" s="6" t="s">
        <v>505</v>
      </c>
      <c r="H997">
        <f>1.213-0.587</f>
        <v>0.62600000000000011</v>
      </c>
      <c r="O997" t="s">
        <v>1528</v>
      </c>
    </row>
    <row r="998" spans="1:17" x14ac:dyDescent="0.2">
      <c r="B998" s="6" t="s">
        <v>1496</v>
      </c>
      <c r="C998" s="6">
        <v>2</v>
      </c>
      <c r="D998" s="6" t="s">
        <v>1497</v>
      </c>
      <c r="E998" s="6" t="s">
        <v>1500</v>
      </c>
      <c r="F998" s="6" t="s">
        <v>8633</v>
      </c>
      <c r="H998">
        <v>8.4000000000000005E-2</v>
      </c>
      <c r="Q998" t="s">
        <v>9045</v>
      </c>
    </row>
    <row r="999" spans="1:17" x14ac:dyDescent="0.2">
      <c r="B999" s="6" t="s">
        <v>1496</v>
      </c>
      <c r="C999" s="6">
        <v>2</v>
      </c>
      <c r="D999" s="6" t="s">
        <v>1497</v>
      </c>
      <c r="E999" s="6" t="s">
        <v>1501</v>
      </c>
      <c r="F999" s="6" t="s">
        <v>8633</v>
      </c>
      <c r="H999">
        <v>4.8000000000000001E-2</v>
      </c>
      <c r="Q999" t="s">
        <v>9046</v>
      </c>
    </row>
    <row r="1000" spans="1:17" x14ac:dyDescent="0.2">
      <c r="B1000" s="6" t="s">
        <v>1496</v>
      </c>
      <c r="C1000" s="6">
        <v>2</v>
      </c>
      <c r="D1000" s="6" t="s">
        <v>1497</v>
      </c>
      <c r="E1000" s="6" t="s">
        <v>1502</v>
      </c>
      <c r="F1000" s="6" t="s">
        <v>8633</v>
      </c>
      <c r="H1000">
        <v>3.5999999999999997E-2</v>
      </c>
      <c r="Q1000" t="s">
        <v>9047</v>
      </c>
    </row>
    <row r="1001" spans="1:17" x14ac:dyDescent="0.2">
      <c r="B1001" s="6" t="s">
        <v>1496</v>
      </c>
      <c r="C1001" s="6">
        <v>2</v>
      </c>
      <c r="D1001" s="6" t="s">
        <v>1497</v>
      </c>
      <c r="E1001" s="6" t="s">
        <v>1503</v>
      </c>
      <c r="F1001" s="6" t="s">
        <v>8633</v>
      </c>
      <c r="H1001">
        <v>1.4999999999999999E-2</v>
      </c>
      <c r="Q1001" t="s">
        <v>9048</v>
      </c>
    </row>
    <row r="1002" spans="1:17" x14ac:dyDescent="0.2">
      <c r="B1002" s="6" t="s">
        <v>1496</v>
      </c>
      <c r="C1002" s="6">
        <v>2</v>
      </c>
      <c r="D1002" s="6" t="s">
        <v>1497</v>
      </c>
      <c r="E1002" s="6" t="s">
        <v>1504</v>
      </c>
      <c r="F1002" s="6" t="s">
        <v>8633</v>
      </c>
      <c r="H1002">
        <v>5.0000000000000001E-3</v>
      </c>
      <c r="Q1002" t="s">
        <v>9049</v>
      </c>
    </row>
    <row r="1003" spans="1:17" x14ac:dyDescent="0.2">
      <c r="B1003" s="6" t="s">
        <v>1496</v>
      </c>
      <c r="C1003" s="6">
        <v>2</v>
      </c>
      <c r="D1003" s="6" t="s">
        <v>1497</v>
      </c>
      <c r="E1003" s="6" t="s">
        <v>1505</v>
      </c>
      <c r="F1003" s="6" t="s">
        <v>8633</v>
      </c>
      <c r="H1003">
        <v>0.13800000000000001</v>
      </c>
      <c r="M1003">
        <v>5</v>
      </c>
      <c r="O1003" t="s">
        <v>1506</v>
      </c>
      <c r="P1003" t="s">
        <v>1513</v>
      </c>
    </row>
    <row r="1004" spans="1:17" x14ac:dyDescent="0.2">
      <c r="B1004" s="6" t="s">
        <v>1496</v>
      </c>
      <c r="C1004" s="6">
        <v>2</v>
      </c>
      <c r="D1004" s="6" t="s">
        <v>1497</v>
      </c>
      <c r="E1004" s="6" t="s">
        <v>1507</v>
      </c>
      <c r="F1004" s="6" t="s">
        <v>8633</v>
      </c>
      <c r="H1004">
        <v>0.13200000000000001</v>
      </c>
    </row>
    <row r="1005" spans="1:17" x14ac:dyDescent="0.2">
      <c r="B1005" s="6" t="s">
        <v>1496</v>
      </c>
      <c r="C1005" s="6">
        <v>2</v>
      </c>
      <c r="D1005" s="6" t="s">
        <v>1497</v>
      </c>
      <c r="E1005" s="6" t="s">
        <v>1508</v>
      </c>
      <c r="F1005" s="6" t="s">
        <v>1523</v>
      </c>
      <c r="G1005" s="6" t="s">
        <v>114</v>
      </c>
    </row>
    <row r="1006" spans="1:17" x14ac:dyDescent="0.2">
      <c r="B1006" s="6" t="s">
        <v>1496</v>
      </c>
      <c r="C1006" s="6">
        <v>2</v>
      </c>
      <c r="D1006" s="6" t="s">
        <v>1497</v>
      </c>
      <c r="E1006" s="6" t="s">
        <v>1509</v>
      </c>
      <c r="F1006" s="6" t="s">
        <v>1523</v>
      </c>
      <c r="H1006">
        <v>2E-3</v>
      </c>
    </row>
    <row r="1007" spans="1:17" x14ac:dyDescent="0.2">
      <c r="B1007" s="6" t="s">
        <v>1496</v>
      </c>
      <c r="C1007" s="6">
        <v>2</v>
      </c>
      <c r="D1007" s="6" t="s">
        <v>1497</v>
      </c>
      <c r="E1007" s="6" t="s">
        <v>1510</v>
      </c>
      <c r="F1007" s="6" t="s">
        <v>1523</v>
      </c>
      <c r="G1007" s="6" t="s">
        <v>114</v>
      </c>
    </row>
    <row r="1008" spans="1:17" x14ac:dyDescent="0.2">
      <c r="B1008" s="6" t="s">
        <v>1496</v>
      </c>
      <c r="C1008" s="6">
        <v>2</v>
      </c>
      <c r="D1008" s="6" t="s">
        <v>1497</v>
      </c>
      <c r="E1008" s="6" t="s">
        <v>1511</v>
      </c>
      <c r="F1008" s="6" t="s">
        <v>1523</v>
      </c>
      <c r="H1008">
        <v>1E-3</v>
      </c>
    </row>
    <row r="1009" spans="2:17" x14ac:dyDescent="0.2">
      <c r="B1009" s="6" t="s">
        <v>1496</v>
      </c>
      <c r="C1009" s="6">
        <v>2</v>
      </c>
      <c r="D1009" s="6" t="s">
        <v>1497</v>
      </c>
      <c r="E1009" s="6" t="s">
        <v>1512</v>
      </c>
      <c r="F1009" s="6" t="s">
        <v>1523</v>
      </c>
      <c r="G1009" s="6" t="s">
        <v>114</v>
      </c>
    </row>
    <row r="1010" spans="2:17" x14ac:dyDescent="0.2">
      <c r="B1010" s="6" t="s">
        <v>1496</v>
      </c>
      <c r="C1010" s="6">
        <v>2</v>
      </c>
      <c r="D1010" s="6" t="s">
        <v>1497</v>
      </c>
      <c r="E1010" s="6" t="s">
        <v>1505</v>
      </c>
      <c r="F1010" s="6" t="s">
        <v>1523</v>
      </c>
      <c r="H1010">
        <v>1.0999999999999999E-2</v>
      </c>
      <c r="M1010">
        <v>8</v>
      </c>
      <c r="P1010" t="s">
        <v>1513</v>
      </c>
    </row>
    <row r="1011" spans="2:17" x14ac:dyDescent="0.2">
      <c r="B1011" s="6" t="s">
        <v>1496</v>
      </c>
      <c r="C1011" s="6">
        <v>2</v>
      </c>
      <c r="D1011" s="6" t="s">
        <v>1497</v>
      </c>
      <c r="E1011" s="6" t="s">
        <v>1514</v>
      </c>
      <c r="F1011" s="6" t="s">
        <v>5848</v>
      </c>
      <c r="H1011">
        <v>0.06</v>
      </c>
      <c r="Q1011" t="s">
        <v>9054</v>
      </c>
    </row>
    <row r="1012" spans="2:17" x14ac:dyDescent="0.2">
      <c r="B1012" s="6" t="s">
        <v>1496</v>
      </c>
      <c r="C1012" s="6">
        <v>2</v>
      </c>
      <c r="D1012" s="6" t="s">
        <v>1497</v>
      </c>
      <c r="E1012" s="6" t="s">
        <v>1515</v>
      </c>
      <c r="F1012" s="6" t="s">
        <v>6654</v>
      </c>
      <c r="H1012">
        <v>7.1999999999999995E-2</v>
      </c>
      <c r="Q1012" t="s">
        <v>9050</v>
      </c>
    </row>
    <row r="1013" spans="2:17" x14ac:dyDescent="0.2">
      <c r="B1013" s="6" t="s">
        <v>1496</v>
      </c>
      <c r="C1013" s="6">
        <v>2</v>
      </c>
      <c r="D1013" s="6" t="s">
        <v>1497</v>
      </c>
      <c r="E1013" s="6" t="s">
        <v>1516</v>
      </c>
      <c r="F1013" s="6" t="s">
        <v>6654</v>
      </c>
      <c r="H1013">
        <v>0.05</v>
      </c>
      <c r="Q1013" t="s">
        <v>9051</v>
      </c>
    </row>
    <row r="1014" spans="2:17" x14ac:dyDescent="0.2">
      <c r="B1014" s="6" t="s">
        <v>1496</v>
      </c>
      <c r="C1014" s="6">
        <v>2</v>
      </c>
      <c r="D1014" s="6" t="s">
        <v>1497</v>
      </c>
      <c r="E1014" s="6" t="s">
        <v>1517</v>
      </c>
      <c r="F1014" s="6" t="s">
        <v>6654</v>
      </c>
      <c r="H1014">
        <v>0.02</v>
      </c>
      <c r="Q1014" t="s">
        <v>9052</v>
      </c>
    </row>
    <row r="1015" spans="2:17" x14ac:dyDescent="0.2">
      <c r="B1015" s="6" t="s">
        <v>1496</v>
      </c>
      <c r="C1015" s="6">
        <v>2</v>
      </c>
      <c r="D1015" s="6" t="s">
        <v>1497</v>
      </c>
      <c r="E1015" s="6" t="s">
        <v>1518</v>
      </c>
      <c r="F1015" s="6" t="s">
        <v>6231</v>
      </c>
      <c r="H1015">
        <v>2.5000000000000001E-2</v>
      </c>
      <c r="Q1015" t="s">
        <v>9053</v>
      </c>
    </row>
    <row r="1016" spans="2:17" x14ac:dyDescent="0.2">
      <c r="B1016" s="6" t="s">
        <v>1496</v>
      </c>
      <c r="C1016" s="6">
        <v>2</v>
      </c>
      <c r="D1016" s="6" t="s">
        <v>1497</v>
      </c>
      <c r="E1016" s="6" t="s">
        <v>1519</v>
      </c>
      <c r="F1016" s="6" t="s">
        <v>5930</v>
      </c>
      <c r="G1016" s="6" t="s">
        <v>114</v>
      </c>
      <c r="Q1016" t="s">
        <v>6055</v>
      </c>
    </row>
    <row r="1017" spans="2:17" x14ac:dyDescent="0.2">
      <c r="B1017" s="6" t="s">
        <v>1496</v>
      </c>
      <c r="C1017" s="6">
        <v>2</v>
      </c>
      <c r="D1017" s="6" t="s">
        <v>1497</v>
      </c>
      <c r="E1017" s="6" t="s">
        <v>1520</v>
      </c>
      <c r="F1017" s="6" t="s">
        <v>5936</v>
      </c>
      <c r="G1017">
        <v>1</v>
      </c>
      <c r="P1017" t="s">
        <v>5999</v>
      </c>
      <c r="Q1017" t="s">
        <v>6057</v>
      </c>
    </row>
    <row r="1018" spans="2:17" x14ac:dyDescent="0.2">
      <c r="B1018" s="6" t="s">
        <v>1496</v>
      </c>
      <c r="C1018" s="6">
        <v>2</v>
      </c>
      <c r="D1018" s="6" t="s">
        <v>1497</v>
      </c>
      <c r="E1018" s="6" t="s">
        <v>1521</v>
      </c>
      <c r="F1018" t="s">
        <v>5930</v>
      </c>
      <c r="H1018">
        <v>7.0000000000000001E-3</v>
      </c>
      <c r="P1018" t="s">
        <v>5999</v>
      </c>
      <c r="Q1018" t="s">
        <v>6059</v>
      </c>
    </row>
    <row r="1019" spans="2:17" x14ac:dyDescent="0.2">
      <c r="B1019" s="6" t="s">
        <v>1496</v>
      </c>
      <c r="C1019" s="6">
        <v>2</v>
      </c>
      <c r="D1019" s="6" t="s">
        <v>1497</v>
      </c>
      <c r="E1019" s="6" t="s">
        <v>1522</v>
      </c>
      <c r="F1019" s="6" t="s">
        <v>5930</v>
      </c>
      <c r="H1019">
        <v>5.0000000000000001E-3</v>
      </c>
      <c r="Q1019" t="s">
        <v>6056</v>
      </c>
    </row>
    <row r="1020" spans="2:17" x14ac:dyDescent="0.2">
      <c r="B1020" s="6" t="s">
        <v>1496</v>
      </c>
      <c r="C1020" s="6">
        <v>2</v>
      </c>
      <c r="D1020" s="6" t="s">
        <v>1497</v>
      </c>
      <c r="E1020" t="s">
        <v>1598</v>
      </c>
      <c r="F1020" s="6" t="s">
        <v>9060</v>
      </c>
      <c r="H1020">
        <v>6.0000000000000001E-3</v>
      </c>
      <c r="Q1020" t="s">
        <v>9055</v>
      </c>
    </row>
    <row r="1021" spans="2:17" x14ac:dyDescent="0.2">
      <c r="B1021" s="6" t="s">
        <v>1496</v>
      </c>
      <c r="C1021" s="6">
        <v>2</v>
      </c>
      <c r="D1021" s="6" t="s">
        <v>1497</v>
      </c>
      <c r="E1021" t="s">
        <v>1599</v>
      </c>
      <c r="F1021" s="6" t="s">
        <v>9060</v>
      </c>
      <c r="H1021">
        <v>7.0000000000000001E-3</v>
      </c>
      <c r="Q1021" t="s">
        <v>9056</v>
      </c>
    </row>
    <row r="1022" spans="2:17" x14ac:dyDescent="0.2">
      <c r="B1022" s="6" t="s">
        <v>1496</v>
      </c>
      <c r="C1022" s="6">
        <v>2</v>
      </c>
      <c r="D1022" s="6" t="s">
        <v>1497</v>
      </c>
      <c r="E1022" t="s">
        <v>1600</v>
      </c>
      <c r="F1022" s="6" t="s">
        <v>9060</v>
      </c>
      <c r="H1022">
        <v>5.0000000000000001E-3</v>
      </c>
      <c r="Q1022" t="s">
        <v>9057</v>
      </c>
    </row>
    <row r="1023" spans="2:17" x14ac:dyDescent="0.2">
      <c r="B1023" s="6" t="s">
        <v>1496</v>
      </c>
      <c r="C1023" s="6">
        <v>2</v>
      </c>
      <c r="D1023" s="6" t="s">
        <v>1497</v>
      </c>
      <c r="E1023" t="s">
        <v>1601</v>
      </c>
      <c r="F1023" s="6" t="s">
        <v>9060</v>
      </c>
      <c r="H1023">
        <v>3.0000000000000001E-3</v>
      </c>
      <c r="Q1023" t="s">
        <v>9058</v>
      </c>
    </row>
    <row r="1024" spans="2:17" x14ac:dyDescent="0.2">
      <c r="B1024" s="6" t="s">
        <v>1496</v>
      </c>
      <c r="C1024" s="6">
        <v>2</v>
      </c>
      <c r="D1024" s="6" t="s">
        <v>1497</v>
      </c>
      <c r="E1024" t="s">
        <v>1602</v>
      </c>
      <c r="F1024" s="6" t="s">
        <v>7990</v>
      </c>
      <c r="H1024">
        <v>0.01</v>
      </c>
      <c r="Q1024" t="s">
        <v>9059</v>
      </c>
    </row>
    <row r="1025" spans="2:17" x14ac:dyDescent="0.2">
      <c r="B1025" s="6" t="s">
        <v>1496</v>
      </c>
      <c r="C1025" s="6">
        <v>2</v>
      </c>
      <c r="D1025" s="6" t="s">
        <v>1497</v>
      </c>
      <c r="E1025" t="s">
        <v>1603</v>
      </c>
      <c r="F1025" s="6" t="s">
        <v>5995</v>
      </c>
      <c r="H1025">
        <v>2E-3</v>
      </c>
    </row>
    <row r="1026" spans="2:17" x14ac:dyDescent="0.2">
      <c r="B1026" s="6" t="s">
        <v>1496</v>
      </c>
      <c r="C1026" s="6">
        <v>2</v>
      </c>
      <c r="D1026" s="6" t="s">
        <v>1497</v>
      </c>
      <c r="E1026" t="s">
        <v>1604</v>
      </c>
      <c r="F1026" s="6" t="s">
        <v>915</v>
      </c>
      <c r="H1026">
        <f>0.583-0.295</f>
        <v>0.28799999999999998</v>
      </c>
    </row>
    <row r="1027" spans="2:17" x14ac:dyDescent="0.2">
      <c r="B1027" s="6" t="s">
        <v>1496</v>
      </c>
      <c r="C1027" s="6">
        <v>2</v>
      </c>
      <c r="D1027" s="6" t="s">
        <v>1497</v>
      </c>
      <c r="E1027" t="s">
        <v>1605</v>
      </c>
      <c r="F1027" s="6" t="s">
        <v>1344</v>
      </c>
      <c r="H1027">
        <f>0.615-0.587</f>
        <v>2.8000000000000025E-2</v>
      </c>
    </row>
    <row r="1028" spans="2:17" x14ac:dyDescent="0.2">
      <c r="B1028" s="6" t="s">
        <v>1496</v>
      </c>
      <c r="C1028" s="6">
        <v>2</v>
      </c>
      <c r="D1028" s="6" t="s">
        <v>1497</v>
      </c>
      <c r="E1028" t="s">
        <v>1606</v>
      </c>
      <c r="F1028" s="6" t="s">
        <v>1311</v>
      </c>
      <c r="H1028">
        <v>4.0000000000000001E-3</v>
      </c>
      <c r="Q1028" t="s">
        <v>9061</v>
      </c>
    </row>
    <row r="1029" spans="2:17" x14ac:dyDescent="0.2">
      <c r="B1029" s="6" t="s">
        <v>1496</v>
      </c>
      <c r="C1029" s="6">
        <v>2</v>
      </c>
      <c r="D1029" s="6" t="s">
        <v>1497</v>
      </c>
      <c r="E1029" t="s">
        <v>1607</v>
      </c>
      <c r="F1029" s="6" t="s">
        <v>1311</v>
      </c>
      <c r="H1029">
        <v>3.0000000000000001E-3</v>
      </c>
      <c r="Q1029" t="s">
        <v>9062</v>
      </c>
    </row>
    <row r="1030" spans="2:17" x14ac:dyDescent="0.2">
      <c r="B1030" s="6" t="s">
        <v>1496</v>
      </c>
      <c r="C1030" s="6">
        <v>2</v>
      </c>
      <c r="D1030" s="6" t="s">
        <v>1497</v>
      </c>
      <c r="E1030" t="s">
        <v>1608</v>
      </c>
      <c r="F1030" s="6" t="s">
        <v>1311</v>
      </c>
      <c r="H1030">
        <v>3.0000000000000001E-3</v>
      </c>
      <c r="Q1030" t="s">
        <v>9063</v>
      </c>
    </row>
    <row r="1031" spans="2:17" x14ac:dyDescent="0.2">
      <c r="B1031" s="6" t="s">
        <v>1496</v>
      </c>
      <c r="C1031" s="6">
        <v>2</v>
      </c>
      <c r="D1031" s="6" t="s">
        <v>1497</v>
      </c>
      <c r="E1031" t="s">
        <v>1609</v>
      </c>
      <c r="F1031" s="6" t="s">
        <v>1311</v>
      </c>
      <c r="H1031">
        <v>3.0000000000000001E-3</v>
      </c>
      <c r="Q1031" t="s">
        <v>9064</v>
      </c>
    </row>
    <row r="1032" spans="2:17" x14ac:dyDescent="0.2">
      <c r="B1032" s="6" t="s">
        <v>1496</v>
      </c>
      <c r="C1032" s="6">
        <v>2</v>
      </c>
      <c r="D1032" s="6" t="s">
        <v>1497</v>
      </c>
      <c r="E1032" t="s">
        <v>1610</v>
      </c>
      <c r="F1032" s="6" t="s">
        <v>1311</v>
      </c>
      <c r="H1032">
        <v>3.0000000000000001E-3</v>
      </c>
      <c r="Q1032" t="s">
        <v>9065</v>
      </c>
    </row>
    <row r="1033" spans="2:17" x14ac:dyDescent="0.2">
      <c r="B1033" s="6" t="s">
        <v>1496</v>
      </c>
      <c r="C1033" s="6">
        <v>2</v>
      </c>
      <c r="D1033" s="6" t="s">
        <v>1497</v>
      </c>
      <c r="E1033" t="s">
        <v>1611</v>
      </c>
      <c r="F1033" s="6" t="s">
        <v>1311</v>
      </c>
      <c r="H1033">
        <v>4.1000000000000002E-2</v>
      </c>
      <c r="M1033">
        <v>11</v>
      </c>
    </row>
    <row r="1034" spans="2:17" x14ac:dyDescent="0.2">
      <c r="B1034" s="6" t="s">
        <v>1496</v>
      </c>
      <c r="C1034" s="6">
        <v>2</v>
      </c>
      <c r="D1034" s="6" t="s">
        <v>1497</v>
      </c>
      <c r="E1034" t="s">
        <v>1612</v>
      </c>
      <c r="F1034" s="6" t="s">
        <v>1389</v>
      </c>
      <c r="H1034">
        <v>6.0000000000000001E-3</v>
      </c>
      <c r="Q1034" t="s">
        <v>9066</v>
      </c>
    </row>
    <row r="1035" spans="2:17" x14ac:dyDescent="0.2">
      <c r="B1035" s="6" t="s">
        <v>1496</v>
      </c>
      <c r="C1035" s="6">
        <v>2</v>
      </c>
      <c r="D1035" s="6" t="s">
        <v>1497</v>
      </c>
      <c r="E1035" t="s">
        <v>1613</v>
      </c>
      <c r="F1035" s="6" t="s">
        <v>1389</v>
      </c>
      <c r="H1035">
        <v>6.0000000000000001E-3</v>
      </c>
      <c r="Q1035" t="s">
        <v>9067</v>
      </c>
    </row>
    <row r="1036" spans="2:17" x14ac:dyDescent="0.2">
      <c r="B1036" s="6" t="s">
        <v>1496</v>
      </c>
      <c r="C1036" s="6">
        <v>2</v>
      </c>
      <c r="D1036" s="6" t="s">
        <v>1497</v>
      </c>
      <c r="E1036" t="s">
        <v>1614</v>
      </c>
      <c r="F1036" s="6" t="s">
        <v>1389</v>
      </c>
      <c r="H1036">
        <v>5.0000000000000001E-3</v>
      </c>
      <c r="Q1036" t="s">
        <v>9068</v>
      </c>
    </row>
    <row r="1037" spans="2:17" x14ac:dyDescent="0.2">
      <c r="B1037" s="6" t="s">
        <v>1496</v>
      </c>
      <c r="C1037" s="6">
        <v>2</v>
      </c>
      <c r="D1037" s="6" t="s">
        <v>1497</v>
      </c>
      <c r="E1037" t="s">
        <v>1615</v>
      </c>
      <c r="F1037" s="6" t="s">
        <v>1389</v>
      </c>
      <c r="H1037">
        <v>8.0000000000000002E-3</v>
      </c>
      <c r="Q1037" t="s">
        <v>9069</v>
      </c>
    </row>
    <row r="1038" spans="2:17" x14ac:dyDescent="0.2">
      <c r="B1038" s="6" t="s">
        <v>1496</v>
      </c>
      <c r="C1038" s="6">
        <v>2</v>
      </c>
      <c r="D1038" s="6" t="s">
        <v>1497</v>
      </c>
      <c r="E1038" t="s">
        <v>1616</v>
      </c>
      <c r="F1038" s="6" t="s">
        <v>1389</v>
      </c>
      <c r="H1038">
        <v>1.7000000000000001E-2</v>
      </c>
      <c r="Q1038" t="s">
        <v>9070</v>
      </c>
    </row>
    <row r="1039" spans="2:17" x14ac:dyDescent="0.2">
      <c r="B1039" s="6" t="s">
        <v>1496</v>
      </c>
      <c r="C1039" s="6">
        <v>3</v>
      </c>
      <c r="D1039" s="6" t="s">
        <v>1497</v>
      </c>
      <c r="E1039" s="8" t="s">
        <v>1617</v>
      </c>
      <c r="F1039" s="6" t="s">
        <v>1344</v>
      </c>
      <c r="H1039">
        <v>7.0999999999999994E-2</v>
      </c>
    </row>
    <row r="1040" spans="2:17" x14ac:dyDescent="0.2">
      <c r="B1040" s="6" t="s">
        <v>1496</v>
      </c>
      <c r="C1040" s="6">
        <v>3</v>
      </c>
      <c r="D1040" s="6" t="s">
        <v>1497</v>
      </c>
      <c r="E1040" s="8" t="s">
        <v>1618</v>
      </c>
      <c r="F1040" s="6" t="s">
        <v>1264</v>
      </c>
      <c r="H1040">
        <v>10.199999999999999</v>
      </c>
      <c r="O1040" t="s">
        <v>1532</v>
      </c>
    </row>
    <row r="1041" spans="2:17" x14ac:dyDescent="0.2">
      <c r="B1041" s="6" t="s">
        <v>1496</v>
      </c>
      <c r="C1041" s="6">
        <v>3</v>
      </c>
      <c r="D1041" s="6" t="s">
        <v>1497</v>
      </c>
      <c r="E1041" s="8" t="s">
        <v>1619</v>
      </c>
      <c r="F1041" s="6" t="s">
        <v>505</v>
      </c>
      <c r="H1041">
        <f>0.962-0.357</f>
        <v>0.60499999999999998</v>
      </c>
      <c r="O1041" t="s">
        <v>1531</v>
      </c>
    </row>
    <row r="1042" spans="2:17" x14ac:dyDescent="0.2">
      <c r="B1042" s="6" t="s">
        <v>1496</v>
      </c>
      <c r="C1042" s="6">
        <v>3</v>
      </c>
      <c r="D1042" s="6" t="s">
        <v>1497</v>
      </c>
      <c r="E1042" s="8" t="s">
        <v>1620</v>
      </c>
      <c r="F1042" s="6" t="s">
        <v>6231</v>
      </c>
      <c r="H1042">
        <v>2.3E-2</v>
      </c>
      <c r="I1042">
        <v>178</v>
      </c>
      <c r="O1042" t="s">
        <v>1530</v>
      </c>
      <c r="Q1042" t="s">
        <v>9071</v>
      </c>
    </row>
    <row r="1043" spans="2:17" x14ac:dyDescent="0.2">
      <c r="B1043" s="6" t="s">
        <v>1496</v>
      </c>
      <c r="C1043" s="6">
        <v>3</v>
      </c>
      <c r="D1043" s="6" t="s">
        <v>1497</v>
      </c>
      <c r="E1043" s="8" t="s">
        <v>1621</v>
      </c>
      <c r="F1043" s="6" t="s">
        <v>7138</v>
      </c>
      <c r="H1043">
        <v>5.2999999999999999E-2</v>
      </c>
      <c r="M1043">
        <v>8</v>
      </c>
      <c r="Q1043" t="s">
        <v>9072</v>
      </c>
    </row>
    <row r="1044" spans="2:17" x14ac:dyDescent="0.2">
      <c r="B1044" s="6" t="s">
        <v>1496</v>
      </c>
      <c r="C1044" s="6">
        <v>3</v>
      </c>
      <c r="D1044" s="6" t="s">
        <v>1497</v>
      </c>
      <c r="E1044" s="8" t="s">
        <v>1622</v>
      </c>
      <c r="F1044" s="6" t="s">
        <v>5930</v>
      </c>
      <c r="H1044">
        <v>3.0000000000000001E-3</v>
      </c>
      <c r="Q1044" t="s">
        <v>6054</v>
      </c>
    </row>
    <row r="1045" spans="2:17" x14ac:dyDescent="0.2">
      <c r="B1045" s="6" t="s">
        <v>1496</v>
      </c>
      <c r="C1045" s="6">
        <v>3</v>
      </c>
      <c r="D1045" s="6" t="s">
        <v>1497</v>
      </c>
      <c r="E1045" s="8" t="s">
        <v>1623</v>
      </c>
      <c r="F1045" s="6" t="s">
        <v>1458</v>
      </c>
      <c r="H1045">
        <v>1.2E-2</v>
      </c>
    </row>
    <row r="1046" spans="2:17" x14ac:dyDescent="0.2">
      <c r="B1046" s="6" t="s">
        <v>1496</v>
      </c>
      <c r="C1046" s="6">
        <v>3</v>
      </c>
      <c r="D1046" s="6" t="s">
        <v>1497</v>
      </c>
      <c r="E1046" s="8" t="s">
        <v>1624</v>
      </c>
      <c r="F1046" s="6" t="s">
        <v>810</v>
      </c>
      <c r="H1046">
        <v>4.9000000000000002E-2</v>
      </c>
    </row>
    <row r="1047" spans="2:17" x14ac:dyDescent="0.2">
      <c r="B1047" s="6" t="s">
        <v>1496</v>
      </c>
      <c r="C1047" s="6">
        <v>3</v>
      </c>
      <c r="D1047" s="6" t="s">
        <v>1497</v>
      </c>
      <c r="E1047" s="8" t="s">
        <v>1625</v>
      </c>
      <c r="F1047" s="6" t="s">
        <v>9074</v>
      </c>
      <c r="H1047">
        <v>9.0999999999999998E-2</v>
      </c>
      <c r="I1047">
        <v>122</v>
      </c>
      <c r="K1047">
        <v>105</v>
      </c>
      <c r="O1047" t="s">
        <v>1530</v>
      </c>
      <c r="Q1047" t="s">
        <v>9073</v>
      </c>
    </row>
    <row r="1048" spans="2:17" x14ac:dyDescent="0.2">
      <c r="B1048" s="6" t="s">
        <v>1496</v>
      </c>
      <c r="C1048" s="6">
        <v>3</v>
      </c>
      <c r="D1048" s="6" t="s">
        <v>1497</v>
      </c>
      <c r="E1048" t="s">
        <v>1626</v>
      </c>
      <c r="F1048" s="6" t="s">
        <v>1533</v>
      </c>
      <c r="H1048" s="6">
        <f>0.577-0.344</f>
        <v>0.23299999999999998</v>
      </c>
      <c r="N1048">
        <v>0</v>
      </c>
    </row>
    <row r="1049" spans="2:17" x14ac:dyDescent="0.2">
      <c r="B1049" s="6" t="s">
        <v>1496</v>
      </c>
      <c r="C1049" s="6">
        <v>3</v>
      </c>
      <c r="D1049" s="6" t="s">
        <v>1497</v>
      </c>
      <c r="E1049" t="s">
        <v>1627</v>
      </c>
      <c r="F1049" s="6" t="s">
        <v>1425</v>
      </c>
      <c r="H1049">
        <v>0.01</v>
      </c>
      <c r="Q1049" t="s">
        <v>9075</v>
      </c>
    </row>
    <row r="1050" spans="2:17" x14ac:dyDescent="0.2">
      <c r="B1050" s="6" t="s">
        <v>1496</v>
      </c>
      <c r="C1050" s="6">
        <v>3</v>
      </c>
      <c r="D1050" s="6" t="s">
        <v>1497</v>
      </c>
      <c r="E1050" t="s">
        <v>1628</v>
      </c>
      <c r="F1050" s="6" t="s">
        <v>1425</v>
      </c>
      <c r="H1050">
        <v>0.01</v>
      </c>
      <c r="Q1050" t="s">
        <v>9076</v>
      </c>
    </row>
    <row r="1051" spans="2:17" x14ac:dyDescent="0.2">
      <c r="B1051" s="6" t="s">
        <v>1496</v>
      </c>
      <c r="C1051" s="6">
        <v>3</v>
      </c>
      <c r="D1051" s="6" t="s">
        <v>1497</v>
      </c>
      <c r="E1051" t="s">
        <v>1629</v>
      </c>
      <c r="F1051" s="6" t="s">
        <v>1425</v>
      </c>
      <c r="H1051">
        <v>8.9999999999999993E-3</v>
      </c>
      <c r="Q1051" t="s">
        <v>9077</v>
      </c>
    </row>
    <row r="1052" spans="2:17" x14ac:dyDescent="0.2">
      <c r="B1052" s="6" t="s">
        <v>1496</v>
      </c>
      <c r="C1052" s="6">
        <v>3</v>
      </c>
      <c r="D1052" s="6" t="s">
        <v>1497</v>
      </c>
      <c r="E1052" t="s">
        <v>1630</v>
      </c>
      <c r="F1052" s="6" t="s">
        <v>1425</v>
      </c>
      <c r="H1052">
        <v>7.0000000000000001E-3</v>
      </c>
      <c r="Q1052" t="s">
        <v>9078</v>
      </c>
    </row>
    <row r="1053" spans="2:17" x14ac:dyDescent="0.2">
      <c r="B1053" s="6" t="s">
        <v>1496</v>
      </c>
      <c r="C1053" s="6">
        <v>3</v>
      </c>
      <c r="D1053" s="6" t="s">
        <v>1497</v>
      </c>
      <c r="E1053" t="s">
        <v>1631</v>
      </c>
      <c r="F1053" s="6" t="s">
        <v>1425</v>
      </c>
      <c r="H1053">
        <v>7.0000000000000001E-3</v>
      </c>
      <c r="Q1053" t="s">
        <v>9079</v>
      </c>
    </row>
    <row r="1054" spans="2:17" x14ac:dyDescent="0.2">
      <c r="B1054" s="6" t="s">
        <v>1496</v>
      </c>
      <c r="C1054" s="6">
        <v>3</v>
      </c>
      <c r="D1054" s="6" t="s">
        <v>1497</v>
      </c>
      <c r="E1054" t="s">
        <v>1632</v>
      </c>
      <c r="F1054" s="6" t="s">
        <v>332</v>
      </c>
      <c r="H1054">
        <v>3.7999999999999999E-2</v>
      </c>
      <c r="Q1054" t="s">
        <v>9080</v>
      </c>
    </row>
    <row r="1055" spans="2:17" x14ac:dyDescent="0.2">
      <c r="B1055" s="6" t="s">
        <v>1496</v>
      </c>
      <c r="C1055" s="6">
        <v>3</v>
      </c>
      <c r="D1055" s="6" t="s">
        <v>1497</v>
      </c>
      <c r="E1055" t="s">
        <v>1633</v>
      </c>
      <c r="F1055" s="6" t="s">
        <v>332</v>
      </c>
      <c r="H1055">
        <v>1.7999999999999999E-2</v>
      </c>
      <c r="Q1055" t="s">
        <v>9081</v>
      </c>
    </row>
    <row r="1056" spans="2:17" x14ac:dyDescent="0.2">
      <c r="B1056" s="6" t="s">
        <v>1496</v>
      </c>
      <c r="C1056" s="6">
        <v>3</v>
      </c>
      <c r="D1056" s="6" t="s">
        <v>1497</v>
      </c>
      <c r="E1056" t="s">
        <v>1634</v>
      </c>
      <c r="F1056" s="6" t="s">
        <v>332</v>
      </c>
      <c r="H1056">
        <v>1.4999999999999999E-2</v>
      </c>
      <c r="Q1056" t="s">
        <v>9084</v>
      </c>
    </row>
    <row r="1057" spans="2:17" x14ac:dyDescent="0.2">
      <c r="B1057" s="6" t="s">
        <v>1496</v>
      </c>
      <c r="C1057" s="6">
        <v>3</v>
      </c>
      <c r="D1057" s="6" t="s">
        <v>1497</v>
      </c>
      <c r="E1057" t="s">
        <v>1635</v>
      </c>
      <c r="F1057" s="6" t="s">
        <v>332</v>
      </c>
      <c r="H1057">
        <v>5.0000000000000001E-3</v>
      </c>
      <c r="Q1057" t="s">
        <v>9085</v>
      </c>
    </row>
    <row r="1058" spans="2:17" x14ac:dyDescent="0.2">
      <c r="B1058" s="6" t="s">
        <v>1496</v>
      </c>
      <c r="C1058" s="6">
        <v>3</v>
      </c>
      <c r="D1058" s="6" t="s">
        <v>1497</v>
      </c>
      <c r="E1058" t="s">
        <v>1636</v>
      </c>
      <c r="F1058" s="6" t="s">
        <v>332</v>
      </c>
      <c r="H1058">
        <v>1E-3</v>
      </c>
      <c r="Q1058" t="s">
        <v>9086</v>
      </c>
    </row>
    <row r="1059" spans="2:17" x14ac:dyDescent="0.2">
      <c r="B1059" s="6" t="s">
        <v>1496</v>
      </c>
      <c r="C1059" s="6">
        <v>3</v>
      </c>
      <c r="D1059" s="6" t="s">
        <v>1497</v>
      </c>
      <c r="E1059" t="s">
        <v>1637</v>
      </c>
      <c r="F1059" s="6" t="s">
        <v>332</v>
      </c>
      <c r="G1059" s="6" t="s">
        <v>114</v>
      </c>
      <c r="Q1059" t="s">
        <v>9087</v>
      </c>
    </row>
    <row r="1060" spans="2:17" x14ac:dyDescent="0.2">
      <c r="B1060" s="6" t="s">
        <v>1496</v>
      </c>
      <c r="C1060" s="6">
        <v>3</v>
      </c>
      <c r="D1060" s="6" t="s">
        <v>1497</v>
      </c>
      <c r="E1060" t="s">
        <v>1638</v>
      </c>
      <c r="F1060" s="6" t="s">
        <v>332</v>
      </c>
      <c r="H1060">
        <v>2E-3</v>
      </c>
      <c r="Q1060" t="s">
        <v>9088</v>
      </c>
    </row>
    <row r="1061" spans="2:17" x14ac:dyDescent="0.2">
      <c r="B1061" s="6" t="s">
        <v>1496</v>
      </c>
      <c r="C1061" s="6">
        <v>3</v>
      </c>
      <c r="D1061" s="6" t="s">
        <v>1497</v>
      </c>
      <c r="E1061" t="s">
        <v>1639</v>
      </c>
      <c r="F1061" s="6" t="s">
        <v>332</v>
      </c>
      <c r="H1061">
        <v>1E-3</v>
      </c>
      <c r="Q1061" t="s">
        <v>9089</v>
      </c>
    </row>
    <row r="1062" spans="2:17" x14ac:dyDescent="0.2">
      <c r="B1062" s="6" t="s">
        <v>1496</v>
      </c>
      <c r="C1062" s="6">
        <v>3</v>
      </c>
      <c r="D1062" s="6" t="s">
        <v>1497</v>
      </c>
      <c r="E1062" t="s">
        <v>1640</v>
      </c>
      <c r="F1062" s="6" t="s">
        <v>332</v>
      </c>
      <c r="H1062">
        <v>8.0000000000000002E-3</v>
      </c>
      <c r="M1062">
        <v>6</v>
      </c>
      <c r="Q1062" t="s">
        <v>9090</v>
      </c>
    </row>
    <row r="1063" spans="2:17" x14ac:dyDescent="0.2">
      <c r="B1063" s="6" t="s">
        <v>1496</v>
      </c>
      <c r="C1063" s="6">
        <v>3</v>
      </c>
      <c r="D1063" s="6" t="s">
        <v>1497</v>
      </c>
      <c r="E1063" t="s">
        <v>1641</v>
      </c>
      <c r="F1063" s="6" t="s">
        <v>332</v>
      </c>
      <c r="H1063">
        <v>1.4E-2</v>
      </c>
      <c r="Q1063" t="s">
        <v>9082</v>
      </c>
    </row>
    <row r="1064" spans="2:17" x14ac:dyDescent="0.2">
      <c r="B1064" s="6" t="s">
        <v>1496</v>
      </c>
      <c r="C1064" s="6">
        <v>3</v>
      </c>
      <c r="D1064" s="6" t="s">
        <v>1497</v>
      </c>
      <c r="E1064" t="s">
        <v>1642</v>
      </c>
      <c r="F1064" s="6" t="s">
        <v>332</v>
      </c>
      <c r="H1064">
        <v>8.0000000000000002E-3</v>
      </c>
      <c r="Q1064" t="s">
        <v>9083</v>
      </c>
    </row>
    <row r="1065" spans="2:17" x14ac:dyDescent="0.2">
      <c r="B1065" s="6" t="s">
        <v>1496</v>
      </c>
      <c r="C1065" s="6">
        <v>3</v>
      </c>
      <c r="D1065" s="6" t="s">
        <v>1497</v>
      </c>
      <c r="E1065" t="s">
        <v>1643</v>
      </c>
      <c r="F1065" s="6" t="s">
        <v>332</v>
      </c>
      <c r="H1065">
        <v>3.1E-2</v>
      </c>
      <c r="M1065">
        <v>5</v>
      </c>
    </row>
    <row r="1066" spans="2:17" x14ac:dyDescent="0.2">
      <c r="B1066" s="6" t="s">
        <v>1496</v>
      </c>
      <c r="C1066" s="6">
        <v>3</v>
      </c>
      <c r="D1066" s="6" t="s">
        <v>1497</v>
      </c>
      <c r="E1066" t="s">
        <v>1644</v>
      </c>
      <c r="F1066" s="6" t="s">
        <v>332</v>
      </c>
      <c r="H1066">
        <v>5.6000000000000001E-2</v>
      </c>
    </row>
    <row r="1067" spans="2:17" x14ac:dyDescent="0.2">
      <c r="B1067" s="6" t="s">
        <v>1496</v>
      </c>
      <c r="C1067" s="6">
        <v>3</v>
      </c>
      <c r="D1067" s="6" t="s">
        <v>1497</v>
      </c>
      <c r="E1067" t="s">
        <v>1645</v>
      </c>
      <c r="F1067" s="6" t="s">
        <v>332</v>
      </c>
      <c r="H1067">
        <f>0.868-0.589</f>
        <v>0.27900000000000003</v>
      </c>
    </row>
    <row r="1068" spans="2:17" x14ac:dyDescent="0.2">
      <c r="B1068" s="6" t="s">
        <v>1496</v>
      </c>
      <c r="C1068" s="6">
        <v>3</v>
      </c>
      <c r="D1068" s="6" t="s">
        <v>1497</v>
      </c>
      <c r="E1068" t="s">
        <v>1646</v>
      </c>
      <c r="F1068" s="6" t="s">
        <v>332</v>
      </c>
      <c r="H1068">
        <v>7.3999999999999996E-2</v>
      </c>
      <c r="M1068">
        <v>5</v>
      </c>
    </row>
    <row r="1069" spans="2:17" x14ac:dyDescent="0.2">
      <c r="B1069" s="6" t="s">
        <v>1496</v>
      </c>
      <c r="C1069" s="6">
        <v>3</v>
      </c>
      <c r="D1069" s="6" t="s">
        <v>1497</v>
      </c>
      <c r="E1069" t="s">
        <v>1644</v>
      </c>
      <c r="F1069" s="6" t="s">
        <v>332</v>
      </c>
      <c r="H1069">
        <v>0.20699999999999999</v>
      </c>
    </row>
    <row r="1070" spans="2:17" x14ac:dyDescent="0.2">
      <c r="B1070" s="6" t="s">
        <v>1496</v>
      </c>
      <c r="C1070" s="6">
        <v>3</v>
      </c>
      <c r="D1070" s="6" t="s">
        <v>1497</v>
      </c>
      <c r="E1070" t="s">
        <v>1647</v>
      </c>
      <c r="F1070" s="6" t="s">
        <v>332</v>
      </c>
      <c r="H1070">
        <v>5.6000000000000001E-2</v>
      </c>
      <c r="Q1070" t="s">
        <v>9102</v>
      </c>
    </row>
    <row r="1071" spans="2:17" x14ac:dyDescent="0.2">
      <c r="B1071" s="6" t="s">
        <v>1496</v>
      </c>
      <c r="C1071" s="6">
        <v>3</v>
      </c>
      <c r="D1071" s="6" t="s">
        <v>1497</v>
      </c>
      <c r="E1071" t="s">
        <v>1648</v>
      </c>
      <c r="F1071" s="6" t="s">
        <v>332</v>
      </c>
      <c r="H1071">
        <v>4.2999999999999997E-2</v>
      </c>
      <c r="Q1071" t="s">
        <v>9103</v>
      </c>
    </row>
    <row r="1072" spans="2:17" x14ac:dyDescent="0.2">
      <c r="B1072" s="6" t="s">
        <v>1496</v>
      </c>
      <c r="C1072" s="6">
        <v>3</v>
      </c>
      <c r="D1072" s="6" t="s">
        <v>1497</v>
      </c>
      <c r="E1072" t="s">
        <v>1649</v>
      </c>
      <c r="F1072" s="6" t="s">
        <v>332</v>
      </c>
      <c r="H1072">
        <v>2.8000000000000001E-2</v>
      </c>
      <c r="Q1072" t="s">
        <v>9104</v>
      </c>
    </row>
    <row r="1073" spans="2:17" x14ac:dyDescent="0.2">
      <c r="B1073" s="6" t="s">
        <v>1496</v>
      </c>
      <c r="C1073" s="6">
        <v>3</v>
      </c>
      <c r="D1073" s="6" t="s">
        <v>1497</v>
      </c>
      <c r="E1073" t="s">
        <v>1650</v>
      </c>
      <c r="F1073" s="6" t="s">
        <v>332</v>
      </c>
      <c r="H1073">
        <v>1.2999999999999999E-2</v>
      </c>
      <c r="Q1073" t="s">
        <v>9105</v>
      </c>
    </row>
    <row r="1074" spans="2:17" x14ac:dyDescent="0.2">
      <c r="B1074" s="6" t="s">
        <v>1496</v>
      </c>
      <c r="C1074" s="6">
        <v>3</v>
      </c>
      <c r="D1074" s="6" t="s">
        <v>1497</v>
      </c>
      <c r="E1074" t="s">
        <v>1651</v>
      </c>
      <c r="F1074" s="6" t="s">
        <v>332</v>
      </c>
      <c r="H1074">
        <v>2.4E-2</v>
      </c>
      <c r="Q1074" t="s">
        <v>9106</v>
      </c>
    </row>
    <row r="1075" spans="2:17" x14ac:dyDescent="0.2">
      <c r="B1075" s="6" t="s">
        <v>1496</v>
      </c>
      <c r="C1075" s="6">
        <v>3</v>
      </c>
      <c r="D1075" s="6" t="s">
        <v>1497</v>
      </c>
      <c r="E1075" t="s">
        <v>1644</v>
      </c>
      <c r="F1075" t="s">
        <v>332</v>
      </c>
      <c r="H1075">
        <f>0.551-0.261</f>
        <v>0.29000000000000004</v>
      </c>
    </row>
    <row r="1076" spans="2:17" x14ac:dyDescent="0.2">
      <c r="B1076" s="6" t="s">
        <v>1496</v>
      </c>
      <c r="C1076" s="6">
        <v>3</v>
      </c>
      <c r="D1076" s="6" t="s">
        <v>1497</v>
      </c>
      <c r="E1076" t="s">
        <v>1652</v>
      </c>
      <c r="F1076" s="6" t="s">
        <v>1311</v>
      </c>
      <c r="H1076">
        <v>4.0000000000000001E-3</v>
      </c>
      <c r="I1076">
        <v>87</v>
      </c>
      <c r="K1076">
        <v>63</v>
      </c>
      <c r="O1076" t="s">
        <v>1530</v>
      </c>
      <c r="Q1076" t="s">
        <v>9091</v>
      </c>
    </row>
    <row r="1077" spans="2:17" x14ac:dyDescent="0.2">
      <c r="B1077" s="6" t="s">
        <v>1496</v>
      </c>
      <c r="C1077" s="6">
        <v>3</v>
      </c>
      <c r="D1077" s="6" t="s">
        <v>1497</v>
      </c>
      <c r="E1077" t="s">
        <v>1653</v>
      </c>
      <c r="F1077" s="6" t="s">
        <v>1311</v>
      </c>
      <c r="H1077">
        <v>6.0000000000000001E-3</v>
      </c>
      <c r="I1077">
        <v>84</v>
      </c>
      <c r="K1077">
        <v>70</v>
      </c>
      <c r="O1077" t="s">
        <v>1530</v>
      </c>
      <c r="Q1077" t="s">
        <v>9092</v>
      </c>
    </row>
    <row r="1078" spans="2:17" x14ac:dyDescent="0.2">
      <c r="B1078" s="6" t="s">
        <v>1496</v>
      </c>
      <c r="C1078" s="6">
        <v>3</v>
      </c>
      <c r="D1078" s="6" t="s">
        <v>1497</v>
      </c>
      <c r="E1078" t="s">
        <v>1654</v>
      </c>
      <c r="F1078" s="6" t="s">
        <v>1311</v>
      </c>
      <c r="H1078">
        <v>6.0000000000000001E-3</v>
      </c>
      <c r="I1078">
        <v>87</v>
      </c>
      <c r="J1078">
        <v>83</v>
      </c>
      <c r="K1078">
        <v>75</v>
      </c>
      <c r="O1078" t="s">
        <v>1530</v>
      </c>
      <c r="Q1078" t="s">
        <v>9093</v>
      </c>
    </row>
    <row r="1079" spans="2:17" x14ac:dyDescent="0.2">
      <c r="B1079" s="6" t="s">
        <v>1496</v>
      </c>
      <c r="C1079" s="6">
        <v>3</v>
      </c>
      <c r="D1079" s="6" t="s">
        <v>1497</v>
      </c>
      <c r="E1079" t="s">
        <v>1655</v>
      </c>
      <c r="F1079" s="6" t="s">
        <v>1311</v>
      </c>
      <c r="H1079">
        <v>3.0000000000000001E-3</v>
      </c>
      <c r="I1079">
        <v>77</v>
      </c>
      <c r="K1079">
        <v>62</v>
      </c>
      <c r="O1079" t="s">
        <v>1530</v>
      </c>
      <c r="Q1079" t="s">
        <v>9094</v>
      </c>
    </row>
    <row r="1080" spans="2:17" x14ac:dyDescent="0.2">
      <c r="B1080" s="6" t="s">
        <v>1496</v>
      </c>
      <c r="C1080" s="6">
        <v>3</v>
      </c>
      <c r="D1080" s="6" t="s">
        <v>1497</v>
      </c>
      <c r="E1080" t="s">
        <v>1656</v>
      </c>
      <c r="F1080" s="6" t="s">
        <v>1311</v>
      </c>
      <c r="H1080">
        <v>4.0000000000000001E-3</v>
      </c>
      <c r="I1080">
        <v>79</v>
      </c>
      <c r="K1080">
        <v>65</v>
      </c>
      <c r="O1080" t="s">
        <v>1530</v>
      </c>
      <c r="Q1080" t="s">
        <v>9095</v>
      </c>
    </row>
    <row r="1081" spans="2:17" x14ac:dyDescent="0.2">
      <c r="B1081" s="6" t="s">
        <v>1496</v>
      </c>
      <c r="C1081" s="6">
        <v>3</v>
      </c>
      <c r="D1081" s="6" t="s">
        <v>1497</v>
      </c>
      <c r="E1081" t="s">
        <v>1657</v>
      </c>
      <c r="F1081" s="6" t="s">
        <v>1311</v>
      </c>
      <c r="H1081">
        <v>7.4999999999999997E-2</v>
      </c>
      <c r="M1081">
        <v>17</v>
      </c>
    </row>
    <row r="1082" spans="2:17" x14ac:dyDescent="0.2">
      <c r="B1082" s="6" t="s">
        <v>1496</v>
      </c>
      <c r="C1082" s="6">
        <v>3</v>
      </c>
      <c r="D1082" s="6" t="s">
        <v>1497</v>
      </c>
      <c r="E1082" t="s">
        <v>1658</v>
      </c>
      <c r="F1082" s="6" t="s">
        <v>1389</v>
      </c>
      <c r="H1082">
        <v>3.0000000000000001E-3</v>
      </c>
      <c r="Q1082" t="s">
        <v>9097</v>
      </c>
    </row>
    <row r="1083" spans="2:17" x14ac:dyDescent="0.2">
      <c r="B1083" s="6" t="s">
        <v>1496</v>
      </c>
      <c r="C1083" s="6">
        <v>3</v>
      </c>
      <c r="D1083" s="6" t="s">
        <v>1497</v>
      </c>
      <c r="E1083" t="s">
        <v>1659</v>
      </c>
      <c r="F1083" s="6" t="s">
        <v>1389</v>
      </c>
      <c r="H1083">
        <v>5.0000000000000001E-3</v>
      </c>
      <c r="I1083">
        <v>85</v>
      </c>
      <c r="J1083">
        <v>76</v>
      </c>
      <c r="K1083">
        <v>70</v>
      </c>
      <c r="O1083" t="s">
        <v>1530</v>
      </c>
      <c r="Q1083" t="s">
        <v>9101</v>
      </c>
    </row>
    <row r="1084" spans="2:17" x14ac:dyDescent="0.2">
      <c r="B1084" s="6" t="s">
        <v>1496</v>
      </c>
      <c r="C1084" s="6">
        <v>3</v>
      </c>
      <c r="D1084" s="6" t="s">
        <v>1497</v>
      </c>
      <c r="E1084" t="s">
        <v>1660</v>
      </c>
      <c r="F1084" s="6" t="s">
        <v>1389</v>
      </c>
      <c r="H1084">
        <v>6.0000000000000001E-3</v>
      </c>
      <c r="I1084">
        <v>84</v>
      </c>
      <c r="J1084">
        <v>80</v>
      </c>
      <c r="K1084">
        <v>72</v>
      </c>
      <c r="O1084" t="s">
        <v>1530</v>
      </c>
      <c r="Q1084" t="s">
        <v>9098</v>
      </c>
    </row>
    <row r="1085" spans="2:17" x14ac:dyDescent="0.2">
      <c r="B1085" s="6" t="s">
        <v>1496</v>
      </c>
      <c r="C1085" s="6">
        <v>3</v>
      </c>
      <c r="D1085" s="6" t="s">
        <v>1497</v>
      </c>
      <c r="E1085" t="s">
        <v>9099</v>
      </c>
      <c r="F1085" s="6" t="s">
        <v>1389</v>
      </c>
      <c r="H1085">
        <v>1.2999999999999999E-2</v>
      </c>
      <c r="I1085">
        <v>102</v>
      </c>
      <c r="J1085">
        <v>99</v>
      </c>
      <c r="K1085">
        <v>93</v>
      </c>
      <c r="O1085" t="s">
        <v>1530</v>
      </c>
      <c r="Q1085" t="s">
        <v>9100</v>
      </c>
    </row>
    <row r="1086" spans="2:17" x14ac:dyDescent="0.2">
      <c r="B1086" s="6" t="s">
        <v>1496</v>
      </c>
      <c r="C1086" s="6">
        <v>3</v>
      </c>
      <c r="D1086" s="6" t="s">
        <v>1497</v>
      </c>
      <c r="E1086" t="s">
        <v>1661</v>
      </c>
      <c r="F1086" s="6" t="s">
        <v>1389</v>
      </c>
      <c r="H1086">
        <v>1.0999999999999999E-2</v>
      </c>
      <c r="I1086">
        <v>96</v>
      </c>
      <c r="J1086">
        <v>92</v>
      </c>
      <c r="K1086">
        <v>86</v>
      </c>
      <c r="O1086" t="s">
        <v>1534</v>
      </c>
      <c r="Q1086" t="s">
        <v>9096</v>
      </c>
    </row>
    <row r="1087" spans="2:17" x14ac:dyDescent="0.2">
      <c r="B1087" s="6" t="s">
        <v>1496</v>
      </c>
      <c r="C1087" s="6">
        <v>3</v>
      </c>
      <c r="D1087" s="6" t="s">
        <v>1497</v>
      </c>
      <c r="E1087" t="s">
        <v>1662</v>
      </c>
      <c r="F1087" s="6" t="s">
        <v>1389</v>
      </c>
      <c r="H1087">
        <v>2.4E-2</v>
      </c>
      <c r="M1087">
        <v>4</v>
      </c>
    </row>
    <row r="1088" spans="2:17" x14ac:dyDescent="0.2">
      <c r="B1088" s="6" t="s">
        <v>1496</v>
      </c>
      <c r="C1088" s="6">
        <v>4</v>
      </c>
      <c r="D1088" s="6" t="s">
        <v>1497</v>
      </c>
      <c r="E1088" s="8" t="s">
        <v>1663</v>
      </c>
      <c r="F1088" s="6" t="s">
        <v>1264</v>
      </c>
      <c r="H1088">
        <f>8.8-0.295</f>
        <v>8.5050000000000008</v>
      </c>
      <c r="O1088" t="s">
        <v>1540</v>
      </c>
    </row>
    <row r="1089" spans="2:17" x14ac:dyDescent="0.2">
      <c r="B1089" s="6" t="s">
        <v>1496</v>
      </c>
      <c r="C1089" s="6">
        <v>4</v>
      </c>
      <c r="D1089" s="6" t="s">
        <v>1497</v>
      </c>
      <c r="E1089" s="8" t="s">
        <v>1664</v>
      </c>
      <c r="F1089" s="6" t="s">
        <v>915</v>
      </c>
      <c r="H1089">
        <f>0.597-0.4</f>
        <v>0.19699999999999995</v>
      </c>
    </row>
    <row r="1090" spans="2:17" x14ac:dyDescent="0.2">
      <c r="B1090" s="6" t="s">
        <v>1496</v>
      </c>
      <c r="C1090" s="6">
        <v>4</v>
      </c>
      <c r="D1090" s="6" t="s">
        <v>1497</v>
      </c>
      <c r="E1090" s="8" t="s">
        <v>1665</v>
      </c>
      <c r="F1090" s="6" t="s">
        <v>505</v>
      </c>
      <c r="H1090">
        <f>1.116-0.285</f>
        <v>0.83100000000000018</v>
      </c>
      <c r="O1090" t="s">
        <v>1541</v>
      </c>
    </row>
    <row r="1091" spans="2:17" x14ac:dyDescent="0.2">
      <c r="B1091" s="6" t="s">
        <v>1496</v>
      </c>
      <c r="C1091" s="6">
        <v>4</v>
      </c>
      <c r="D1091" s="6" t="s">
        <v>1497</v>
      </c>
      <c r="E1091" t="s">
        <v>1666</v>
      </c>
      <c r="F1091" s="6" t="s">
        <v>505</v>
      </c>
      <c r="H1091">
        <f>0.573-0.436</f>
        <v>0.13699999999999996</v>
      </c>
    </row>
    <row r="1092" spans="2:17" x14ac:dyDescent="0.2">
      <c r="B1092" s="6" t="s">
        <v>1496</v>
      </c>
      <c r="C1092" s="6">
        <v>4</v>
      </c>
      <c r="D1092" s="6" t="s">
        <v>1497</v>
      </c>
      <c r="E1092" s="8" t="s">
        <v>1667</v>
      </c>
      <c r="F1092" t="s">
        <v>5869</v>
      </c>
      <c r="H1092">
        <v>4.9000000000000002E-2</v>
      </c>
      <c r="Q1092" t="s">
        <v>6051</v>
      </c>
    </row>
    <row r="1093" spans="2:17" x14ac:dyDescent="0.2">
      <c r="B1093" s="6" t="s">
        <v>1496</v>
      </c>
      <c r="C1093" s="6">
        <v>4</v>
      </c>
      <c r="D1093" s="6" t="s">
        <v>1497</v>
      </c>
      <c r="E1093" s="8" t="s">
        <v>1668</v>
      </c>
      <c r="F1093" s="6" t="s">
        <v>1527</v>
      </c>
      <c r="H1093">
        <v>0.01</v>
      </c>
      <c r="Q1093" t="s">
        <v>9107</v>
      </c>
    </row>
    <row r="1094" spans="2:17" x14ac:dyDescent="0.2">
      <c r="B1094" s="6" t="s">
        <v>1496</v>
      </c>
      <c r="C1094" s="6">
        <v>4</v>
      </c>
      <c r="D1094" s="6" t="s">
        <v>1497</v>
      </c>
      <c r="E1094" s="8" t="s">
        <v>1669</v>
      </c>
      <c r="F1094" s="6" t="s">
        <v>5936</v>
      </c>
      <c r="G1094" s="6" t="s">
        <v>114</v>
      </c>
      <c r="Q1094" t="s">
        <v>9108</v>
      </c>
    </row>
    <row r="1095" spans="2:17" x14ac:dyDescent="0.2">
      <c r="B1095" s="6" t="s">
        <v>1496</v>
      </c>
      <c r="C1095" s="6">
        <v>4</v>
      </c>
      <c r="D1095" s="6" t="s">
        <v>1497</v>
      </c>
      <c r="E1095" s="8" t="s">
        <v>1670</v>
      </c>
      <c r="F1095" s="6" t="s">
        <v>7138</v>
      </c>
      <c r="H1095">
        <v>7.0000000000000001E-3</v>
      </c>
      <c r="M1095">
        <v>2</v>
      </c>
      <c r="Q1095" t="s">
        <v>9109</v>
      </c>
    </row>
    <row r="1096" spans="2:17" x14ac:dyDescent="0.2">
      <c r="B1096" s="6" t="s">
        <v>1496</v>
      </c>
      <c r="C1096" s="6">
        <v>4</v>
      </c>
      <c r="D1096" s="6" t="s">
        <v>1497</v>
      </c>
      <c r="E1096" s="8" t="s">
        <v>1671</v>
      </c>
      <c r="F1096" t="s">
        <v>5930</v>
      </c>
      <c r="H1096">
        <v>1.0999999999999999E-2</v>
      </c>
      <c r="P1096" t="s">
        <v>5999</v>
      </c>
      <c r="Q1096" t="s">
        <v>6053</v>
      </c>
    </row>
    <row r="1097" spans="2:17" x14ac:dyDescent="0.2">
      <c r="B1097" s="6" t="s">
        <v>1496</v>
      </c>
      <c r="C1097" s="6">
        <v>4</v>
      </c>
      <c r="D1097" s="6" t="s">
        <v>1497</v>
      </c>
      <c r="E1097" s="8" t="s">
        <v>1672</v>
      </c>
      <c r="F1097" t="s">
        <v>9110</v>
      </c>
      <c r="H1097">
        <v>2.4E-2</v>
      </c>
      <c r="P1097" t="s">
        <v>6061</v>
      </c>
      <c r="Q1097" t="s">
        <v>6052</v>
      </c>
    </row>
    <row r="1098" spans="2:17" x14ac:dyDescent="0.2">
      <c r="B1098" s="6" t="s">
        <v>1496</v>
      </c>
      <c r="C1098" s="6">
        <v>4</v>
      </c>
      <c r="D1098" s="6" t="s">
        <v>1497</v>
      </c>
      <c r="E1098" t="s">
        <v>1673</v>
      </c>
      <c r="F1098" s="6" t="s">
        <v>5995</v>
      </c>
      <c r="H1098">
        <v>2E-3</v>
      </c>
      <c r="M1098">
        <v>5</v>
      </c>
    </row>
    <row r="1099" spans="2:17" x14ac:dyDescent="0.2">
      <c r="B1099" s="6" t="s">
        <v>1496</v>
      </c>
      <c r="C1099" s="6">
        <v>4</v>
      </c>
      <c r="D1099" s="6" t="s">
        <v>1497</v>
      </c>
      <c r="E1099" t="s">
        <v>1674</v>
      </c>
      <c r="F1099" s="6" t="s">
        <v>1537</v>
      </c>
      <c r="H1099">
        <v>0.04</v>
      </c>
      <c r="O1099" t="s">
        <v>1542</v>
      </c>
    </row>
    <row r="1100" spans="2:17" x14ac:dyDescent="0.2">
      <c r="B1100" s="6" t="s">
        <v>1496</v>
      </c>
      <c r="C1100" s="6">
        <v>4</v>
      </c>
      <c r="D1100" s="6" t="s">
        <v>1497</v>
      </c>
      <c r="E1100" t="s">
        <v>1675</v>
      </c>
      <c r="F1100" s="6" t="s">
        <v>1425</v>
      </c>
      <c r="H1100">
        <v>4.0000000000000001E-3</v>
      </c>
      <c r="Q1100" t="s">
        <v>9111</v>
      </c>
    </row>
    <row r="1101" spans="2:17" x14ac:dyDescent="0.2">
      <c r="B1101" s="6" t="s">
        <v>1496</v>
      </c>
      <c r="C1101" s="6">
        <v>4</v>
      </c>
      <c r="D1101" s="6" t="s">
        <v>1497</v>
      </c>
      <c r="E1101" t="s">
        <v>1676</v>
      </c>
      <c r="F1101" s="6" t="s">
        <v>1425</v>
      </c>
      <c r="H1101">
        <v>5.0000000000000001E-3</v>
      </c>
      <c r="Q1101" t="s">
        <v>9112</v>
      </c>
    </row>
    <row r="1102" spans="2:17" x14ac:dyDescent="0.2">
      <c r="B1102" s="6" t="s">
        <v>1496</v>
      </c>
      <c r="C1102" s="6">
        <v>4</v>
      </c>
      <c r="D1102" s="6" t="s">
        <v>1497</v>
      </c>
      <c r="E1102" t="s">
        <v>1677</v>
      </c>
      <c r="F1102" s="6" t="s">
        <v>1425</v>
      </c>
      <c r="H1102">
        <v>8.0000000000000002E-3</v>
      </c>
      <c r="Q1102" t="s">
        <v>9114</v>
      </c>
    </row>
    <row r="1103" spans="2:17" x14ac:dyDescent="0.2">
      <c r="B1103" s="6" t="s">
        <v>1496</v>
      </c>
      <c r="C1103" s="6">
        <v>4</v>
      </c>
      <c r="D1103" s="6" t="s">
        <v>1497</v>
      </c>
      <c r="E1103" t="s">
        <v>1678</v>
      </c>
      <c r="F1103" s="6" t="s">
        <v>1425</v>
      </c>
      <c r="H1103">
        <v>3.0000000000000001E-3</v>
      </c>
      <c r="Q1103" t="s">
        <v>9115</v>
      </c>
    </row>
    <row r="1104" spans="2:17" x14ac:dyDescent="0.2">
      <c r="B1104" s="6" t="s">
        <v>1496</v>
      </c>
      <c r="C1104" s="6">
        <v>4</v>
      </c>
      <c r="D1104" s="6" t="s">
        <v>1497</v>
      </c>
      <c r="E1104" t="s">
        <v>1679</v>
      </c>
      <c r="F1104" s="6" t="s">
        <v>1425</v>
      </c>
      <c r="H1104">
        <v>0.01</v>
      </c>
      <c r="Q1104" t="s">
        <v>9113</v>
      </c>
    </row>
    <row r="1105" spans="2:17" x14ac:dyDescent="0.2">
      <c r="B1105" s="6" t="s">
        <v>1496</v>
      </c>
      <c r="C1105" s="6">
        <v>4</v>
      </c>
      <c r="D1105" s="6" t="s">
        <v>1497</v>
      </c>
      <c r="E1105" t="s">
        <v>1680</v>
      </c>
      <c r="F1105" s="6" t="s">
        <v>1538</v>
      </c>
      <c r="H1105">
        <v>6.4000000000000001E-2</v>
      </c>
      <c r="Q1105" t="s">
        <v>9116</v>
      </c>
    </row>
    <row r="1106" spans="2:17" x14ac:dyDescent="0.2">
      <c r="B1106" s="6" t="s">
        <v>1496</v>
      </c>
      <c r="C1106" s="6">
        <v>4</v>
      </c>
      <c r="D1106" s="6" t="s">
        <v>1497</v>
      </c>
      <c r="E1106" t="s">
        <v>1681</v>
      </c>
      <c r="F1106" s="6" t="s">
        <v>1538</v>
      </c>
      <c r="H1106">
        <v>2.4E-2</v>
      </c>
      <c r="Q1106" t="s">
        <v>9117</v>
      </c>
    </row>
    <row r="1107" spans="2:17" x14ac:dyDescent="0.2">
      <c r="B1107" s="6" t="s">
        <v>1496</v>
      </c>
      <c r="C1107" s="6">
        <v>4</v>
      </c>
      <c r="D1107" s="6" t="s">
        <v>1497</v>
      </c>
      <c r="E1107" t="s">
        <v>1682</v>
      </c>
      <c r="F1107" s="6" t="s">
        <v>1538</v>
      </c>
      <c r="H1107">
        <v>4.1000000000000002E-2</v>
      </c>
      <c r="Q1107" t="s">
        <v>9118</v>
      </c>
    </row>
    <row r="1108" spans="2:17" x14ac:dyDescent="0.2">
      <c r="B1108" s="6" t="s">
        <v>1496</v>
      </c>
      <c r="C1108" s="6">
        <v>4</v>
      </c>
      <c r="D1108" s="6" t="s">
        <v>1497</v>
      </c>
      <c r="E1108" t="s">
        <v>1683</v>
      </c>
      <c r="F1108" s="6" t="s">
        <v>1538</v>
      </c>
      <c r="H1108">
        <v>2.1000000000000001E-2</v>
      </c>
      <c r="Q1108" t="s">
        <v>9119</v>
      </c>
    </row>
    <row r="1109" spans="2:17" x14ac:dyDescent="0.2">
      <c r="B1109" s="6" t="s">
        <v>1496</v>
      </c>
      <c r="C1109" s="6">
        <v>4</v>
      </c>
      <c r="D1109" s="6" t="s">
        <v>1497</v>
      </c>
      <c r="E1109" t="s">
        <v>1684</v>
      </c>
      <c r="F1109" s="6" t="s">
        <v>1538</v>
      </c>
      <c r="H1109">
        <v>2.5000000000000001E-2</v>
      </c>
      <c r="Q1109" t="s">
        <v>9120</v>
      </c>
    </row>
    <row r="1110" spans="2:17" x14ac:dyDescent="0.2">
      <c r="B1110" s="6" t="s">
        <v>1496</v>
      </c>
      <c r="C1110" s="6">
        <v>4</v>
      </c>
      <c r="D1110" s="6" t="s">
        <v>1497</v>
      </c>
      <c r="E1110" t="s">
        <v>1685</v>
      </c>
      <c r="F1110" s="6" t="s">
        <v>1538</v>
      </c>
      <c r="H1110">
        <v>2E-3</v>
      </c>
      <c r="Q1110" t="s">
        <v>9121</v>
      </c>
    </row>
    <row r="1111" spans="2:17" x14ac:dyDescent="0.2">
      <c r="B1111" s="6" t="s">
        <v>1496</v>
      </c>
      <c r="C1111" s="6">
        <v>4</v>
      </c>
      <c r="D1111" s="6" t="s">
        <v>1497</v>
      </c>
      <c r="E1111" t="s">
        <v>1686</v>
      </c>
      <c r="F1111" s="6" t="s">
        <v>1425</v>
      </c>
      <c r="H1111">
        <v>2.5000000000000001E-2</v>
      </c>
      <c r="M1111">
        <v>5</v>
      </c>
      <c r="O1111" t="s">
        <v>1543</v>
      </c>
    </row>
    <row r="1112" spans="2:17" x14ac:dyDescent="0.2">
      <c r="B1112" s="6" t="s">
        <v>1496</v>
      </c>
      <c r="C1112" s="6">
        <v>4</v>
      </c>
      <c r="D1112" s="6" t="s">
        <v>1497</v>
      </c>
      <c r="E1112" t="s">
        <v>1687</v>
      </c>
      <c r="F1112" s="6" t="s">
        <v>1425</v>
      </c>
      <c r="H1112">
        <v>0.35799999999999998</v>
      </c>
    </row>
    <row r="1113" spans="2:17" x14ac:dyDescent="0.2">
      <c r="B1113" s="6" t="s">
        <v>1496</v>
      </c>
      <c r="C1113" s="6">
        <v>4</v>
      </c>
      <c r="D1113" s="6" t="s">
        <v>1497</v>
      </c>
      <c r="E1113" t="s">
        <v>1688</v>
      </c>
      <c r="F1113" s="6" t="s">
        <v>332</v>
      </c>
      <c r="H1113">
        <v>1.0999999999999999E-2</v>
      </c>
      <c r="Q1113" t="s">
        <v>9122</v>
      </c>
    </row>
    <row r="1114" spans="2:17" x14ac:dyDescent="0.2">
      <c r="B1114" s="6" t="s">
        <v>1496</v>
      </c>
      <c r="C1114" s="6">
        <v>4</v>
      </c>
      <c r="D1114" s="6" t="s">
        <v>1497</v>
      </c>
      <c r="E1114" t="s">
        <v>1689</v>
      </c>
      <c r="F1114" s="6" t="s">
        <v>332</v>
      </c>
      <c r="G1114" s="6" t="s">
        <v>114</v>
      </c>
      <c r="Q1114" t="s">
        <v>9123</v>
      </c>
    </row>
    <row r="1115" spans="2:17" x14ac:dyDescent="0.2">
      <c r="B1115" s="6" t="s">
        <v>1496</v>
      </c>
      <c r="C1115" s="6">
        <v>4</v>
      </c>
      <c r="D1115" s="6" t="s">
        <v>1497</v>
      </c>
      <c r="E1115" t="s">
        <v>1690</v>
      </c>
      <c r="F1115" s="6" t="s">
        <v>332</v>
      </c>
      <c r="G1115" s="6" t="s">
        <v>114</v>
      </c>
      <c r="Q1115" t="s">
        <v>9124</v>
      </c>
    </row>
    <row r="1116" spans="2:17" x14ac:dyDescent="0.2">
      <c r="B1116" s="6" t="s">
        <v>1496</v>
      </c>
      <c r="C1116" s="6">
        <v>4</v>
      </c>
      <c r="D1116" s="6" t="s">
        <v>1497</v>
      </c>
      <c r="E1116" t="s">
        <v>1691</v>
      </c>
      <c r="F1116" s="6" t="s">
        <v>332</v>
      </c>
      <c r="H1116">
        <v>1E-3</v>
      </c>
      <c r="Q1116" t="s">
        <v>9125</v>
      </c>
    </row>
    <row r="1117" spans="2:17" x14ac:dyDescent="0.2">
      <c r="B1117" s="6" t="s">
        <v>1496</v>
      </c>
      <c r="C1117" s="6">
        <v>4</v>
      </c>
      <c r="D1117" s="6" t="s">
        <v>1497</v>
      </c>
      <c r="E1117" t="s">
        <v>1692</v>
      </c>
      <c r="F1117" s="6" t="s">
        <v>332</v>
      </c>
      <c r="G1117">
        <v>1</v>
      </c>
      <c r="M1117">
        <v>5</v>
      </c>
    </row>
    <row r="1118" spans="2:17" x14ac:dyDescent="0.2">
      <c r="B1118" s="6" t="s">
        <v>1496</v>
      </c>
      <c r="C1118" s="6">
        <v>4</v>
      </c>
      <c r="D1118" s="6" t="s">
        <v>1497</v>
      </c>
      <c r="E1118" t="s">
        <v>1693</v>
      </c>
      <c r="F1118" s="6" t="s">
        <v>332</v>
      </c>
      <c r="H1118">
        <v>8.5999999999999993E-2</v>
      </c>
      <c r="M1118">
        <v>5</v>
      </c>
    </row>
    <row r="1119" spans="2:17" x14ac:dyDescent="0.2">
      <c r="B1119" s="6" t="s">
        <v>1496</v>
      </c>
      <c r="C1119" s="6">
        <v>4</v>
      </c>
      <c r="D1119" s="6" t="s">
        <v>1497</v>
      </c>
      <c r="E1119" t="s">
        <v>1694</v>
      </c>
      <c r="F1119" s="6" t="s">
        <v>1311</v>
      </c>
      <c r="H1119">
        <v>4.0000000000000001E-3</v>
      </c>
      <c r="Q1119" t="s">
        <v>9126</v>
      </c>
    </row>
    <row r="1120" spans="2:17" x14ac:dyDescent="0.2">
      <c r="B1120" s="6" t="s">
        <v>1496</v>
      </c>
      <c r="C1120" s="6">
        <v>4</v>
      </c>
      <c r="D1120" s="6" t="s">
        <v>1497</v>
      </c>
      <c r="E1120" t="s">
        <v>1695</v>
      </c>
      <c r="F1120" s="6" t="s">
        <v>1311</v>
      </c>
      <c r="G1120">
        <v>1</v>
      </c>
      <c r="Q1120" t="s">
        <v>9127</v>
      </c>
    </row>
    <row r="1121" spans="2:17" x14ac:dyDescent="0.2">
      <c r="B1121" s="6" t="s">
        <v>1496</v>
      </c>
      <c r="C1121" s="6">
        <v>4</v>
      </c>
      <c r="D1121" s="6" t="s">
        <v>1497</v>
      </c>
      <c r="E1121" t="s">
        <v>1696</v>
      </c>
      <c r="F1121" s="6" t="s">
        <v>1389</v>
      </c>
      <c r="H1121">
        <v>1.2999999999999999E-2</v>
      </c>
      <c r="Q1121" t="s">
        <v>9128</v>
      </c>
    </row>
    <row r="1122" spans="2:17" x14ac:dyDescent="0.2">
      <c r="B1122" s="6" t="s">
        <v>1496</v>
      </c>
      <c r="C1122" s="6">
        <v>4</v>
      </c>
      <c r="D1122" s="6" t="s">
        <v>1497</v>
      </c>
      <c r="E1122" t="s">
        <v>1696</v>
      </c>
      <c r="F1122" s="6" t="s">
        <v>1389</v>
      </c>
      <c r="H1122">
        <v>1.2E-2</v>
      </c>
      <c r="Q1122" t="s">
        <v>9129</v>
      </c>
    </row>
    <row r="1123" spans="2:17" x14ac:dyDescent="0.2">
      <c r="B1123" s="6" t="s">
        <v>1496</v>
      </c>
      <c r="C1123" s="6">
        <v>4</v>
      </c>
      <c r="D1123" s="6" t="s">
        <v>1497</v>
      </c>
      <c r="E1123" t="s">
        <v>1697</v>
      </c>
      <c r="F1123" s="6" t="s">
        <v>1389</v>
      </c>
      <c r="H1123">
        <v>8.0000000000000002E-3</v>
      </c>
      <c r="Q1123" t="s">
        <v>9130</v>
      </c>
    </row>
    <row r="1124" spans="2:17" x14ac:dyDescent="0.2">
      <c r="B1124" s="6" t="s">
        <v>1496</v>
      </c>
      <c r="C1124" s="6">
        <v>4</v>
      </c>
      <c r="D1124" s="6" t="s">
        <v>1497</v>
      </c>
      <c r="E1124" t="s">
        <v>1698</v>
      </c>
      <c r="F1124" s="6" t="s">
        <v>1389</v>
      </c>
      <c r="H1124">
        <v>8.0000000000000002E-3</v>
      </c>
      <c r="Q1124" t="s">
        <v>9131</v>
      </c>
    </row>
    <row r="1125" spans="2:17" x14ac:dyDescent="0.2">
      <c r="B1125" s="6" t="s">
        <v>1496</v>
      </c>
      <c r="C1125" s="6">
        <v>4</v>
      </c>
      <c r="D1125" s="6" t="s">
        <v>1497</v>
      </c>
      <c r="E1125" t="s">
        <v>1699</v>
      </c>
      <c r="F1125" s="6" t="s">
        <v>1389</v>
      </c>
      <c r="H1125">
        <v>7.0000000000000001E-3</v>
      </c>
      <c r="Q1125" t="s">
        <v>9132</v>
      </c>
    </row>
    <row r="1126" spans="2:17" x14ac:dyDescent="0.2">
      <c r="B1126" s="6" t="s">
        <v>1496</v>
      </c>
      <c r="C1126" s="6">
        <v>4</v>
      </c>
      <c r="D1126" s="6" t="s">
        <v>1497</v>
      </c>
      <c r="E1126" t="s">
        <v>1700</v>
      </c>
      <c r="F1126" s="6" t="s">
        <v>1389</v>
      </c>
      <c r="H1126">
        <v>3.0000000000000001E-3</v>
      </c>
      <c r="Q1126" t="s">
        <v>9133</v>
      </c>
    </row>
    <row r="1127" spans="2:17" x14ac:dyDescent="0.2">
      <c r="B1127" s="6" t="s">
        <v>1496</v>
      </c>
      <c r="C1127" s="6">
        <v>4</v>
      </c>
      <c r="D1127" s="6" t="s">
        <v>1497</v>
      </c>
      <c r="E1127" t="s">
        <v>1701</v>
      </c>
      <c r="F1127" s="6" t="s">
        <v>1389</v>
      </c>
      <c r="H1127">
        <v>3.5000000000000003E-2</v>
      </c>
      <c r="M1127">
        <v>5</v>
      </c>
      <c r="Q1127" t="s">
        <v>9134</v>
      </c>
    </row>
    <row r="1128" spans="2:17" x14ac:dyDescent="0.2">
      <c r="B1128" s="6" t="s">
        <v>1496</v>
      </c>
      <c r="C1128" s="6">
        <v>4</v>
      </c>
      <c r="D1128" s="6" t="s">
        <v>1497</v>
      </c>
      <c r="E1128" t="s">
        <v>1702</v>
      </c>
      <c r="F1128" s="6" t="s">
        <v>1389</v>
      </c>
      <c r="G1128">
        <v>1</v>
      </c>
      <c r="Q1128" t="s">
        <v>9135</v>
      </c>
    </row>
    <row r="1129" spans="2:17" x14ac:dyDescent="0.2">
      <c r="B1129" s="6" t="s">
        <v>1496</v>
      </c>
      <c r="C1129" s="6">
        <v>4</v>
      </c>
      <c r="D1129" s="6" t="s">
        <v>1497</v>
      </c>
      <c r="E1129" t="s">
        <v>1703</v>
      </c>
      <c r="F1129" s="6" t="s">
        <v>1389</v>
      </c>
      <c r="G1129">
        <v>1</v>
      </c>
      <c r="Q1129" t="s">
        <v>9136</v>
      </c>
    </row>
    <row r="1130" spans="2:17" x14ac:dyDescent="0.2">
      <c r="B1130" s="6" t="s">
        <v>1496</v>
      </c>
      <c r="C1130" s="6">
        <v>4</v>
      </c>
      <c r="D1130" s="6" t="s">
        <v>1497</v>
      </c>
      <c r="E1130" t="s">
        <v>1704</v>
      </c>
      <c r="F1130" s="6" t="s">
        <v>1389</v>
      </c>
      <c r="G1130" s="6" t="s">
        <v>114</v>
      </c>
      <c r="Q1130" t="s">
        <v>9137</v>
      </c>
    </row>
    <row r="1131" spans="2:17" x14ac:dyDescent="0.2">
      <c r="B1131" s="6" t="s">
        <v>1496</v>
      </c>
      <c r="C1131" s="6">
        <v>4</v>
      </c>
      <c r="D1131" s="6" t="s">
        <v>1497</v>
      </c>
      <c r="E1131" t="s">
        <v>1705</v>
      </c>
      <c r="F1131" s="6" t="s">
        <v>1389</v>
      </c>
      <c r="G1131">
        <v>1</v>
      </c>
      <c r="M1131">
        <v>2</v>
      </c>
    </row>
    <row r="1132" spans="2:17" x14ac:dyDescent="0.2">
      <c r="B1132" s="6" t="s">
        <v>1496</v>
      </c>
      <c r="C1132" s="6">
        <v>4</v>
      </c>
      <c r="D1132" s="6" t="s">
        <v>1497</v>
      </c>
      <c r="E1132" t="s">
        <v>1687</v>
      </c>
      <c r="F1132" s="6" t="s">
        <v>1389</v>
      </c>
      <c r="H1132">
        <v>6.2E-2</v>
      </c>
    </row>
    <row r="1133" spans="2:17" x14ac:dyDescent="0.2">
      <c r="B1133" s="6" t="s">
        <v>1496</v>
      </c>
      <c r="C1133">
        <v>5</v>
      </c>
      <c r="D1133" s="6" t="s">
        <v>1497</v>
      </c>
      <c r="E1133" s="8" t="s">
        <v>1706</v>
      </c>
      <c r="F1133" s="6" t="s">
        <v>1457</v>
      </c>
      <c r="H1133">
        <f>2.1-0.344</f>
        <v>1.7560000000000002</v>
      </c>
      <c r="O1133" t="s">
        <v>1549</v>
      </c>
    </row>
    <row r="1134" spans="2:17" x14ac:dyDescent="0.2">
      <c r="B1134" s="6" t="s">
        <v>1496</v>
      </c>
      <c r="C1134">
        <v>5</v>
      </c>
      <c r="D1134" s="6" t="s">
        <v>1497</v>
      </c>
      <c r="E1134" s="8" t="s">
        <v>1707</v>
      </c>
      <c r="F1134" s="6" t="s">
        <v>1344</v>
      </c>
      <c r="H1134">
        <f>0.539-0.357</f>
        <v>0.18200000000000005</v>
      </c>
      <c r="O1134" t="s">
        <v>1550</v>
      </c>
    </row>
    <row r="1135" spans="2:17" x14ac:dyDescent="0.2">
      <c r="B1135" s="6" t="s">
        <v>1496</v>
      </c>
      <c r="C1135">
        <v>5</v>
      </c>
      <c r="D1135" s="6" t="s">
        <v>1497</v>
      </c>
      <c r="E1135" s="8" t="s">
        <v>1708</v>
      </c>
      <c r="F1135" s="6" t="s">
        <v>1389</v>
      </c>
      <c r="H1135">
        <v>1.2999999999999999E-2</v>
      </c>
      <c r="Q1135" t="s">
        <v>9143</v>
      </c>
    </row>
    <row r="1136" spans="2:17" x14ac:dyDescent="0.2">
      <c r="B1136" s="6" t="s">
        <v>1496</v>
      </c>
      <c r="C1136">
        <v>5</v>
      </c>
      <c r="D1136" s="6" t="s">
        <v>1497</v>
      </c>
      <c r="E1136" s="8" t="s">
        <v>1709</v>
      </c>
      <c r="F1136" s="6" t="s">
        <v>1389</v>
      </c>
      <c r="H1136">
        <v>1.6E-2</v>
      </c>
      <c r="Q1136" t="s">
        <v>9144</v>
      </c>
    </row>
    <row r="1137" spans="2:17" x14ac:dyDescent="0.2">
      <c r="B1137" s="6" t="s">
        <v>1496</v>
      </c>
      <c r="C1137">
        <v>5</v>
      </c>
      <c r="D1137" s="6" t="s">
        <v>1497</v>
      </c>
      <c r="E1137" s="8" t="s">
        <v>1710</v>
      </c>
      <c r="F1137" s="6" t="s">
        <v>1389</v>
      </c>
      <c r="H1137">
        <v>1.4E-2</v>
      </c>
      <c r="Q1137" t="s">
        <v>9145</v>
      </c>
    </row>
    <row r="1138" spans="2:17" x14ac:dyDescent="0.2">
      <c r="B1138" s="6" t="s">
        <v>1496</v>
      </c>
      <c r="C1138">
        <v>5</v>
      </c>
      <c r="D1138" s="6" t="s">
        <v>1497</v>
      </c>
      <c r="E1138" s="8" t="s">
        <v>1711</v>
      </c>
      <c r="F1138" s="6" t="s">
        <v>1389</v>
      </c>
      <c r="H1138">
        <v>1.2E-2</v>
      </c>
      <c r="Q1138" t="s">
        <v>9146</v>
      </c>
    </row>
    <row r="1139" spans="2:17" x14ac:dyDescent="0.2">
      <c r="B1139" s="6" t="s">
        <v>1496</v>
      </c>
      <c r="C1139">
        <v>5</v>
      </c>
      <c r="D1139" s="6" t="s">
        <v>1497</v>
      </c>
      <c r="E1139" s="8" t="s">
        <v>1712</v>
      </c>
      <c r="F1139" s="6" t="s">
        <v>1389</v>
      </c>
      <c r="H1139">
        <v>1.2999999999999999E-2</v>
      </c>
      <c r="Q1139" t="s">
        <v>9138</v>
      </c>
    </row>
    <row r="1140" spans="2:17" x14ac:dyDescent="0.2">
      <c r="B1140" s="6" t="s">
        <v>1496</v>
      </c>
      <c r="C1140">
        <v>5</v>
      </c>
      <c r="D1140" s="6" t="s">
        <v>1497</v>
      </c>
      <c r="E1140" t="s">
        <v>1713</v>
      </c>
      <c r="F1140" s="6" t="s">
        <v>1389</v>
      </c>
      <c r="H1140">
        <v>6.0000000000000001E-3</v>
      </c>
      <c r="Q1140" t="s">
        <v>9139</v>
      </c>
    </row>
    <row r="1141" spans="2:17" x14ac:dyDescent="0.2">
      <c r="B1141" s="6" t="s">
        <v>1496</v>
      </c>
      <c r="C1141">
        <v>5</v>
      </c>
      <c r="D1141" s="6" t="s">
        <v>1497</v>
      </c>
      <c r="E1141" t="s">
        <v>1714</v>
      </c>
      <c r="F1141" s="6" t="s">
        <v>1389</v>
      </c>
      <c r="H1141">
        <v>4.0000000000000001E-3</v>
      </c>
      <c r="Q1141" t="s">
        <v>9140</v>
      </c>
    </row>
    <row r="1142" spans="2:17" x14ac:dyDescent="0.2">
      <c r="B1142" s="6" t="s">
        <v>1496</v>
      </c>
      <c r="C1142">
        <v>5</v>
      </c>
      <c r="D1142" s="6" t="s">
        <v>1497</v>
      </c>
      <c r="E1142" t="s">
        <v>1715</v>
      </c>
      <c r="F1142" s="6" t="s">
        <v>1389</v>
      </c>
      <c r="H1142">
        <v>8.9999999999999993E-3</v>
      </c>
      <c r="Q1142" t="s">
        <v>9141</v>
      </c>
    </row>
    <row r="1143" spans="2:17" x14ac:dyDescent="0.2">
      <c r="B1143" s="6" t="s">
        <v>1496</v>
      </c>
      <c r="C1143">
        <v>5</v>
      </c>
      <c r="D1143" s="6" t="s">
        <v>1497</v>
      </c>
      <c r="E1143" t="s">
        <v>1716</v>
      </c>
      <c r="F1143" s="6" t="s">
        <v>1389</v>
      </c>
      <c r="H1143">
        <v>5.0000000000000001E-3</v>
      </c>
      <c r="Q1143" t="s">
        <v>9142</v>
      </c>
    </row>
    <row r="1144" spans="2:17" x14ac:dyDescent="0.2">
      <c r="B1144" s="6" t="s">
        <v>1496</v>
      </c>
      <c r="C1144">
        <v>5</v>
      </c>
      <c r="D1144" s="6" t="s">
        <v>1497</v>
      </c>
      <c r="E1144" t="s">
        <v>1717</v>
      </c>
      <c r="F1144" s="6" t="s">
        <v>1389</v>
      </c>
      <c r="H1144">
        <v>2.8000000000000001E-2</v>
      </c>
      <c r="M1144">
        <v>5</v>
      </c>
    </row>
    <row r="1145" spans="2:17" x14ac:dyDescent="0.2">
      <c r="B1145" s="6" t="s">
        <v>1496</v>
      </c>
      <c r="C1145">
        <v>5</v>
      </c>
      <c r="D1145" s="6" t="s">
        <v>1497</v>
      </c>
      <c r="E1145" t="s">
        <v>1718</v>
      </c>
      <c r="F1145" s="6" t="s">
        <v>1389</v>
      </c>
      <c r="H1145">
        <v>5.8000000000000003E-2</v>
      </c>
      <c r="M1145">
        <v>5</v>
      </c>
    </row>
    <row r="1146" spans="2:17" x14ac:dyDescent="0.2">
      <c r="B1146" s="6" t="s">
        <v>1496</v>
      </c>
      <c r="C1146">
        <v>5</v>
      </c>
      <c r="D1146" s="6" t="s">
        <v>1497</v>
      </c>
      <c r="E1146" t="s">
        <v>1719</v>
      </c>
      <c r="F1146" s="6" t="s">
        <v>1389</v>
      </c>
      <c r="H1146">
        <v>6.0000000000000001E-3</v>
      </c>
      <c r="Q1146" t="s">
        <v>9148</v>
      </c>
    </row>
    <row r="1147" spans="2:17" x14ac:dyDescent="0.2">
      <c r="B1147" s="6" t="s">
        <v>1496</v>
      </c>
      <c r="C1147">
        <v>5</v>
      </c>
      <c r="D1147" s="6" t="s">
        <v>1497</v>
      </c>
      <c r="E1147" t="s">
        <v>1720</v>
      </c>
      <c r="F1147" s="6" t="s">
        <v>1389</v>
      </c>
      <c r="G1147">
        <v>1</v>
      </c>
      <c r="Q1147" t="s">
        <v>9147</v>
      </c>
    </row>
    <row r="1148" spans="2:17" x14ac:dyDescent="0.2">
      <c r="B1148" s="6" t="s">
        <v>1496</v>
      </c>
      <c r="C1148">
        <v>5</v>
      </c>
      <c r="D1148" s="6" t="s">
        <v>1497</v>
      </c>
      <c r="E1148" s="8" t="s">
        <v>1721</v>
      </c>
      <c r="F1148" s="6" t="s">
        <v>1389</v>
      </c>
      <c r="G1148">
        <v>1</v>
      </c>
      <c r="Q1148" t="s">
        <v>9150</v>
      </c>
    </row>
    <row r="1149" spans="2:17" x14ac:dyDescent="0.2">
      <c r="B1149" s="6" t="s">
        <v>1496</v>
      </c>
      <c r="C1149">
        <v>5</v>
      </c>
      <c r="D1149" s="6" t="s">
        <v>1497</v>
      </c>
      <c r="E1149" s="8" t="s">
        <v>1722</v>
      </c>
      <c r="F1149" s="6" t="s">
        <v>1389</v>
      </c>
      <c r="G1149" s="6" t="s">
        <v>114</v>
      </c>
      <c r="Q1149" t="s">
        <v>9149</v>
      </c>
    </row>
    <row r="1150" spans="2:17" x14ac:dyDescent="0.2">
      <c r="B1150" s="6" t="s">
        <v>1496</v>
      </c>
      <c r="C1150">
        <v>5</v>
      </c>
      <c r="D1150" s="6" t="s">
        <v>1497</v>
      </c>
      <c r="E1150" t="s">
        <v>1723</v>
      </c>
      <c r="F1150" s="6" t="s">
        <v>1389</v>
      </c>
      <c r="G1150" t="s">
        <v>114</v>
      </c>
      <c r="Q1150" t="s">
        <v>9151</v>
      </c>
    </row>
    <row r="1151" spans="2:17" x14ac:dyDescent="0.2">
      <c r="B1151" s="6" t="s">
        <v>1496</v>
      </c>
      <c r="C1151">
        <v>5</v>
      </c>
      <c r="D1151" s="6" t="s">
        <v>1497</v>
      </c>
      <c r="E1151" t="s">
        <v>1724</v>
      </c>
      <c r="F1151" s="6" t="s">
        <v>1389</v>
      </c>
      <c r="G1151" t="s">
        <v>114</v>
      </c>
      <c r="Q1151" t="s">
        <v>9152</v>
      </c>
    </row>
    <row r="1152" spans="2:17" x14ac:dyDescent="0.2">
      <c r="B1152" s="6" t="s">
        <v>1496</v>
      </c>
      <c r="C1152">
        <v>5</v>
      </c>
      <c r="D1152" s="6" t="s">
        <v>1497</v>
      </c>
      <c r="E1152" t="s">
        <v>1725</v>
      </c>
      <c r="F1152" s="6" t="s">
        <v>1389</v>
      </c>
      <c r="H1152">
        <v>1E-3</v>
      </c>
      <c r="M1152">
        <v>5</v>
      </c>
      <c r="O1152" t="s">
        <v>1553</v>
      </c>
    </row>
    <row r="1153" spans="2:17" x14ac:dyDescent="0.2">
      <c r="B1153" s="6" t="s">
        <v>1496</v>
      </c>
      <c r="C1153">
        <v>5</v>
      </c>
      <c r="D1153" s="6" t="s">
        <v>1497</v>
      </c>
      <c r="E1153" t="s">
        <v>1726</v>
      </c>
      <c r="F1153" s="6" t="s">
        <v>1389</v>
      </c>
      <c r="H1153">
        <v>0.45400000000000001</v>
      </c>
    </row>
    <row r="1154" spans="2:17" x14ac:dyDescent="0.2">
      <c r="B1154" s="6" t="s">
        <v>1496</v>
      </c>
      <c r="C1154">
        <v>5</v>
      </c>
      <c r="D1154" s="6" t="s">
        <v>1497</v>
      </c>
      <c r="E1154" t="s">
        <v>1727</v>
      </c>
      <c r="F1154" s="6" t="s">
        <v>1425</v>
      </c>
      <c r="H1154">
        <v>0.02</v>
      </c>
      <c r="Q1154" t="s">
        <v>9153</v>
      </c>
    </row>
    <row r="1155" spans="2:17" x14ac:dyDescent="0.2">
      <c r="B1155" s="6" t="s">
        <v>1496</v>
      </c>
      <c r="C1155">
        <v>5</v>
      </c>
      <c r="D1155" s="6" t="s">
        <v>1497</v>
      </c>
      <c r="E1155" t="s">
        <v>1728</v>
      </c>
      <c r="F1155" s="6" t="s">
        <v>1425</v>
      </c>
      <c r="H1155">
        <v>1.7000000000000001E-2</v>
      </c>
      <c r="Q1155" t="s">
        <v>9154</v>
      </c>
    </row>
    <row r="1156" spans="2:17" x14ac:dyDescent="0.2">
      <c r="B1156" s="6" t="s">
        <v>1496</v>
      </c>
      <c r="C1156">
        <v>5</v>
      </c>
      <c r="D1156" s="6" t="s">
        <v>1497</v>
      </c>
      <c r="E1156" t="s">
        <v>1729</v>
      </c>
      <c r="F1156" s="6" t="s">
        <v>1425</v>
      </c>
      <c r="H1156">
        <v>2.5999999999999999E-2</v>
      </c>
      <c r="Q1156" t="s">
        <v>9155</v>
      </c>
    </row>
    <row r="1157" spans="2:17" x14ac:dyDescent="0.2">
      <c r="B1157" s="6" t="s">
        <v>1496</v>
      </c>
      <c r="C1157">
        <v>5</v>
      </c>
      <c r="D1157" s="6" t="s">
        <v>1497</v>
      </c>
      <c r="E1157" t="s">
        <v>1730</v>
      </c>
      <c r="F1157" s="6" t="s">
        <v>1425</v>
      </c>
      <c r="H1157">
        <v>2.4E-2</v>
      </c>
      <c r="Q1157" t="s">
        <v>9156</v>
      </c>
    </row>
    <row r="1158" spans="2:17" x14ac:dyDescent="0.2">
      <c r="B1158" s="6" t="s">
        <v>1496</v>
      </c>
      <c r="C1158">
        <v>5</v>
      </c>
      <c r="D1158" s="6" t="s">
        <v>1497</v>
      </c>
      <c r="E1158" t="s">
        <v>1731</v>
      </c>
      <c r="F1158" s="6" t="s">
        <v>1425</v>
      </c>
      <c r="H1158">
        <v>2E-3</v>
      </c>
      <c r="Q1158" t="s">
        <v>9157</v>
      </c>
    </row>
    <row r="1159" spans="2:17" x14ac:dyDescent="0.2">
      <c r="B1159" s="6" t="s">
        <v>1496</v>
      </c>
      <c r="C1159">
        <v>5</v>
      </c>
      <c r="D1159" s="6" t="s">
        <v>1497</v>
      </c>
      <c r="E1159" t="s">
        <v>1732</v>
      </c>
      <c r="F1159" s="6" t="s">
        <v>1425</v>
      </c>
      <c r="H1159">
        <v>0.04</v>
      </c>
      <c r="Q1159" t="s">
        <v>9158</v>
      </c>
    </row>
    <row r="1160" spans="2:17" x14ac:dyDescent="0.2">
      <c r="B1160" s="6" t="s">
        <v>1496</v>
      </c>
      <c r="C1160">
        <v>5</v>
      </c>
      <c r="D1160" s="6" t="s">
        <v>1497</v>
      </c>
      <c r="E1160" t="s">
        <v>1733</v>
      </c>
      <c r="F1160" s="6" t="s">
        <v>1425</v>
      </c>
      <c r="H1160">
        <v>6.0000000000000001E-3</v>
      </c>
      <c r="Q1160" t="s">
        <v>9159</v>
      </c>
    </row>
    <row r="1161" spans="2:17" x14ac:dyDescent="0.2">
      <c r="B1161" s="6" t="s">
        <v>1496</v>
      </c>
      <c r="C1161">
        <v>5</v>
      </c>
      <c r="D1161" s="6" t="s">
        <v>1497</v>
      </c>
      <c r="E1161" t="s">
        <v>1734</v>
      </c>
      <c r="F1161" s="6" t="s">
        <v>1425</v>
      </c>
      <c r="H1161">
        <v>7.0000000000000001E-3</v>
      </c>
      <c r="Q1161" t="s">
        <v>9160</v>
      </c>
    </row>
    <row r="1162" spans="2:17" x14ac:dyDescent="0.2">
      <c r="B1162" s="6" t="s">
        <v>1496</v>
      </c>
      <c r="C1162">
        <v>5</v>
      </c>
      <c r="D1162" s="6" t="s">
        <v>1497</v>
      </c>
      <c r="E1162" t="s">
        <v>1735</v>
      </c>
      <c r="F1162" s="6" t="s">
        <v>1425</v>
      </c>
      <c r="H1162">
        <v>4.0000000000000001E-3</v>
      </c>
      <c r="Q1162" t="s">
        <v>9161</v>
      </c>
    </row>
    <row r="1163" spans="2:17" x14ac:dyDescent="0.2">
      <c r="B1163" s="6" t="s">
        <v>1496</v>
      </c>
      <c r="C1163">
        <v>5</v>
      </c>
      <c r="D1163" s="6" t="s">
        <v>1497</v>
      </c>
      <c r="E1163" t="s">
        <v>1736</v>
      </c>
      <c r="F1163" s="6" t="s">
        <v>1425</v>
      </c>
      <c r="H1163">
        <v>2.4E-2</v>
      </c>
      <c r="M1163">
        <v>5</v>
      </c>
    </row>
    <row r="1164" spans="2:17" x14ac:dyDescent="0.2">
      <c r="B1164" s="6" t="s">
        <v>1496</v>
      </c>
      <c r="C1164">
        <v>5</v>
      </c>
      <c r="D1164" s="6" t="s">
        <v>1497</v>
      </c>
      <c r="E1164" t="s">
        <v>1726</v>
      </c>
      <c r="F1164" s="6" t="s">
        <v>1425</v>
      </c>
      <c r="H1164">
        <v>0.107</v>
      </c>
    </row>
    <row r="1165" spans="2:17" x14ac:dyDescent="0.2">
      <c r="B1165" s="6" t="s">
        <v>1496</v>
      </c>
      <c r="C1165">
        <v>5</v>
      </c>
      <c r="D1165" s="6" t="s">
        <v>1497</v>
      </c>
      <c r="E1165" t="s">
        <v>1737</v>
      </c>
      <c r="F1165" t="s">
        <v>5869</v>
      </c>
      <c r="H1165">
        <v>0.40300000000000002</v>
      </c>
      <c r="O1165" t="s">
        <v>1552</v>
      </c>
      <c r="Q1165" t="s">
        <v>5873</v>
      </c>
    </row>
    <row r="1166" spans="2:17" x14ac:dyDescent="0.2">
      <c r="B1166" s="6" t="s">
        <v>1496</v>
      </c>
      <c r="C1166">
        <v>5</v>
      </c>
      <c r="D1166" s="6" t="s">
        <v>1497</v>
      </c>
      <c r="E1166" t="s">
        <v>1738</v>
      </c>
      <c r="F1166" s="6" t="s">
        <v>6760</v>
      </c>
      <c r="H1166">
        <v>1.6E-2</v>
      </c>
      <c r="Q1166" t="s">
        <v>9165</v>
      </c>
    </row>
    <row r="1167" spans="2:17" x14ac:dyDescent="0.2">
      <c r="B1167" s="6" t="s">
        <v>1496</v>
      </c>
      <c r="C1167">
        <v>5</v>
      </c>
      <c r="D1167" s="6" t="s">
        <v>1497</v>
      </c>
      <c r="E1167" t="s">
        <v>1739</v>
      </c>
      <c r="F1167" s="6" t="s">
        <v>1425</v>
      </c>
      <c r="H1167">
        <v>3.6999999999999998E-2</v>
      </c>
      <c r="Q1167" t="s">
        <v>9166</v>
      </c>
    </row>
    <row r="1168" spans="2:17" x14ac:dyDescent="0.2">
      <c r="B1168" s="6" t="s">
        <v>1496</v>
      </c>
      <c r="C1168">
        <v>5</v>
      </c>
      <c r="D1168" s="6" t="s">
        <v>1497</v>
      </c>
      <c r="E1168" t="s">
        <v>1740</v>
      </c>
      <c r="F1168" s="6" t="s">
        <v>7138</v>
      </c>
      <c r="H1168">
        <v>4.0000000000000001E-3</v>
      </c>
      <c r="Q1168" t="s">
        <v>9167</v>
      </c>
    </row>
    <row r="1169" spans="2:17" x14ac:dyDescent="0.2">
      <c r="B1169" s="6" t="s">
        <v>1496</v>
      </c>
      <c r="C1169">
        <v>5</v>
      </c>
      <c r="D1169" s="6" t="s">
        <v>1497</v>
      </c>
      <c r="E1169" t="s">
        <v>1741</v>
      </c>
      <c r="F1169" s="6" t="s">
        <v>1559</v>
      </c>
      <c r="H1169">
        <v>2E-3</v>
      </c>
      <c r="Q1169" t="s">
        <v>9168</v>
      </c>
    </row>
    <row r="1170" spans="2:17" x14ac:dyDescent="0.2">
      <c r="B1170" s="6" t="s">
        <v>1496</v>
      </c>
      <c r="C1170">
        <v>5</v>
      </c>
      <c r="D1170" s="6" t="s">
        <v>1497</v>
      </c>
      <c r="E1170" t="s">
        <v>1742</v>
      </c>
      <c r="F1170" s="6" t="s">
        <v>1559</v>
      </c>
      <c r="H1170">
        <v>1E-3</v>
      </c>
      <c r="Q1170" t="s">
        <v>9169</v>
      </c>
    </row>
    <row r="1171" spans="2:17" x14ac:dyDescent="0.2">
      <c r="B1171" s="6" t="s">
        <v>1496</v>
      </c>
      <c r="C1171">
        <v>5</v>
      </c>
      <c r="D1171" s="6" t="s">
        <v>1497</v>
      </c>
      <c r="E1171" t="s">
        <v>1743</v>
      </c>
      <c r="F1171" s="6" t="s">
        <v>1311</v>
      </c>
      <c r="H1171">
        <v>3.0000000000000001E-3</v>
      </c>
      <c r="Q1171" t="s">
        <v>9170</v>
      </c>
    </row>
    <row r="1172" spans="2:17" x14ac:dyDescent="0.2">
      <c r="B1172" s="6" t="s">
        <v>1496</v>
      </c>
      <c r="C1172">
        <v>5</v>
      </c>
      <c r="D1172" s="6" t="s">
        <v>1497</v>
      </c>
      <c r="E1172" t="s">
        <v>1744</v>
      </c>
      <c r="F1172" t="s">
        <v>5936</v>
      </c>
      <c r="G1172" t="s">
        <v>114</v>
      </c>
      <c r="Q1172" t="s">
        <v>6048</v>
      </c>
    </row>
    <row r="1173" spans="2:17" x14ac:dyDescent="0.2">
      <c r="B1173" s="6" t="s">
        <v>1496</v>
      </c>
      <c r="C1173">
        <v>5</v>
      </c>
      <c r="D1173" s="6" t="s">
        <v>1497</v>
      </c>
      <c r="E1173" t="s">
        <v>1745</v>
      </c>
      <c r="F1173" t="s">
        <v>5936</v>
      </c>
      <c r="G1173" t="s">
        <v>114</v>
      </c>
      <c r="Q1173" t="s">
        <v>6049</v>
      </c>
    </row>
    <row r="1174" spans="2:17" x14ac:dyDescent="0.2">
      <c r="B1174" s="6" t="s">
        <v>1496</v>
      </c>
      <c r="C1174">
        <v>5</v>
      </c>
      <c r="D1174" s="6" t="s">
        <v>1497</v>
      </c>
      <c r="E1174" t="s">
        <v>1746</v>
      </c>
      <c r="F1174" t="s">
        <v>5936</v>
      </c>
      <c r="H1174">
        <v>2E-3</v>
      </c>
      <c r="Q1174" t="s">
        <v>6050</v>
      </c>
    </row>
    <row r="1175" spans="2:17" x14ac:dyDescent="0.2">
      <c r="B1175" s="6" t="s">
        <v>1496</v>
      </c>
      <c r="C1175">
        <v>5</v>
      </c>
      <c r="D1175" s="6" t="s">
        <v>1497</v>
      </c>
      <c r="E1175" t="s">
        <v>1747</v>
      </c>
      <c r="F1175" s="6" t="s">
        <v>1344</v>
      </c>
      <c r="H1175">
        <v>1.9E-2</v>
      </c>
    </row>
    <row r="1176" spans="2:17" x14ac:dyDescent="0.2">
      <c r="B1176" s="6" t="s">
        <v>1496</v>
      </c>
      <c r="C1176">
        <v>5</v>
      </c>
      <c r="D1176" s="6" t="s">
        <v>1497</v>
      </c>
      <c r="E1176" t="s">
        <v>1748</v>
      </c>
      <c r="F1176" s="6" t="s">
        <v>332</v>
      </c>
      <c r="H1176">
        <v>1.7999999999999999E-2</v>
      </c>
      <c r="Q1176" t="s">
        <v>9162</v>
      </c>
    </row>
    <row r="1177" spans="2:17" x14ac:dyDescent="0.2">
      <c r="B1177" s="6" t="s">
        <v>1496</v>
      </c>
      <c r="C1177">
        <v>5</v>
      </c>
      <c r="D1177" s="6" t="s">
        <v>1497</v>
      </c>
      <c r="E1177" t="s">
        <v>1749</v>
      </c>
      <c r="F1177" s="6" t="s">
        <v>1538</v>
      </c>
      <c r="H1177">
        <v>2.5999999999999999E-2</v>
      </c>
      <c r="Q1177" t="s">
        <v>9163</v>
      </c>
    </row>
    <row r="1178" spans="2:17" x14ac:dyDescent="0.2">
      <c r="B1178" s="6" t="s">
        <v>1496</v>
      </c>
      <c r="C1178">
        <v>5</v>
      </c>
      <c r="D1178" s="6" t="s">
        <v>1497</v>
      </c>
      <c r="E1178" t="s">
        <v>1750</v>
      </c>
      <c r="F1178" s="6" t="s">
        <v>1538</v>
      </c>
      <c r="H1178">
        <v>1.4999999999999999E-2</v>
      </c>
      <c r="Q1178" t="s">
        <v>9164</v>
      </c>
    </row>
    <row r="1179" spans="2:17" x14ac:dyDescent="0.2">
      <c r="B1179" s="6" t="s">
        <v>1496</v>
      </c>
      <c r="C1179">
        <v>6</v>
      </c>
      <c r="D1179" s="6" t="s">
        <v>1497</v>
      </c>
      <c r="E1179" s="8" t="s">
        <v>1751</v>
      </c>
      <c r="F1179" s="6" t="s">
        <v>1264</v>
      </c>
      <c r="H1179">
        <f>4.2-0.4</f>
        <v>3.8000000000000003</v>
      </c>
      <c r="O1179" t="s">
        <v>1555</v>
      </c>
    </row>
    <row r="1180" spans="2:17" x14ac:dyDescent="0.2">
      <c r="B1180" s="6" t="s">
        <v>1496</v>
      </c>
      <c r="C1180">
        <v>6</v>
      </c>
      <c r="D1180" s="6" t="s">
        <v>1497</v>
      </c>
      <c r="E1180" s="8" t="s">
        <v>1752</v>
      </c>
      <c r="F1180" s="6" t="s">
        <v>1554</v>
      </c>
      <c r="H1180">
        <v>0.23400000000000001</v>
      </c>
    </row>
    <row r="1181" spans="2:17" x14ac:dyDescent="0.2">
      <c r="B1181" s="6" t="s">
        <v>1496</v>
      </c>
      <c r="C1181">
        <v>6</v>
      </c>
      <c r="D1181" s="6" t="s">
        <v>1497</v>
      </c>
      <c r="E1181" s="8" t="s">
        <v>1753</v>
      </c>
      <c r="F1181" s="6" t="s">
        <v>1344</v>
      </c>
      <c r="H1181">
        <v>0.16500000000000001</v>
      </c>
    </row>
    <row r="1182" spans="2:17" x14ac:dyDescent="0.2">
      <c r="B1182" s="6" t="s">
        <v>1496</v>
      </c>
      <c r="C1182">
        <v>6</v>
      </c>
      <c r="D1182" s="6" t="s">
        <v>1497</v>
      </c>
      <c r="E1182" t="s">
        <v>1754</v>
      </c>
      <c r="F1182" s="6" t="s">
        <v>1425</v>
      </c>
      <c r="H1182">
        <v>4.0000000000000001E-3</v>
      </c>
      <c r="Q1182" t="s">
        <v>9175</v>
      </c>
    </row>
    <row r="1183" spans="2:17" x14ac:dyDescent="0.2">
      <c r="B1183" s="6" t="s">
        <v>1496</v>
      </c>
      <c r="C1183">
        <v>6</v>
      </c>
      <c r="D1183" s="6" t="s">
        <v>1497</v>
      </c>
      <c r="E1183" s="8" t="s">
        <v>1755</v>
      </c>
      <c r="F1183" s="6" t="s">
        <v>1425</v>
      </c>
      <c r="H1183">
        <v>3.6999999999999998E-2</v>
      </c>
      <c r="Q1183" t="s">
        <v>9171</v>
      </c>
    </row>
    <row r="1184" spans="2:17" x14ac:dyDescent="0.2">
      <c r="B1184" s="6" t="s">
        <v>1496</v>
      </c>
      <c r="C1184">
        <v>6</v>
      </c>
      <c r="D1184" s="6" t="s">
        <v>1497</v>
      </c>
      <c r="E1184" s="8" t="s">
        <v>1756</v>
      </c>
      <c r="F1184" s="6" t="s">
        <v>1425</v>
      </c>
      <c r="H1184">
        <v>2.4E-2</v>
      </c>
      <c r="Q1184" t="s">
        <v>9172</v>
      </c>
    </row>
    <row r="1185" spans="2:17" x14ac:dyDescent="0.2">
      <c r="B1185" s="6" t="s">
        <v>1496</v>
      </c>
      <c r="C1185">
        <v>6</v>
      </c>
      <c r="D1185" s="6" t="s">
        <v>1497</v>
      </c>
      <c r="E1185" s="8" t="s">
        <v>1757</v>
      </c>
      <c r="F1185" s="6" t="s">
        <v>1425</v>
      </c>
      <c r="H1185">
        <v>3.5000000000000003E-2</v>
      </c>
      <c r="Q1185" t="s">
        <v>9173</v>
      </c>
    </row>
    <row r="1186" spans="2:17" x14ac:dyDescent="0.2">
      <c r="B1186" s="6" t="s">
        <v>1496</v>
      </c>
      <c r="C1186">
        <v>6</v>
      </c>
      <c r="D1186" s="6" t="s">
        <v>1497</v>
      </c>
      <c r="E1186" s="8" t="s">
        <v>1758</v>
      </c>
      <c r="F1186" s="6" t="s">
        <v>1425</v>
      </c>
      <c r="H1186">
        <v>1.2E-2</v>
      </c>
    </row>
    <row r="1187" spans="2:17" x14ac:dyDescent="0.2">
      <c r="B1187" s="6" t="s">
        <v>1496</v>
      </c>
      <c r="C1187">
        <v>6</v>
      </c>
      <c r="D1187" s="6" t="s">
        <v>1497</v>
      </c>
      <c r="E1187" s="8" t="s">
        <v>1759</v>
      </c>
      <c r="F1187" s="6" t="s">
        <v>1425</v>
      </c>
      <c r="H1187">
        <v>2.5999999999999999E-2</v>
      </c>
      <c r="Q1187" t="s">
        <v>9174</v>
      </c>
    </row>
    <row r="1188" spans="2:17" x14ac:dyDescent="0.2">
      <c r="B1188" s="6" t="s">
        <v>1496</v>
      </c>
      <c r="C1188">
        <v>6</v>
      </c>
      <c r="D1188" s="6" t="s">
        <v>1497</v>
      </c>
      <c r="E1188" t="s">
        <v>1760</v>
      </c>
      <c r="F1188" s="6" t="s">
        <v>1425</v>
      </c>
      <c r="H1188">
        <v>5.0000000000000001E-3</v>
      </c>
      <c r="Q1188" t="s">
        <v>9176</v>
      </c>
    </row>
    <row r="1189" spans="2:17" x14ac:dyDescent="0.2">
      <c r="B1189" s="6" t="s">
        <v>1496</v>
      </c>
      <c r="C1189">
        <v>6</v>
      </c>
      <c r="D1189" s="6" t="s">
        <v>1497</v>
      </c>
      <c r="E1189" t="s">
        <v>1761</v>
      </c>
      <c r="F1189" s="6" t="s">
        <v>1425</v>
      </c>
      <c r="H1189">
        <v>4.0000000000000001E-3</v>
      </c>
      <c r="Q1189" t="s">
        <v>9177</v>
      </c>
    </row>
    <row r="1190" spans="2:17" x14ac:dyDescent="0.2">
      <c r="B1190" s="6" t="s">
        <v>1496</v>
      </c>
      <c r="C1190">
        <v>6</v>
      </c>
      <c r="D1190" s="6" t="s">
        <v>1497</v>
      </c>
      <c r="E1190" t="s">
        <v>1762</v>
      </c>
      <c r="F1190" s="6" t="s">
        <v>1425</v>
      </c>
      <c r="H1190">
        <v>4.0000000000000001E-3</v>
      </c>
      <c r="Q1190" t="s">
        <v>9178</v>
      </c>
    </row>
    <row r="1191" spans="2:17" x14ac:dyDescent="0.2">
      <c r="B1191" s="6" t="s">
        <v>1496</v>
      </c>
      <c r="C1191">
        <v>6</v>
      </c>
      <c r="D1191" s="6" t="s">
        <v>1497</v>
      </c>
      <c r="E1191" t="s">
        <v>1763</v>
      </c>
      <c r="F1191" s="6" t="s">
        <v>1425</v>
      </c>
      <c r="H1191">
        <v>3.0000000000000001E-3</v>
      </c>
      <c r="Q1191" t="s">
        <v>9179</v>
      </c>
    </row>
    <row r="1192" spans="2:17" x14ac:dyDescent="0.2">
      <c r="B1192" s="6" t="s">
        <v>1496</v>
      </c>
      <c r="C1192">
        <v>6</v>
      </c>
      <c r="D1192" s="6" t="s">
        <v>1497</v>
      </c>
      <c r="E1192" t="s">
        <v>1764</v>
      </c>
      <c r="F1192" s="6" t="s">
        <v>1425</v>
      </c>
      <c r="H1192">
        <v>0.21099999999999999</v>
      </c>
    </row>
    <row r="1193" spans="2:17" x14ac:dyDescent="0.2">
      <c r="B1193" s="6" t="s">
        <v>1496</v>
      </c>
      <c r="C1193">
        <v>6</v>
      </c>
      <c r="D1193" s="6" t="s">
        <v>1497</v>
      </c>
      <c r="E1193" s="8" t="s">
        <v>1765</v>
      </c>
      <c r="F1193" s="6" t="s">
        <v>1425</v>
      </c>
      <c r="H1193">
        <v>9.8000000000000004E-2</v>
      </c>
      <c r="M1193">
        <v>5</v>
      </c>
    </row>
    <row r="1194" spans="2:17" x14ac:dyDescent="0.2">
      <c r="B1194" s="6" t="s">
        <v>1496</v>
      </c>
      <c r="C1194">
        <v>6</v>
      </c>
      <c r="D1194" s="6" t="s">
        <v>1497</v>
      </c>
      <c r="E1194" t="s">
        <v>1766</v>
      </c>
      <c r="F1194" s="6" t="s">
        <v>1389</v>
      </c>
      <c r="H1194">
        <v>6.0000000000000001E-3</v>
      </c>
      <c r="Q1194" t="s">
        <v>9180</v>
      </c>
    </row>
    <row r="1195" spans="2:17" x14ac:dyDescent="0.2">
      <c r="B1195" s="6" t="s">
        <v>1496</v>
      </c>
      <c r="C1195">
        <v>6</v>
      </c>
      <c r="D1195" s="6" t="s">
        <v>1497</v>
      </c>
      <c r="E1195" t="s">
        <v>1767</v>
      </c>
      <c r="F1195" s="6" t="s">
        <v>1389</v>
      </c>
      <c r="H1195">
        <v>5.0000000000000001E-3</v>
      </c>
      <c r="Q1195" t="s">
        <v>9181</v>
      </c>
    </row>
    <row r="1196" spans="2:17" x14ac:dyDescent="0.2">
      <c r="B1196" s="6" t="s">
        <v>1496</v>
      </c>
      <c r="C1196">
        <v>6</v>
      </c>
      <c r="D1196" s="6" t="s">
        <v>1497</v>
      </c>
      <c r="E1196" t="s">
        <v>1768</v>
      </c>
      <c r="F1196" s="6" t="s">
        <v>1389</v>
      </c>
      <c r="H1196">
        <v>4.0000000000000001E-3</v>
      </c>
      <c r="Q1196" t="s">
        <v>9182</v>
      </c>
    </row>
    <row r="1197" spans="2:17" x14ac:dyDescent="0.2">
      <c r="B1197" s="6" t="s">
        <v>1496</v>
      </c>
      <c r="C1197">
        <v>6</v>
      </c>
      <c r="D1197" s="6" t="s">
        <v>1497</v>
      </c>
      <c r="E1197" t="s">
        <v>1769</v>
      </c>
      <c r="F1197" s="6" t="s">
        <v>1389</v>
      </c>
      <c r="H1197">
        <v>3.0000000000000001E-3</v>
      </c>
      <c r="Q1197" t="s">
        <v>9183</v>
      </c>
    </row>
    <row r="1198" spans="2:17" x14ac:dyDescent="0.2">
      <c r="B1198" s="6" t="s">
        <v>1496</v>
      </c>
      <c r="C1198">
        <v>6</v>
      </c>
      <c r="D1198" s="6" t="s">
        <v>1497</v>
      </c>
      <c r="E1198" t="s">
        <v>1770</v>
      </c>
      <c r="F1198" s="6" t="s">
        <v>1389</v>
      </c>
      <c r="H1198">
        <v>3.0000000000000001E-3</v>
      </c>
      <c r="Q1198" t="s">
        <v>9184</v>
      </c>
    </row>
    <row r="1199" spans="2:17" x14ac:dyDescent="0.2">
      <c r="B1199" s="6" t="s">
        <v>1496</v>
      </c>
      <c r="C1199">
        <v>6</v>
      </c>
      <c r="D1199" s="6" t="s">
        <v>1497</v>
      </c>
      <c r="E1199" t="s">
        <v>1771</v>
      </c>
      <c r="F1199" s="6" t="s">
        <v>1389</v>
      </c>
      <c r="H1199">
        <v>1E-3</v>
      </c>
      <c r="Q1199" t="s">
        <v>9185</v>
      </c>
    </row>
    <row r="1200" spans="2:17" x14ac:dyDescent="0.2">
      <c r="B1200" s="6" t="s">
        <v>1496</v>
      </c>
      <c r="C1200">
        <v>6</v>
      </c>
      <c r="D1200" s="6" t="s">
        <v>1497</v>
      </c>
      <c r="E1200" t="s">
        <v>1772</v>
      </c>
      <c r="F1200" s="6" t="s">
        <v>1389</v>
      </c>
      <c r="H1200">
        <v>1E-3</v>
      </c>
      <c r="Q1200" t="s">
        <v>9186</v>
      </c>
    </row>
    <row r="1201" spans="2:17" x14ac:dyDescent="0.2">
      <c r="B1201" s="6" t="s">
        <v>1496</v>
      </c>
      <c r="C1201">
        <v>6</v>
      </c>
      <c r="D1201" s="6" t="s">
        <v>1497</v>
      </c>
      <c r="E1201" t="s">
        <v>1773</v>
      </c>
      <c r="F1201" s="6" t="s">
        <v>1389</v>
      </c>
      <c r="G1201" t="s">
        <v>114</v>
      </c>
      <c r="Q1201" t="s">
        <v>9187</v>
      </c>
    </row>
    <row r="1202" spans="2:17" x14ac:dyDescent="0.2">
      <c r="B1202" s="6" t="s">
        <v>1496</v>
      </c>
      <c r="C1202">
        <v>6</v>
      </c>
      <c r="D1202" s="6" t="s">
        <v>1497</v>
      </c>
      <c r="E1202" t="s">
        <v>1774</v>
      </c>
      <c r="F1202" s="6" t="s">
        <v>1389</v>
      </c>
      <c r="G1202">
        <v>1</v>
      </c>
      <c r="Q1202" t="s">
        <v>9188</v>
      </c>
    </row>
    <row r="1203" spans="2:17" x14ac:dyDescent="0.2">
      <c r="B1203" s="6" t="s">
        <v>1496</v>
      </c>
      <c r="C1203">
        <v>6</v>
      </c>
      <c r="D1203" s="6" t="s">
        <v>1497</v>
      </c>
      <c r="E1203" t="s">
        <v>1775</v>
      </c>
      <c r="F1203" s="6" t="s">
        <v>1389</v>
      </c>
      <c r="G1203">
        <v>1</v>
      </c>
    </row>
    <row r="1204" spans="2:17" x14ac:dyDescent="0.2">
      <c r="B1204" s="6" t="s">
        <v>1496</v>
      </c>
      <c r="C1204">
        <v>6</v>
      </c>
      <c r="D1204" s="6" t="s">
        <v>1497</v>
      </c>
      <c r="E1204" t="s">
        <v>1776</v>
      </c>
      <c r="F1204" s="6" t="s">
        <v>1389</v>
      </c>
      <c r="H1204">
        <v>0.02</v>
      </c>
      <c r="M1204">
        <v>5</v>
      </c>
    </row>
    <row r="1205" spans="2:17" x14ac:dyDescent="0.2">
      <c r="B1205" s="6" t="s">
        <v>1496</v>
      </c>
      <c r="C1205">
        <v>6</v>
      </c>
      <c r="D1205" s="6" t="s">
        <v>1497</v>
      </c>
      <c r="E1205" t="s">
        <v>1764</v>
      </c>
      <c r="F1205" s="6" t="s">
        <v>1389</v>
      </c>
      <c r="H1205">
        <v>5.8000000000000003E-2</v>
      </c>
    </row>
    <row r="1206" spans="2:17" x14ac:dyDescent="0.2">
      <c r="B1206" s="6" t="s">
        <v>1496</v>
      </c>
      <c r="C1206">
        <v>6</v>
      </c>
      <c r="D1206" s="6" t="s">
        <v>1497</v>
      </c>
      <c r="E1206" t="s">
        <v>1777</v>
      </c>
      <c r="F1206" s="6" t="s">
        <v>1389</v>
      </c>
      <c r="H1206">
        <v>6.0000000000000001E-3</v>
      </c>
    </row>
    <row r="1207" spans="2:17" x14ac:dyDescent="0.2">
      <c r="B1207" s="6" t="s">
        <v>1496</v>
      </c>
      <c r="C1207">
        <v>6</v>
      </c>
      <c r="D1207" s="6" t="s">
        <v>1497</v>
      </c>
      <c r="E1207" t="s">
        <v>1775</v>
      </c>
      <c r="F1207" s="6" t="s">
        <v>1389</v>
      </c>
      <c r="H1207">
        <v>8.0000000000000002E-3</v>
      </c>
    </row>
    <row r="1208" spans="2:17" x14ac:dyDescent="0.2">
      <c r="B1208" s="6" t="s">
        <v>1496</v>
      </c>
      <c r="C1208">
        <v>6</v>
      </c>
      <c r="D1208" s="6" t="s">
        <v>1497</v>
      </c>
      <c r="E1208" t="s">
        <v>1778</v>
      </c>
      <c r="F1208" s="6" t="s">
        <v>1389</v>
      </c>
      <c r="H1208">
        <v>1.2999999999999999E-2</v>
      </c>
    </row>
    <row r="1209" spans="2:17" x14ac:dyDescent="0.2">
      <c r="B1209" s="6" t="s">
        <v>1496</v>
      </c>
      <c r="C1209">
        <v>6</v>
      </c>
      <c r="D1209" s="6" t="s">
        <v>1497</v>
      </c>
      <c r="E1209" t="s">
        <v>1779</v>
      </c>
      <c r="F1209" s="6" t="s">
        <v>1389</v>
      </c>
      <c r="H1209">
        <v>8.9999999999999993E-3</v>
      </c>
    </row>
    <row r="1210" spans="2:17" x14ac:dyDescent="0.2">
      <c r="B1210" s="6" t="s">
        <v>1496</v>
      </c>
      <c r="C1210">
        <v>6</v>
      </c>
      <c r="D1210" s="6" t="s">
        <v>1497</v>
      </c>
      <c r="E1210" t="s">
        <v>1780</v>
      </c>
      <c r="F1210" s="6" t="s">
        <v>1389</v>
      </c>
      <c r="H1210">
        <v>6.0000000000000001E-3</v>
      </c>
    </row>
    <row r="1211" spans="2:17" x14ac:dyDescent="0.2">
      <c r="B1211" s="6" t="s">
        <v>1496</v>
      </c>
      <c r="C1211">
        <v>6</v>
      </c>
      <c r="D1211" s="6" t="s">
        <v>1497</v>
      </c>
      <c r="E1211" t="s">
        <v>1781</v>
      </c>
      <c r="F1211" s="6" t="s">
        <v>1389</v>
      </c>
      <c r="H1211">
        <v>2.8000000000000001E-2</v>
      </c>
      <c r="M1211">
        <v>5</v>
      </c>
    </row>
    <row r="1212" spans="2:17" x14ac:dyDescent="0.2">
      <c r="B1212" s="6" t="s">
        <v>1496</v>
      </c>
      <c r="C1212">
        <v>6</v>
      </c>
      <c r="D1212" s="6" t="s">
        <v>1497</v>
      </c>
      <c r="E1212" t="s">
        <v>1782</v>
      </c>
      <c r="F1212" s="6" t="s">
        <v>1559</v>
      </c>
      <c r="H1212">
        <v>2E-3</v>
      </c>
    </row>
    <row r="1213" spans="2:17" x14ac:dyDescent="0.2">
      <c r="B1213" s="6" t="s">
        <v>1496</v>
      </c>
      <c r="C1213">
        <v>6</v>
      </c>
      <c r="D1213" s="6" t="s">
        <v>1497</v>
      </c>
      <c r="E1213" t="s">
        <v>1783</v>
      </c>
      <c r="F1213" s="6" t="s">
        <v>1389</v>
      </c>
      <c r="H1213">
        <v>3.0000000000000001E-3</v>
      </c>
    </row>
    <row r="1214" spans="2:17" x14ac:dyDescent="0.2">
      <c r="B1214" s="6" t="s">
        <v>1496</v>
      </c>
      <c r="C1214">
        <v>6</v>
      </c>
      <c r="D1214" s="6" t="s">
        <v>1497</v>
      </c>
      <c r="E1214" t="s">
        <v>1784</v>
      </c>
      <c r="F1214" s="6" t="s">
        <v>1389</v>
      </c>
      <c r="H1214">
        <v>2E-3</v>
      </c>
    </row>
    <row r="1215" spans="2:17" x14ac:dyDescent="0.2">
      <c r="B1215" s="6" t="s">
        <v>1496</v>
      </c>
      <c r="C1215">
        <v>6</v>
      </c>
      <c r="D1215" s="6" t="s">
        <v>1497</v>
      </c>
      <c r="E1215" t="s">
        <v>1785</v>
      </c>
      <c r="F1215" s="6" t="s">
        <v>1389</v>
      </c>
      <c r="H1215">
        <v>2E-3</v>
      </c>
    </row>
    <row r="1216" spans="2:17" x14ac:dyDescent="0.2">
      <c r="B1216" s="6" t="s">
        <v>1496</v>
      </c>
      <c r="C1216">
        <v>6</v>
      </c>
      <c r="D1216" s="6" t="s">
        <v>1497</v>
      </c>
      <c r="E1216" t="s">
        <v>1764</v>
      </c>
      <c r="F1216" s="6" t="s">
        <v>1389</v>
      </c>
      <c r="H1216" s="6">
        <f>0.558-0.41</f>
        <v>0.14800000000000008</v>
      </c>
    </row>
    <row r="1217" spans="2:17" x14ac:dyDescent="0.2">
      <c r="B1217" s="6" t="s">
        <v>1496</v>
      </c>
      <c r="C1217">
        <v>6</v>
      </c>
      <c r="D1217" s="6" t="s">
        <v>1497</v>
      </c>
      <c r="E1217" t="s">
        <v>1786</v>
      </c>
      <c r="F1217" s="6" t="s">
        <v>6654</v>
      </c>
      <c r="H1217">
        <v>0.45800000000000002</v>
      </c>
      <c r="Q1217" t="s">
        <v>9194</v>
      </c>
    </row>
    <row r="1218" spans="2:17" x14ac:dyDescent="0.2">
      <c r="B1218" s="6" t="s">
        <v>1496</v>
      </c>
      <c r="C1218">
        <v>6</v>
      </c>
      <c r="D1218" s="6" t="s">
        <v>1497</v>
      </c>
      <c r="E1218" t="s">
        <v>1787</v>
      </c>
      <c r="F1218" s="6" t="s">
        <v>5995</v>
      </c>
      <c r="H1218">
        <v>8.0000000000000002E-3</v>
      </c>
      <c r="Q1218" t="s">
        <v>6043</v>
      </c>
    </row>
    <row r="1219" spans="2:17" x14ac:dyDescent="0.2">
      <c r="B1219" s="6" t="s">
        <v>1496</v>
      </c>
      <c r="C1219">
        <v>6</v>
      </c>
      <c r="D1219" s="6" t="s">
        <v>1497</v>
      </c>
      <c r="E1219" t="s">
        <v>1788</v>
      </c>
      <c r="F1219" s="6" t="s">
        <v>5995</v>
      </c>
      <c r="H1219">
        <v>2E-3</v>
      </c>
      <c r="Q1219" t="s">
        <v>6044</v>
      </c>
    </row>
    <row r="1220" spans="2:17" x14ac:dyDescent="0.2">
      <c r="B1220" s="6" t="s">
        <v>1496</v>
      </c>
      <c r="C1220">
        <v>6</v>
      </c>
      <c r="D1220" s="6" t="s">
        <v>1497</v>
      </c>
      <c r="E1220" t="s">
        <v>1789</v>
      </c>
      <c r="F1220" s="6" t="s">
        <v>5995</v>
      </c>
      <c r="H1220">
        <v>1E-3</v>
      </c>
      <c r="Q1220" t="s">
        <v>6045</v>
      </c>
    </row>
    <row r="1221" spans="2:17" x14ac:dyDescent="0.2">
      <c r="B1221" s="6" t="s">
        <v>1496</v>
      </c>
      <c r="C1221">
        <v>6</v>
      </c>
      <c r="D1221" s="6" t="s">
        <v>1497</v>
      </c>
      <c r="E1221" t="s">
        <v>1790</v>
      </c>
      <c r="F1221" s="6" t="s">
        <v>5995</v>
      </c>
      <c r="G1221" t="s">
        <v>114</v>
      </c>
      <c r="Q1221" t="s">
        <v>6046</v>
      </c>
    </row>
    <row r="1222" spans="2:17" x14ac:dyDescent="0.2">
      <c r="B1222" s="6" t="s">
        <v>1496</v>
      </c>
      <c r="C1222">
        <v>6</v>
      </c>
      <c r="D1222" s="6" t="s">
        <v>1497</v>
      </c>
      <c r="E1222" t="s">
        <v>1791</v>
      </c>
      <c r="F1222" s="6" t="s">
        <v>5995</v>
      </c>
      <c r="G1222" t="s">
        <v>114</v>
      </c>
      <c r="Q1222" t="s">
        <v>6047</v>
      </c>
    </row>
    <row r="1223" spans="2:17" x14ac:dyDescent="0.2">
      <c r="B1223" s="6" t="s">
        <v>1496</v>
      </c>
      <c r="C1223">
        <v>6</v>
      </c>
      <c r="D1223" s="6" t="s">
        <v>1497</v>
      </c>
      <c r="E1223" t="s">
        <v>1792</v>
      </c>
      <c r="F1223" s="6" t="s">
        <v>5995</v>
      </c>
      <c r="H1223">
        <v>1.2E-2</v>
      </c>
      <c r="M1223">
        <v>5</v>
      </c>
    </row>
    <row r="1224" spans="2:17" x14ac:dyDescent="0.2">
      <c r="B1224" s="6" t="s">
        <v>1496</v>
      </c>
      <c r="C1224">
        <v>6</v>
      </c>
      <c r="D1224" s="6" t="s">
        <v>1497</v>
      </c>
      <c r="E1224" t="s">
        <v>1764</v>
      </c>
      <c r="F1224" s="6" t="s">
        <v>5995</v>
      </c>
      <c r="H1224">
        <v>8.0000000000000002E-3</v>
      </c>
    </row>
    <row r="1225" spans="2:17" x14ac:dyDescent="0.2">
      <c r="B1225" s="6" t="s">
        <v>1496</v>
      </c>
      <c r="C1225">
        <v>6</v>
      </c>
      <c r="D1225" s="6" t="s">
        <v>1497</v>
      </c>
      <c r="E1225" t="s">
        <v>1793</v>
      </c>
      <c r="F1225" s="6" t="s">
        <v>1425</v>
      </c>
      <c r="G1225" t="s">
        <v>114</v>
      </c>
      <c r="Q1225" t="s">
        <v>9195</v>
      </c>
    </row>
    <row r="1226" spans="2:17" x14ac:dyDescent="0.2">
      <c r="B1226" s="6" t="s">
        <v>1496</v>
      </c>
      <c r="C1226">
        <v>6</v>
      </c>
      <c r="D1226" s="6" t="s">
        <v>1497</v>
      </c>
      <c r="E1226" t="s">
        <v>1794</v>
      </c>
      <c r="F1226" s="6" t="s">
        <v>1425</v>
      </c>
      <c r="G1226" s="6" t="s">
        <v>114</v>
      </c>
      <c r="Q1226" t="s">
        <v>9196</v>
      </c>
    </row>
    <row r="1227" spans="2:17" x14ac:dyDescent="0.2">
      <c r="B1227" s="6" t="s">
        <v>1496</v>
      </c>
      <c r="C1227">
        <v>6</v>
      </c>
      <c r="D1227" s="6" t="s">
        <v>1497</v>
      </c>
      <c r="E1227" t="s">
        <v>1795</v>
      </c>
      <c r="F1227" s="6" t="s">
        <v>1425</v>
      </c>
      <c r="G1227" s="6" t="s">
        <v>114</v>
      </c>
      <c r="Q1227" t="s">
        <v>9197</v>
      </c>
    </row>
    <row r="1228" spans="2:17" x14ac:dyDescent="0.2">
      <c r="B1228" s="6" t="s">
        <v>1496</v>
      </c>
      <c r="C1228">
        <v>6</v>
      </c>
      <c r="D1228" s="6" t="s">
        <v>1497</v>
      </c>
      <c r="E1228" t="s">
        <v>1796</v>
      </c>
      <c r="F1228" s="6" t="s">
        <v>1425</v>
      </c>
      <c r="G1228">
        <v>1</v>
      </c>
      <c r="Q1228" t="s">
        <v>9198</v>
      </c>
    </row>
    <row r="1229" spans="2:17" x14ac:dyDescent="0.2">
      <c r="B1229" s="6" t="s">
        <v>1496</v>
      </c>
      <c r="C1229">
        <v>6</v>
      </c>
      <c r="D1229" s="6" t="s">
        <v>1497</v>
      </c>
      <c r="E1229" t="s">
        <v>1797</v>
      </c>
      <c r="F1229" s="6" t="s">
        <v>332</v>
      </c>
      <c r="H1229">
        <v>3.0000000000000001E-3</v>
      </c>
      <c r="Q1229" t="s">
        <v>9199</v>
      </c>
    </row>
    <row r="1230" spans="2:17" x14ac:dyDescent="0.2">
      <c r="B1230" s="6" t="s">
        <v>1496</v>
      </c>
      <c r="C1230">
        <v>6</v>
      </c>
      <c r="D1230" s="6" t="s">
        <v>1497</v>
      </c>
      <c r="E1230" t="s">
        <v>1798</v>
      </c>
      <c r="F1230" s="6" t="s">
        <v>6239</v>
      </c>
      <c r="H1230">
        <v>4.0000000000000001E-3</v>
      </c>
      <c r="M1230">
        <v>4</v>
      </c>
    </row>
    <row r="1231" spans="2:17" x14ac:dyDescent="0.2">
      <c r="B1231" s="6" t="s">
        <v>1496</v>
      </c>
      <c r="C1231">
        <v>6</v>
      </c>
      <c r="D1231" s="6" t="s">
        <v>1497</v>
      </c>
      <c r="E1231" t="s">
        <v>1764</v>
      </c>
      <c r="F1231" s="6" t="s">
        <v>332</v>
      </c>
      <c r="H1231">
        <v>1.7999999999999999E-2</v>
      </c>
      <c r="O1231" t="s">
        <v>1566</v>
      </c>
    </row>
    <row r="1232" spans="2:17" x14ac:dyDescent="0.2">
      <c r="B1232" s="6" t="s">
        <v>1496</v>
      </c>
      <c r="C1232">
        <v>6</v>
      </c>
      <c r="D1232" s="6" t="s">
        <v>1497</v>
      </c>
      <c r="E1232" t="s">
        <v>1799</v>
      </c>
      <c r="F1232" t="s">
        <v>9190</v>
      </c>
      <c r="H1232">
        <v>0.32900000000000001</v>
      </c>
      <c r="O1232" t="s">
        <v>7403</v>
      </c>
      <c r="Q1232" t="s">
        <v>9189</v>
      </c>
    </row>
    <row r="1233" spans="2:17" x14ac:dyDescent="0.2">
      <c r="B1233" s="6" t="s">
        <v>1496</v>
      </c>
      <c r="C1233">
        <v>6</v>
      </c>
      <c r="D1233" s="6" t="s">
        <v>1497</v>
      </c>
      <c r="E1233" t="s">
        <v>1800</v>
      </c>
      <c r="F1233" s="6" t="s">
        <v>9192</v>
      </c>
      <c r="H1233">
        <v>0.03</v>
      </c>
      <c r="O1233" t="s">
        <v>1565</v>
      </c>
      <c r="Q1233" t="s">
        <v>9193</v>
      </c>
    </row>
    <row r="1234" spans="2:17" x14ac:dyDescent="0.2">
      <c r="B1234" s="6" t="s">
        <v>1496</v>
      </c>
      <c r="C1234">
        <v>6</v>
      </c>
      <c r="D1234" s="6" t="s">
        <v>1497</v>
      </c>
      <c r="E1234" t="s">
        <v>1801</v>
      </c>
      <c r="F1234" s="6" t="s">
        <v>7138</v>
      </c>
      <c r="H1234">
        <v>6.8000000000000005E-2</v>
      </c>
      <c r="I1234">
        <v>565</v>
      </c>
      <c r="O1234" t="s">
        <v>1562</v>
      </c>
      <c r="Q1234" t="s">
        <v>9191</v>
      </c>
    </row>
    <row r="1235" spans="2:17" x14ac:dyDescent="0.2">
      <c r="B1235" s="6" t="s">
        <v>1496</v>
      </c>
      <c r="C1235">
        <v>6</v>
      </c>
      <c r="D1235" s="6" t="s">
        <v>1497</v>
      </c>
      <c r="E1235" t="s">
        <v>1802</v>
      </c>
      <c r="F1235" s="6" t="s">
        <v>1183</v>
      </c>
      <c r="H1235">
        <v>3.5999999999999997E-2</v>
      </c>
      <c r="O1235" t="s">
        <v>1563</v>
      </c>
    </row>
    <row r="1236" spans="2:17" x14ac:dyDescent="0.2">
      <c r="B1236" s="6" t="s">
        <v>1496</v>
      </c>
      <c r="C1236">
        <v>1</v>
      </c>
      <c r="D1236" s="6" t="s">
        <v>1497</v>
      </c>
      <c r="E1236" s="8" t="s">
        <v>1803</v>
      </c>
      <c r="F1236" s="6" t="s">
        <v>740</v>
      </c>
      <c r="H1236">
        <f>2.732-0.261</f>
        <v>2.4710000000000001</v>
      </c>
    </row>
    <row r="1237" spans="2:17" x14ac:dyDescent="0.2">
      <c r="B1237" s="6" t="s">
        <v>1496</v>
      </c>
      <c r="C1237">
        <v>1</v>
      </c>
      <c r="D1237" s="6" t="s">
        <v>1497</v>
      </c>
      <c r="E1237" s="8" t="s">
        <v>1804</v>
      </c>
      <c r="F1237" s="6" t="s">
        <v>7138</v>
      </c>
      <c r="H1237">
        <f>0.586-0.295</f>
        <v>0.29099999999999998</v>
      </c>
    </row>
    <row r="1238" spans="2:17" x14ac:dyDescent="0.2">
      <c r="B1238" s="6" t="s">
        <v>1496</v>
      </c>
      <c r="C1238">
        <v>1</v>
      </c>
      <c r="D1238" s="6" t="s">
        <v>1497</v>
      </c>
      <c r="E1238" s="8" t="s">
        <v>1805</v>
      </c>
      <c r="F1238" s="6" t="s">
        <v>1344</v>
      </c>
      <c r="H1238">
        <f>1.045-0.589</f>
        <v>0.45599999999999996</v>
      </c>
    </row>
    <row r="1239" spans="2:17" x14ac:dyDescent="0.2">
      <c r="B1239" s="6" t="s">
        <v>1496</v>
      </c>
      <c r="C1239">
        <v>1</v>
      </c>
      <c r="D1239" s="6" t="s">
        <v>1497</v>
      </c>
      <c r="E1239" t="s">
        <v>1806</v>
      </c>
      <c r="F1239" s="6" t="s">
        <v>1567</v>
      </c>
      <c r="H1239">
        <f>7.3-0.424+6.9-0.345</f>
        <v>13.430999999999999</v>
      </c>
    </row>
    <row r="1240" spans="2:17" x14ac:dyDescent="0.2">
      <c r="B1240" s="6" t="s">
        <v>1556</v>
      </c>
      <c r="C1240">
        <v>2</v>
      </c>
      <c r="D1240" s="6" t="s">
        <v>1568</v>
      </c>
      <c r="E1240" s="8" t="s">
        <v>1807</v>
      </c>
      <c r="F1240" s="6" t="s">
        <v>1005</v>
      </c>
      <c r="H1240">
        <f>7.1+8.5-0.261-0.295</f>
        <v>15.044</v>
      </c>
      <c r="M1240" t="s">
        <v>802</v>
      </c>
      <c r="O1240" t="s">
        <v>1569</v>
      </c>
    </row>
    <row r="1241" spans="2:17" x14ac:dyDescent="0.2">
      <c r="B1241" s="6" t="s">
        <v>1556</v>
      </c>
      <c r="C1241">
        <v>2</v>
      </c>
      <c r="D1241" s="6" t="s">
        <v>1568</v>
      </c>
      <c r="E1241" s="8" t="s">
        <v>1808</v>
      </c>
      <c r="F1241" s="6" t="s">
        <v>505</v>
      </c>
      <c r="H1241">
        <f>2.051-0.41</f>
        <v>1.6410000000000002</v>
      </c>
      <c r="M1241" t="s">
        <v>802</v>
      </c>
      <c r="O1241" t="s">
        <v>1569</v>
      </c>
    </row>
    <row r="1242" spans="2:17" x14ac:dyDescent="0.2">
      <c r="B1242" s="6" t="s">
        <v>1556</v>
      </c>
      <c r="C1242">
        <v>2</v>
      </c>
      <c r="D1242" s="6" t="s">
        <v>1568</v>
      </c>
      <c r="E1242" t="s">
        <v>1809</v>
      </c>
      <c r="F1242" s="6" t="s">
        <v>332</v>
      </c>
      <c r="H1242">
        <f>1.069-0.357</f>
        <v>0.71199999999999997</v>
      </c>
      <c r="N1242">
        <v>0</v>
      </c>
    </row>
    <row r="1243" spans="2:17" x14ac:dyDescent="0.2">
      <c r="B1243" s="6" t="s">
        <v>1556</v>
      </c>
      <c r="C1243">
        <v>2</v>
      </c>
      <c r="D1243" s="6" t="s">
        <v>1568</v>
      </c>
      <c r="E1243" t="s">
        <v>1810</v>
      </c>
      <c r="F1243" s="6" t="s">
        <v>332</v>
      </c>
      <c r="H1243">
        <v>2.5000000000000001E-2</v>
      </c>
      <c r="Q1243" t="s">
        <v>9204</v>
      </c>
    </row>
    <row r="1244" spans="2:17" x14ac:dyDescent="0.2">
      <c r="B1244" s="6" t="s">
        <v>1556</v>
      </c>
      <c r="C1244">
        <v>2</v>
      </c>
      <c r="D1244" s="6" t="s">
        <v>1568</v>
      </c>
      <c r="E1244" s="8" t="s">
        <v>1811</v>
      </c>
      <c r="F1244" s="6" t="s">
        <v>332</v>
      </c>
      <c r="H1244">
        <v>7.5999999999999998E-2</v>
      </c>
      <c r="Q1244" t="s">
        <v>9200</v>
      </c>
    </row>
    <row r="1245" spans="2:17" x14ac:dyDescent="0.2">
      <c r="B1245" s="6" t="s">
        <v>1556</v>
      </c>
      <c r="C1245">
        <v>2</v>
      </c>
      <c r="D1245" s="6" t="s">
        <v>1568</v>
      </c>
      <c r="E1245" s="8" t="s">
        <v>1812</v>
      </c>
      <c r="F1245" s="6" t="s">
        <v>332</v>
      </c>
      <c r="H1245">
        <v>4.3999999999999997E-2</v>
      </c>
      <c r="Q1245" t="s">
        <v>9201</v>
      </c>
    </row>
    <row r="1246" spans="2:17" x14ac:dyDescent="0.2">
      <c r="B1246" s="6" t="s">
        <v>1556</v>
      </c>
      <c r="C1246">
        <v>2</v>
      </c>
      <c r="D1246" s="6" t="s">
        <v>1568</v>
      </c>
      <c r="E1246" s="8" t="s">
        <v>1813</v>
      </c>
      <c r="F1246" s="6" t="s">
        <v>332</v>
      </c>
      <c r="H1246">
        <v>7.2999999999999995E-2</v>
      </c>
      <c r="Q1246" t="s">
        <v>9202</v>
      </c>
    </row>
    <row r="1247" spans="2:17" x14ac:dyDescent="0.2">
      <c r="B1247" s="6" t="s">
        <v>1556</v>
      </c>
      <c r="C1247">
        <v>2</v>
      </c>
      <c r="D1247" s="6" t="s">
        <v>1568</v>
      </c>
      <c r="E1247" s="8" t="s">
        <v>1814</v>
      </c>
      <c r="F1247" s="6" t="s">
        <v>332</v>
      </c>
      <c r="H1247">
        <v>7.4999999999999997E-2</v>
      </c>
      <c r="Q1247" t="s">
        <v>9203</v>
      </c>
    </row>
    <row r="1248" spans="2:17" x14ac:dyDescent="0.2">
      <c r="B1248" s="6" t="s">
        <v>1556</v>
      </c>
      <c r="C1248">
        <v>2</v>
      </c>
      <c r="D1248" s="6" t="s">
        <v>1568</v>
      </c>
      <c r="E1248" t="s">
        <v>1815</v>
      </c>
      <c r="F1248" s="6" t="s">
        <v>332</v>
      </c>
      <c r="H1248">
        <f>1.043-0.285</f>
        <v>0.75800000000000001</v>
      </c>
      <c r="N1248">
        <v>0</v>
      </c>
    </row>
    <row r="1249" spans="2:17" x14ac:dyDescent="0.2">
      <c r="B1249" s="6" t="s">
        <v>1556</v>
      </c>
      <c r="C1249">
        <v>2</v>
      </c>
      <c r="D1249" s="6" t="s">
        <v>1568</v>
      </c>
      <c r="E1249" s="8" t="s">
        <v>1816</v>
      </c>
      <c r="F1249" s="6" t="s">
        <v>332</v>
      </c>
      <c r="H1249">
        <v>7.2999999999999995E-2</v>
      </c>
      <c r="Q1249" t="s">
        <v>9206</v>
      </c>
    </row>
    <row r="1250" spans="2:17" x14ac:dyDescent="0.2">
      <c r="B1250" s="6" t="s">
        <v>1556</v>
      </c>
      <c r="C1250">
        <v>2</v>
      </c>
      <c r="D1250" s="6" t="s">
        <v>1568</v>
      </c>
      <c r="E1250" s="8" t="s">
        <v>1817</v>
      </c>
      <c r="F1250" s="6" t="s">
        <v>332</v>
      </c>
      <c r="H1250">
        <v>0.03</v>
      </c>
      <c r="Q1250" t="s">
        <v>9205</v>
      </c>
    </row>
    <row r="1251" spans="2:17" x14ac:dyDescent="0.2">
      <c r="B1251" s="6" t="s">
        <v>1556</v>
      </c>
      <c r="C1251">
        <v>2</v>
      </c>
      <c r="D1251" s="6" t="s">
        <v>1568</v>
      </c>
      <c r="E1251" t="s">
        <v>1818</v>
      </c>
      <c r="F1251" s="6" t="s">
        <v>332</v>
      </c>
      <c r="H1251">
        <v>3.2000000000000001E-2</v>
      </c>
      <c r="Q1251" t="s">
        <v>9207</v>
      </c>
    </row>
    <row r="1252" spans="2:17" x14ac:dyDescent="0.2">
      <c r="B1252" s="6" t="s">
        <v>1556</v>
      </c>
      <c r="C1252">
        <v>2</v>
      </c>
      <c r="D1252" s="6" t="s">
        <v>1568</v>
      </c>
      <c r="E1252" t="s">
        <v>1819</v>
      </c>
      <c r="F1252" s="6" t="s">
        <v>332</v>
      </c>
      <c r="H1252">
        <v>2.7E-2</v>
      </c>
      <c r="Q1252" t="s">
        <v>9208</v>
      </c>
    </row>
    <row r="1253" spans="2:17" x14ac:dyDescent="0.2">
      <c r="B1253" s="6" t="s">
        <v>1556</v>
      </c>
      <c r="C1253">
        <v>2</v>
      </c>
      <c r="D1253" s="6" t="s">
        <v>1568</v>
      </c>
      <c r="E1253" t="s">
        <v>1820</v>
      </c>
      <c r="F1253" s="6" t="s">
        <v>332</v>
      </c>
      <c r="H1253">
        <v>2.9000000000000001E-2</v>
      </c>
      <c r="Q1253" t="s">
        <v>9209</v>
      </c>
    </row>
    <row r="1254" spans="2:17" x14ac:dyDescent="0.2">
      <c r="B1254" s="6" t="s">
        <v>1556</v>
      </c>
      <c r="C1254">
        <v>2</v>
      </c>
      <c r="D1254" s="6" t="s">
        <v>1568</v>
      </c>
      <c r="E1254" t="s">
        <v>1821</v>
      </c>
      <c r="F1254" s="6" t="s">
        <v>332</v>
      </c>
      <c r="H1254">
        <v>2.9000000000000001E-2</v>
      </c>
      <c r="Q1254" t="s">
        <v>9210</v>
      </c>
    </row>
    <row r="1255" spans="2:17" x14ac:dyDescent="0.2">
      <c r="B1255" s="6" t="s">
        <v>1556</v>
      </c>
      <c r="C1255">
        <v>2</v>
      </c>
      <c r="D1255" s="6" t="s">
        <v>1568</v>
      </c>
      <c r="E1255" t="s">
        <v>1822</v>
      </c>
      <c r="F1255" s="6" t="s">
        <v>332</v>
      </c>
      <c r="H1255">
        <f>0.272-0.008</f>
        <v>0.26400000000000001</v>
      </c>
      <c r="M1255">
        <v>5</v>
      </c>
    </row>
    <row r="1256" spans="2:17" x14ac:dyDescent="0.2">
      <c r="B1256" s="6" t="s">
        <v>1556</v>
      </c>
      <c r="C1256">
        <v>2</v>
      </c>
      <c r="D1256" s="6" t="s">
        <v>1568</v>
      </c>
      <c r="E1256" s="8" t="s">
        <v>1823</v>
      </c>
      <c r="F1256" s="6" t="s">
        <v>332</v>
      </c>
      <c r="H1256">
        <f>0.153-0.008</f>
        <v>0.14499999999999999</v>
      </c>
      <c r="M1256">
        <v>5</v>
      </c>
    </row>
    <row r="1257" spans="2:17" x14ac:dyDescent="0.2">
      <c r="B1257" s="6" t="s">
        <v>1556</v>
      </c>
      <c r="C1257">
        <v>2</v>
      </c>
      <c r="D1257" s="6" t="s">
        <v>1568</v>
      </c>
      <c r="E1257" t="s">
        <v>1824</v>
      </c>
      <c r="F1257" s="6" t="s">
        <v>332</v>
      </c>
      <c r="H1257">
        <f>0.911-0.357</f>
        <v>0.55400000000000005</v>
      </c>
      <c r="O1257" t="s">
        <v>1571</v>
      </c>
    </row>
    <row r="1258" spans="2:17" x14ac:dyDescent="0.2">
      <c r="B1258" s="6" t="s">
        <v>1556</v>
      </c>
      <c r="C1258">
        <v>2</v>
      </c>
      <c r="D1258" s="6" t="s">
        <v>1568</v>
      </c>
      <c r="E1258" t="s">
        <v>1825</v>
      </c>
      <c r="F1258" s="6" t="s">
        <v>332</v>
      </c>
      <c r="H1258">
        <f>0.876-0.345</f>
        <v>0.53100000000000003</v>
      </c>
      <c r="N1258">
        <v>0</v>
      </c>
    </row>
    <row r="1259" spans="2:17" x14ac:dyDescent="0.2">
      <c r="B1259" s="6" t="s">
        <v>1556</v>
      </c>
      <c r="C1259">
        <v>2</v>
      </c>
      <c r="D1259" s="6" t="s">
        <v>1568</v>
      </c>
      <c r="E1259" t="s">
        <v>1826</v>
      </c>
      <c r="F1259" s="6" t="s">
        <v>332</v>
      </c>
      <c r="H1259">
        <v>0.02</v>
      </c>
      <c r="Q1259" t="s">
        <v>9211</v>
      </c>
    </row>
    <row r="1260" spans="2:17" x14ac:dyDescent="0.2">
      <c r="B1260" s="6" t="s">
        <v>1556</v>
      </c>
      <c r="C1260">
        <v>2</v>
      </c>
      <c r="D1260" s="6" t="s">
        <v>1568</v>
      </c>
      <c r="E1260" t="s">
        <v>1827</v>
      </c>
      <c r="F1260" s="6" t="s">
        <v>332</v>
      </c>
      <c r="H1260">
        <v>2.1999999999999999E-2</v>
      </c>
      <c r="Q1260" t="s">
        <v>9212</v>
      </c>
    </row>
    <row r="1261" spans="2:17" x14ac:dyDescent="0.2">
      <c r="B1261" s="6" t="s">
        <v>1556</v>
      </c>
      <c r="C1261">
        <v>2</v>
      </c>
      <c r="D1261" s="6" t="s">
        <v>1568</v>
      </c>
      <c r="E1261" t="s">
        <v>1828</v>
      </c>
      <c r="F1261" s="6" t="s">
        <v>332</v>
      </c>
      <c r="H1261">
        <v>4.0000000000000001E-3</v>
      </c>
      <c r="Q1261" t="s">
        <v>9213</v>
      </c>
    </row>
    <row r="1262" spans="2:17" x14ac:dyDescent="0.2">
      <c r="B1262" s="6" t="s">
        <v>1556</v>
      </c>
      <c r="C1262">
        <v>2</v>
      </c>
      <c r="D1262" s="6" t="s">
        <v>1568</v>
      </c>
      <c r="E1262" t="s">
        <v>1829</v>
      </c>
      <c r="F1262" s="6" t="s">
        <v>332</v>
      </c>
      <c r="H1262">
        <v>2.7E-2</v>
      </c>
      <c r="Q1262" t="s">
        <v>9214</v>
      </c>
    </row>
    <row r="1263" spans="2:17" x14ac:dyDescent="0.2">
      <c r="B1263" s="6" t="s">
        <v>1556</v>
      </c>
      <c r="C1263">
        <v>2</v>
      </c>
      <c r="D1263" s="6" t="s">
        <v>1568</v>
      </c>
      <c r="E1263" t="s">
        <v>1830</v>
      </c>
      <c r="F1263" s="6" t="s">
        <v>332</v>
      </c>
      <c r="H1263">
        <v>0.01</v>
      </c>
      <c r="Q1263" t="s">
        <v>9215</v>
      </c>
    </row>
    <row r="1264" spans="2:17" x14ac:dyDescent="0.2">
      <c r="B1264" s="6" t="s">
        <v>1556</v>
      </c>
      <c r="C1264">
        <v>2</v>
      </c>
      <c r="D1264" s="6" t="s">
        <v>1568</v>
      </c>
      <c r="E1264" t="s">
        <v>1824</v>
      </c>
      <c r="F1264" s="6" t="s">
        <v>332</v>
      </c>
      <c r="H1264" s="6">
        <f>0.806-0.345</f>
        <v>0.46100000000000008</v>
      </c>
      <c r="O1264" t="s">
        <v>1572</v>
      </c>
    </row>
    <row r="1265" spans="2:17" x14ac:dyDescent="0.2">
      <c r="B1265" s="6" t="s">
        <v>1556</v>
      </c>
      <c r="C1265">
        <v>2</v>
      </c>
      <c r="D1265" s="6" t="s">
        <v>1568</v>
      </c>
      <c r="E1265" t="s">
        <v>1831</v>
      </c>
      <c r="F1265" s="6" t="s">
        <v>332</v>
      </c>
      <c r="H1265" s="6">
        <f>0.549-0.424</f>
        <v>0.12500000000000006</v>
      </c>
      <c r="N1265">
        <v>0</v>
      </c>
    </row>
    <row r="1266" spans="2:17" x14ac:dyDescent="0.2">
      <c r="B1266" s="6" t="s">
        <v>1556</v>
      </c>
      <c r="C1266">
        <v>2</v>
      </c>
      <c r="D1266" s="6" t="s">
        <v>1568</v>
      </c>
      <c r="E1266" t="s">
        <v>1832</v>
      </c>
      <c r="F1266" s="6" t="s">
        <v>332</v>
      </c>
      <c r="G1266" t="s">
        <v>114</v>
      </c>
      <c r="Q1266" t="s">
        <v>9216</v>
      </c>
    </row>
    <row r="1267" spans="2:17" x14ac:dyDescent="0.2">
      <c r="B1267" s="6" t="s">
        <v>1556</v>
      </c>
      <c r="C1267">
        <v>2</v>
      </c>
      <c r="D1267" s="6" t="s">
        <v>1568</v>
      </c>
      <c r="E1267" t="s">
        <v>1833</v>
      </c>
      <c r="F1267" s="6" t="s">
        <v>6239</v>
      </c>
      <c r="H1267">
        <v>1E-3</v>
      </c>
      <c r="P1267" t="s">
        <v>300</v>
      </c>
      <c r="Q1267" t="s">
        <v>9217</v>
      </c>
    </row>
    <row r="1268" spans="2:17" x14ac:dyDescent="0.2">
      <c r="B1268" s="6" t="s">
        <v>1556</v>
      </c>
      <c r="C1268">
        <v>2</v>
      </c>
      <c r="D1268" s="6" t="s">
        <v>1568</v>
      </c>
      <c r="E1268" t="s">
        <v>1834</v>
      </c>
      <c r="F1268" s="6" t="s">
        <v>332</v>
      </c>
      <c r="H1268">
        <v>2E-3</v>
      </c>
      <c r="Q1268" t="s">
        <v>9218</v>
      </c>
    </row>
    <row r="1269" spans="2:17" x14ac:dyDescent="0.2">
      <c r="B1269" s="6" t="s">
        <v>1556</v>
      </c>
      <c r="C1269">
        <v>2</v>
      </c>
      <c r="D1269" s="6" t="s">
        <v>1568</v>
      </c>
      <c r="E1269" t="s">
        <v>1835</v>
      </c>
      <c r="F1269" s="6" t="s">
        <v>332</v>
      </c>
      <c r="H1269">
        <v>6.0000000000000001E-3</v>
      </c>
      <c r="Q1269" t="s">
        <v>9219</v>
      </c>
    </row>
    <row r="1270" spans="2:17" x14ac:dyDescent="0.2">
      <c r="B1270" s="6" t="s">
        <v>1556</v>
      </c>
      <c r="C1270">
        <v>2</v>
      </c>
      <c r="D1270" s="6" t="s">
        <v>1568</v>
      </c>
      <c r="E1270" t="s">
        <v>1836</v>
      </c>
      <c r="F1270" s="6" t="s">
        <v>332</v>
      </c>
      <c r="H1270">
        <v>4.0000000000000001E-3</v>
      </c>
      <c r="Q1270" t="s">
        <v>9220</v>
      </c>
    </row>
    <row r="1271" spans="2:17" x14ac:dyDescent="0.2">
      <c r="B1271" s="6" t="s">
        <v>1556</v>
      </c>
      <c r="C1271">
        <v>2</v>
      </c>
      <c r="D1271" s="6" t="s">
        <v>1568</v>
      </c>
      <c r="E1271" t="s">
        <v>1837</v>
      </c>
      <c r="F1271" s="6" t="s">
        <v>332</v>
      </c>
      <c r="H1271">
        <v>2.3E-2</v>
      </c>
      <c r="M1271">
        <v>5</v>
      </c>
    </row>
    <row r="1272" spans="2:17" x14ac:dyDescent="0.2">
      <c r="B1272" s="6" t="s">
        <v>1556</v>
      </c>
      <c r="C1272">
        <v>2</v>
      </c>
      <c r="D1272" s="6" t="s">
        <v>1568</v>
      </c>
      <c r="E1272" t="s">
        <v>1824</v>
      </c>
      <c r="F1272" s="6" t="s">
        <v>332</v>
      </c>
      <c r="H1272">
        <f>0.51-0.424</f>
        <v>8.6000000000000021E-2</v>
      </c>
      <c r="M1272" t="s">
        <v>802</v>
      </c>
      <c r="O1272" t="s">
        <v>1573</v>
      </c>
    </row>
    <row r="1273" spans="2:17" x14ac:dyDescent="0.2">
      <c r="B1273" s="6" t="s">
        <v>1556</v>
      </c>
      <c r="C1273">
        <v>2</v>
      </c>
      <c r="D1273" s="6" t="s">
        <v>1568</v>
      </c>
      <c r="E1273" t="s">
        <v>1834</v>
      </c>
      <c r="F1273" s="6" t="s">
        <v>440</v>
      </c>
      <c r="H1273">
        <f>1.1-0.295</f>
        <v>0.80500000000000016</v>
      </c>
      <c r="O1273" t="s">
        <v>1575</v>
      </c>
    </row>
    <row r="1274" spans="2:17" x14ac:dyDescent="0.2">
      <c r="B1274" s="6" t="s">
        <v>1556</v>
      </c>
      <c r="C1274">
        <v>2</v>
      </c>
      <c r="D1274" s="6" t="s">
        <v>1568</v>
      </c>
      <c r="E1274" t="s">
        <v>1838</v>
      </c>
      <c r="F1274" t="s">
        <v>1574</v>
      </c>
      <c r="H1274">
        <f>1.061-0.587</f>
        <v>0.47399999999999998</v>
      </c>
      <c r="N1274">
        <v>0</v>
      </c>
    </row>
    <row r="1275" spans="2:17" x14ac:dyDescent="0.2">
      <c r="B1275" s="6" t="s">
        <v>1556</v>
      </c>
      <c r="C1275">
        <v>2</v>
      </c>
      <c r="D1275" s="6" t="s">
        <v>1568</v>
      </c>
      <c r="E1275" t="s">
        <v>1839</v>
      </c>
      <c r="F1275" s="6" t="s">
        <v>5848</v>
      </c>
      <c r="H1275">
        <v>5.6000000000000001E-2</v>
      </c>
      <c r="Q1275" t="s">
        <v>9221</v>
      </c>
    </row>
    <row r="1276" spans="2:17" x14ac:dyDescent="0.2">
      <c r="B1276" s="6" t="s">
        <v>1556</v>
      </c>
      <c r="C1276">
        <v>2</v>
      </c>
      <c r="D1276" s="6" t="s">
        <v>1568</v>
      </c>
      <c r="E1276" t="s">
        <v>1840</v>
      </c>
      <c r="F1276" s="6" t="s">
        <v>7337</v>
      </c>
      <c r="H1276">
        <v>4.2000000000000003E-2</v>
      </c>
      <c r="Q1276" t="s">
        <v>9222</v>
      </c>
    </row>
    <row r="1277" spans="2:17" x14ac:dyDescent="0.2">
      <c r="B1277" s="6" t="s">
        <v>1556</v>
      </c>
      <c r="C1277">
        <v>2</v>
      </c>
      <c r="D1277" s="6" t="s">
        <v>1568</v>
      </c>
      <c r="E1277" t="s">
        <v>1841</v>
      </c>
      <c r="F1277" s="6" t="s">
        <v>7337</v>
      </c>
      <c r="H1277">
        <v>6.7000000000000004E-2</v>
      </c>
      <c r="Q1277" t="s">
        <v>9223</v>
      </c>
    </row>
    <row r="1278" spans="2:17" x14ac:dyDescent="0.2">
      <c r="B1278" s="6" t="s">
        <v>1556</v>
      </c>
      <c r="C1278">
        <v>2</v>
      </c>
      <c r="D1278" s="6" t="s">
        <v>1568</v>
      </c>
      <c r="E1278" t="s">
        <v>1842</v>
      </c>
      <c r="F1278" s="6" t="s">
        <v>7337</v>
      </c>
      <c r="H1278">
        <v>4.8000000000000001E-2</v>
      </c>
      <c r="Q1278" t="s">
        <v>9224</v>
      </c>
    </row>
    <row r="1279" spans="2:17" x14ac:dyDescent="0.2">
      <c r="B1279" s="6" t="s">
        <v>1556</v>
      </c>
      <c r="C1279">
        <v>2</v>
      </c>
      <c r="D1279" s="6" t="s">
        <v>1568</v>
      </c>
      <c r="E1279" t="s">
        <v>1843</v>
      </c>
      <c r="F1279" s="6" t="s">
        <v>7337</v>
      </c>
      <c r="H1279">
        <v>6.7000000000000004E-2</v>
      </c>
      <c r="Q1279" t="s">
        <v>9225</v>
      </c>
    </row>
    <row r="1280" spans="2:17" x14ac:dyDescent="0.2">
      <c r="B1280" s="6" t="s">
        <v>1556</v>
      </c>
      <c r="C1280">
        <v>2</v>
      </c>
      <c r="D1280" s="6" t="s">
        <v>1568</v>
      </c>
      <c r="E1280" t="s">
        <v>1844</v>
      </c>
      <c r="F1280" s="6" t="s">
        <v>7337</v>
      </c>
      <c r="H1280">
        <v>5.1999999999999998E-2</v>
      </c>
      <c r="Q1280" t="s">
        <v>9226</v>
      </c>
    </row>
    <row r="1281" spans="2:17" x14ac:dyDescent="0.2">
      <c r="B1281" s="6" t="s">
        <v>1556</v>
      </c>
      <c r="C1281">
        <v>2</v>
      </c>
      <c r="D1281" s="6" t="s">
        <v>1568</v>
      </c>
      <c r="E1281" t="s">
        <v>1845</v>
      </c>
      <c r="F1281" s="6" t="s">
        <v>7337</v>
      </c>
      <c r="H1281">
        <v>7.2999999999999995E-2</v>
      </c>
      <c r="Q1281" t="s">
        <v>9227</v>
      </c>
    </row>
    <row r="1282" spans="2:17" x14ac:dyDescent="0.2">
      <c r="B1282" s="6" t="s">
        <v>1556</v>
      </c>
      <c r="C1282">
        <v>2</v>
      </c>
      <c r="D1282" s="6" t="s">
        <v>1568</v>
      </c>
      <c r="E1282" t="s">
        <v>1846</v>
      </c>
      <c r="F1282" s="6" t="s">
        <v>1425</v>
      </c>
      <c r="H1282">
        <v>0.05</v>
      </c>
      <c r="Q1282" t="s">
        <v>9228</v>
      </c>
    </row>
    <row r="1283" spans="2:17" x14ac:dyDescent="0.2">
      <c r="B1283" s="6" t="s">
        <v>1556</v>
      </c>
      <c r="C1283">
        <v>2</v>
      </c>
      <c r="D1283" s="6" t="s">
        <v>1568</v>
      </c>
      <c r="E1283" t="s">
        <v>1847</v>
      </c>
      <c r="F1283" s="6" t="s">
        <v>6815</v>
      </c>
      <c r="H1283">
        <v>3.0000000000000001E-3</v>
      </c>
      <c r="P1283" t="s">
        <v>5999</v>
      </c>
      <c r="Q1283" t="s">
        <v>6042</v>
      </c>
    </row>
    <row r="1284" spans="2:17" x14ac:dyDescent="0.2">
      <c r="B1284" s="6" t="s">
        <v>1556</v>
      </c>
      <c r="C1284">
        <v>2</v>
      </c>
      <c r="D1284" s="6" t="s">
        <v>1568</v>
      </c>
      <c r="E1284" t="s">
        <v>1848</v>
      </c>
      <c r="F1284" t="s">
        <v>1311</v>
      </c>
      <c r="H1284">
        <f>0.603-0.4</f>
        <v>0.20299999999999996</v>
      </c>
      <c r="N1284">
        <v>0</v>
      </c>
    </row>
    <row r="1285" spans="2:17" x14ac:dyDescent="0.2">
      <c r="B1285" s="6" t="s">
        <v>1556</v>
      </c>
      <c r="C1285">
        <v>2</v>
      </c>
      <c r="D1285" s="6" t="s">
        <v>1568</v>
      </c>
      <c r="E1285" t="s">
        <v>1849</v>
      </c>
      <c r="F1285" t="s">
        <v>1311</v>
      </c>
      <c r="H1285">
        <v>4.0000000000000001E-3</v>
      </c>
      <c r="Q1285" t="s">
        <v>9233</v>
      </c>
    </row>
    <row r="1286" spans="2:17" x14ac:dyDescent="0.2">
      <c r="B1286" s="6" t="s">
        <v>1556</v>
      </c>
      <c r="C1286">
        <v>2</v>
      </c>
      <c r="D1286" s="6" t="s">
        <v>1568</v>
      </c>
      <c r="E1286" t="s">
        <v>1850</v>
      </c>
      <c r="F1286" t="s">
        <v>1311</v>
      </c>
      <c r="H1286">
        <f>0.547-0.41</f>
        <v>0.13700000000000007</v>
      </c>
      <c r="N1286">
        <v>0</v>
      </c>
    </row>
    <row r="1287" spans="2:17" x14ac:dyDescent="0.2">
      <c r="B1287" s="6" t="s">
        <v>1556</v>
      </c>
      <c r="C1287">
        <v>2</v>
      </c>
      <c r="D1287" s="6" t="s">
        <v>1568</v>
      </c>
      <c r="E1287" t="s">
        <v>1851</v>
      </c>
      <c r="F1287" t="s">
        <v>1311</v>
      </c>
      <c r="H1287">
        <v>3.0000000000000001E-3</v>
      </c>
      <c r="Q1287" t="s">
        <v>9229</v>
      </c>
    </row>
    <row r="1288" spans="2:17" x14ac:dyDescent="0.2">
      <c r="B1288" s="6" t="s">
        <v>1556</v>
      </c>
      <c r="C1288">
        <v>2</v>
      </c>
      <c r="D1288" s="6" t="s">
        <v>1568</v>
      </c>
      <c r="E1288" t="s">
        <v>1852</v>
      </c>
      <c r="F1288" t="s">
        <v>1311</v>
      </c>
      <c r="H1288">
        <v>4.0000000000000001E-3</v>
      </c>
      <c r="Q1288" t="s">
        <v>9231</v>
      </c>
    </row>
    <row r="1289" spans="2:17" x14ac:dyDescent="0.2">
      <c r="B1289" s="6" t="s">
        <v>1556</v>
      </c>
      <c r="C1289">
        <v>2</v>
      </c>
      <c r="D1289" s="6" t="s">
        <v>1568</v>
      </c>
      <c r="E1289" t="s">
        <v>1853</v>
      </c>
      <c r="F1289" t="s">
        <v>1311</v>
      </c>
      <c r="H1289">
        <v>4.0000000000000001E-3</v>
      </c>
      <c r="Q1289" t="s">
        <v>9232</v>
      </c>
    </row>
    <row r="1290" spans="2:17" x14ac:dyDescent="0.2">
      <c r="B1290" s="6" t="s">
        <v>1556</v>
      </c>
      <c r="C1290">
        <v>2</v>
      </c>
      <c r="D1290" s="6" t="s">
        <v>1568</v>
      </c>
      <c r="E1290" t="s">
        <v>1854</v>
      </c>
      <c r="F1290" t="s">
        <v>1311</v>
      </c>
      <c r="H1290">
        <v>3.0000000000000001E-3</v>
      </c>
      <c r="Q1290" t="s">
        <v>9230</v>
      </c>
    </row>
    <row r="1291" spans="2:17" x14ac:dyDescent="0.2">
      <c r="B1291" s="6" t="s">
        <v>1556</v>
      </c>
      <c r="C1291">
        <v>2</v>
      </c>
      <c r="D1291" s="6" t="s">
        <v>1568</v>
      </c>
      <c r="E1291" t="s">
        <v>1855</v>
      </c>
      <c r="F1291" t="s">
        <v>1311</v>
      </c>
      <c r="H1291">
        <v>2.1000000000000001E-2</v>
      </c>
      <c r="M1291">
        <v>5</v>
      </c>
    </row>
    <row r="1292" spans="2:17" x14ac:dyDescent="0.2">
      <c r="B1292" s="6" t="s">
        <v>1556</v>
      </c>
      <c r="C1292">
        <v>2</v>
      </c>
      <c r="D1292" s="6" t="s">
        <v>1568</v>
      </c>
      <c r="E1292" t="s">
        <v>1824</v>
      </c>
      <c r="F1292" t="s">
        <v>1311</v>
      </c>
      <c r="H1292">
        <v>0.27300000000000002</v>
      </c>
    </row>
    <row r="1293" spans="2:17" x14ac:dyDescent="0.2">
      <c r="B1293" s="6" t="s">
        <v>1556</v>
      </c>
      <c r="C1293">
        <v>2</v>
      </c>
      <c r="D1293" s="6" t="s">
        <v>1568</v>
      </c>
      <c r="E1293" t="s">
        <v>1856</v>
      </c>
      <c r="F1293" t="s">
        <v>7138</v>
      </c>
      <c r="H1293">
        <v>1.7999999999999999E-2</v>
      </c>
      <c r="M1293">
        <v>4</v>
      </c>
      <c r="Q1293" t="s">
        <v>9234</v>
      </c>
    </row>
    <row r="1294" spans="2:17" x14ac:dyDescent="0.2">
      <c r="B1294" s="6" t="s">
        <v>1556</v>
      </c>
      <c r="C1294">
        <v>2</v>
      </c>
      <c r="D1294" s="6" t="s">
        <v>1568</v>
      </c>
      <c r="E1294" t="s">
        <v>1857</v>
      </c>
      <c r="F1294" t="s">
        <v>1344</v>
      </c>
      <c r="H1294">
        <v>2.5000000000000001E-2</v>
      </c>
    </row>
    <row r="1295" spans="2:17" x14ac:dyDescent="0.2">
      <c r="B1295" s="6" t="s">
        <v>1556</v>
      </c>
      <c r="C1295">
        <v>2</v>
      </c>
      <c r="D1295" s="6" t="s">
        <v>1568</v>
      </c>
      <c r="E1295" t="s">
        <v>1858</v>
      </c>
      <c r="F1295" t="s">
        <v>1389</v>
      </c>
      <c r="H1295">
        <v>6.0000000000000001E-3</v>
      </c>
      <c r="Q1295" t="s">
        <v>9235</v>
      </c>
    </row>
    <row r="1296" spans="2:17" x14ac:dyDescent="0.2">
      <c r="B1296" s="6" t="s">
        <v>1556</v>
      </c>
      <c r="C1296">
        <v>2</v>
      </c>
      <c r="D1296" s="6" t="s">
        <v>1568</v>
      </c>
      <c r="E1296" t="s">
        <v>1859</v>
      </c>
      <c r="F1296" t="s">
        <v>1389</v>
      </c>
      <c r="H1296">
        <v>1E-3</v>
      </c>
      <c r="Q1296" t="s">
        <v>9238</v>
      </c>
    </row>
    <row r="1297" spans="2:17" x14ac:dyDescent="0.2">
      <c r="B1297" s="6" t="s">
        <v>1556</v>
      </c>
      <c r="C1297">
        <v>2</v>
      </c>
      <c r="D1297" s="6" t="s">
        <v>1568</v>
      </c>
      <c r="E1297" t="s">
        <v>1860</v>
      </c>
      <c r="F1297" t="s">
        <v>1389</v>
      </c>
      <c r="H1297">
        <v>8.0000000000000002E-3</v>
      </c>
      <c r="Q1297" t="s">
        <v>9239</v>
      </c>
    </row>
    <row r="1298" spans="2:17" x14ac:dyDescent="0.2">
      <c r="B1298" s="6" t="s">
        <v>1556</v>
      </c>
      <c r="C1298">
        <v>2</v>
      </c>
      <c r="D1298" s="6" t="s">
        <v>1568</v>
      </c>
      <c r="E1298" t="s">
        <v>1861</v>
      </c>
      <c r="F1298" t="s">
        <v>1389</v>
      </c>
      <c r="H1298">
        <v>5.0000000000000001E-3</v>
      </c>
      <c r="Q1298" t="s">
        <v>9240</v>
      </c>
    </row>
    <row r="1299" spans="2:17" x14ac:dyDescent="0.2">
      <c r="B1299" s="6" t="s">
        <v>1556</v>
      </c>
      <c r="C1299">
        <v>2</v>
      </c>
      <c r="D1299" s="6" t="s">
        <v>1568</v>
      </c>
      <c r="E1299" t="s">
        <v>1862</v>
      </c>
      <c r="F1299" t="s">
        <v>1389</v>
      </c>
      <c r="H1299">
        <v>6.0000000000000001E-3</v>
      </c>
      <c r="Q1299" t="s">
        <v>9241</v>
      </c>
    </row>
    <row r="1300" spans="2:17" x14ac:dyDescent="0.2">
      <c r="B1300" s="6" t="s">
        <v>1556</v>
      </c>
      <c r="C1300">
        <v>2</v>
      </c>
      <c r="D1300" s="6" t="s">
        <v>1568</v>
      </c>
      <c r="E1300" t="s">
        <v>1863</v>
      </c>
      <c r="F1300" t="s">
        <v>1389</v>
      </c>
      <c r="H1300">
        <v>8.9999999999999993E-3</v>
      </c>
      <c r="M1300">
        <v>2</v>
      </c>
    </row>
    <row r="1301" spans="2:17" x14ac:dyDescent="0.2">
      <c r="B1301" s="6" t="s">
        <v>1556</v>
      </c>
      <c r="C1301">
        <v>2</v>
      </c>
      <c r="D1301" s="6" t="s">
        <v>1568</v>
      </c>
      <c r="E1301" t="s">
        <v>1864</v>
      </c>
      <c r="F1301" t="s">
        <v>1425</v>
      </c>
      <c r="H1301">
        <v>8.9999999999999993E-3</v>
      </c>
      <c r="Q1301" t="s">
        <v>9236</v>
      </c>
    </row>
    <row r="1302" spans="2:17" x14ac:dyDescent="0.2">
      <c r="B1302" s="6" t="s">
        <v>1556</v>
      </c>
      <c r="C1302">
        <v>3</v>
      </c>
      <c r="D1302" s="6" t="s">
        <v>1568</v>
      </c>
      <c r="E1302" t="s">
        <v>1865</v>
      </c>
      <c r="F1302" t="s">
        <v>1425</v>
      </c>
      <c r="H1302">
        <v>5.0000000000000001E-3</v>
      </c>
      <c r="Q1302" t="s">
        <v>9237</v>
      </c>
    </row>
    <row r="1303" spans="2:17" x14ac:dyDescent="0.2">
      <c r="B1303" s="6" t="s">
        <v>1556</v>
      </c>
      <c r="C1303">
        <v>3</v>
      </c>
      <c r="D1303" s="6" t="s">
        <v>1568</v>
      </c>
      <c r="E1303" t="s">
        <v>1866</v>
      </c>
      <c r="F1303" t="s">
        <v>1425</v>
      </c>
      <c r="H1303">
        <v>0.01</v>
      </c>
      <c r="Q1303" t="s">
        <v>9243</v>
      </c>
    </row>
    <row r="1304" spans="2:17" x14ac:dyDescent="0.2">
      <c r="B1304" s="6" t="s">
        <v>1556</v>
      </c>
      <c r="C1304">
        <v>3</v>
      </c>
      <c r="D1304" s="6" t="s">
        <v>1568</v>
      </c>
      <c r="E1304" t="s">
        <v>1867</v>
      </c>
      <c r="F1304" t="s">
        <v>1425</v>
      </c>
      <c r="H1304">
        <v>4.0000000000000001E-3</v>
      </c>
      <c r="Q1304" t="s">
        <v>9244</v>
      </c>
    </row>
    <row r="1305" spans="2:17" x14ac:dyDescent="0.2">
      <c r="B1305" s="6" t="s">
        <v>1556</v>
      </c>
      <c r="C1305">
        <v>3</v>
      </c>
      <c r="D1305" s="6" t="s">
        <v>1568</v>
      </c>
      <c r="E1305" t="s">
        <v>1868</v>
      </c>
      <c r="F1305" t="s">
        <v>1425</v>
      </c>
      <c r="H1305">
        <v>4.0000000000000001E-3</v>
      </c>
      <c r="Q1305" t="s">
        <v>9242</v>
      </c>
    </row>
    <row r="1306" spans="2:17" x14ac:dyDescent="0.2">
      <c r="B1306" s="6" t="s">
        <v>1556</v>
      </c>
      <c r="C1306">
        <v>3</v>
      </c>
      <c r="D1306" s="6" t="s">
        <v>1568</v>
      </c>
      <c r="E1306" t="s">
        <v>1869</v>
      </c>
      <c r="F1306" t="s">
        <v>1425</v>
      </c>
      <c r="H1306">
        <v>2.9000000000000001E-2</v>
      </c>
      <c r="M1306">
        <v>5</v>
      </c>
    </row>
    <row r="1307" spans="2:17" x14ac:dyDescent="0.2">
      <c r="B1307" s="6" t="s">
        <v>1556</v>
      </c>
      <c r="C1307">
        <v>4</v>
      </c>
      <c r="D1307" s="6" t="s">
        <v>1568</v>
      </c>
      <c r="E1307" s="8" t="s">
        <v>1870</v>
      </c>
      <c r="F1307" t="s">
        <v>915</v>
      </c>
      <c r="H1307">
        <f>0.625-0.436+0.008</f>
        <v>0.19700000000000001</v>
      </c>
    </row>
    <row r="1308" spans="2:17" x14ac:dyDescent="0.2">
      <c r="B1308" s="6" t="s">
        <v>1556</v>
      </c>
      <c r="C1308">
        <v>4</v>
      </c>
      <c r="D1308" s="6" t="s">
        <v>1568</v>
      </c>
      <c r="E1308" s="8" t="s">
        <v>1871</v>
      </c>
      <c r="F1308" t="s">
        <v>5851</v>
      </c>
      <c r="H1308">
        <v>4.7E-2</v>
      </c>
      <c r="Q1308" t="s">
        <v>9245</v>
      </c>
    </row>
    <row r="1309" spans="2:17" x14ac:dyDescent="0.2">
      <c r="B1309" s="6" t="s">
        <v>1556</v>
      </c>
      <c r="C1309">
        <v>4</v>
      </c>
      <c r="D1309" s="6" t="s">
        <v>1568</v>
      </c>
      <c r="E1309" s="8" t="s">
        <v>1872</v>
      </c>
      <c r="F1309" t="s">
        <v>5995</v>
      </c>
      <c r="H1309">
        <v>3.0000000000000001E-3</v>
      </c>
      <c r="Q1309" t="s">
        <v>6041</v>
      </c>
    </row>
    <row r="1310" spans="2:17" x14ac:dyDescent="0.2">
      <c r="B1310" s="6" t="s">
        <v>1556</v>
      </c>
      <c r="C1310">
        <v>4</v>
      </c>
      <c r="D1310" s="6" t="s">
        <v>1568</v>
      </c>
      <c r="E1310" s="8" t="s">
        <v>1873</v>
      </c>
      <c r="F1310" t="s">
        <v>1425</v>
      </c>
      <c r="H1310">
        <v>1.4999999999999999E-2</v>
      </c>
      <c r="Q1310" t="s">
        <v>9246</v>
      </c>
    </row>
    <row r="1311" spans="2:17" x14ac:dyDescent="0.2">
      <c r="B1311" s="6" t="s">
        <v>1556</v>
      </c>
      <c r="C1311">
        <v>4</v>
      </c>
      <c r="D1311" s="6" t="s">
        <v>1568</v>
      </c>
      <c r="E1311" s="8" t="s">
        <v>1874</v>
      </c>
      <c r="F1311" t="s">
        <v>332</v>
      </c>
      <c r="H1311">
        <v>1.7999999999999999E-2</v>
      </c>
      <c r="Q1311" t="s">
        <v>9247</v>
      </c>
    </row>
    <row r="1312" spans="2:17" x14ac:dyDescent="0.2">
      <c r="B1312" s="6" t="s">
        <v>1556</v>
      </c>
      <c r="C1312">
        <v>4</v>
      </c>
      <c r="D1312" s="6" t="s">
        <v>1568</v>
      </c>
      <c r="E1312" s="8" t="s">
        <v>1875</v>
      </c>
      <c r="F1312" t="s">
        <v>1344</v>
      </c>
      <c r="H1312">
        <v>2E-3</v>
      </c>
    </row>
    <row r="1313" spans="2:17" x14ac:dyDescent="0.2">
      <c r="B1313" s="6" t="s">
        <v>1556</v>
      </c>
      <c r="C1313">
        <v>4</v>
      </c>
      <c r="D1313" s="6" t="s">
        <v>1568</v>
      </c>
      <c r="E1313" s="8" t="s">
        <v>1876</v>
      </c>
      <c r="F1313" t="s">
        <v>505</v>
      </c>
      <c r="H1313">
        <f>0.905-0.327</f>
        <v>0.57800000000000007</v>
      </c>
      <c r="O1313" t="s">
        <v>1576</v>
      </c>
    </row>
    <row r="1314" spans="2:17" x14ac:dyDescent="0.2">
      <c r="B1314" s="6" t="s">
        <v>1556</v>
      </c>
      <c r="C1314">
        <v>4</v>
      </c>
      <c r="D1314" s="6" t="s">
        <v>1568</v>
      </c>
      <c r="E1314" s="8" t="s">
        <v>1877</v>
      </c>
      <c r="F1314" t="s">
        <v>1389</v>
      </c>
      <c r="H1314">
        <v>1.7000000000000001E-2</v>
      </c>
      <c r="Q1314" t="s">
        <v>9248</v>
      </c>
    </row>
    <row r="1315" spans="2:17" x14ac:dyDescent="0.2">
      <c r="B1315" s="6" t="s">
        <v>1556</v>
      </c>
      <c r="C1315">
        <v>4</v>
      </c>
      <c r="D1315" s="6" t="s">
        <v>1568</v>
      </c>
      <c r="E1315" t="s">
        <v>1878</v>
      </c>
      <c r="F1315" t="s">
        <v>1389</v>
      </c>
      <c r="H1315">
        <v>1.6E-2</v>
      </c>
      <c r="Q1315" t="s">
        <v>9249</v>
      </c>
    </row>
    <row r="1316" spans="2:17" x14ac:dyDescent="0.2">
      <c r="B1316" s="6" t="s">
        <v>1556</v>
      </c>
      <c r="C1316">
        <v>4</v>
      </c>
      <c r="D1316" s="6" t="s">
        <v>1568</v>
      </c>
      <c r="E1316" t="s">
        <v>1879</v>
      </c>
      <c r="F1316" t="s">
        <v>1389</v>
      </c>
      <c r="H1316">
        <v>4.0000000000000001E-3</v>
      </c>
      <c r="Q1316" t="s">
        <v>9250</v>
      </c>
    </row>
    <row r="1317" spans="2:17" x14ac:dyDescent="0.2">
      <c r="B1317" s="6" t="s">
        <v>1556</v>
      </c>
      <c r="C1317">
        <v>4</v>
      </c>
      <c r="D1317" s="6" t="s">
        <v>1568</v>
      </c>
      <c r="E1317" t="s">
        <v>1880</v>
      </c>
      <c r="F1317" t="s">
        <v>1389</v>
      </c>
      <c r="H1317">
        <v>5.0000000000000001E-3</v>
      </c>
      <c r="Q1317" t="s">
        <v>9251</v>
      </c>
    </row>
    <row r="1318" spans="2:17" x14ac:dyDescent="0.2">
      <c r="B1318" s="6" t="s">
        <v>1556</v>
      </c>
      <c r="C1318">
        <v>4</v>
      </c>
      <c r="D1318" s="6" t="s">
        <v>1568</v>
      </c>
      <c r="E1318" t="s">
        <v>1881</v>
      </c>
      <c r="F1318" t="s">
        <v>1389</v>
      </c>
      <c r="H1318">
        <v>3.0000000000000001E-3</v>
      </c>
      <c r="Q1318" t="s">
        <v>9252</v>
      </c>
    </row>
    <row r="1319" spans="2:17" x14ac:dyDescent="0.2">
      <c r="B1319" s="6" t="s">
        <v>1556</v>
      </c>
      <c r="C1319">
        <v>4</v>
      </c>
      <c r="D1319" s="6" t="s">
        <v>1568</v>
      </c>
      <c r="E1319" t="s">
        <v>1882</v>
      </c>
      <c r="F1319" t="s">
        <v>1389</v>
      </c>
      <c r="H1319">
        <v>2.7E-2</v>
      </c>
      <c r="M1319">
        <v>5</v>
      </c>
    </row>
    <row r="1320" spans="2:17" x14ac:dyDescent="0.2">
      <c r="B1320" s="6" t="s">
        <v>1556</v>
      </c>
      <c r="C1320">
        <v>4</v>
      </c>
      <c r="D1320" s="6" t="s">
        <v>1568</v>
      </c>
      <c r="E1320" t="s">
        <v>1883</v>
      </c>
      <c r="F1320" t="s">
        <v>1389</v>
      </c>
      <c r="H1320">
        <f>0.46-0.261</f>
        <v>0.19900000000000001</v>
      </c>
    </row>
    <row r="1321" spans="2:17" x14ac:dyDescent="0.2">
      <c r="B1321" s="6" t="s">
        <v>1556</v>
      </c>
      <c r="C1321">
        <v>4</v>
      </c>
      <c r="D1321" s="6" t="s">
        <v>1568</v>
      </c>
      <c r="E1321" t="s">
        <v>1884</v>
      </c>
      <c r="F1321" t="s">
        <v>1311</v>
      </c>
      <c r="H1321">
        <v>4.0000000000000001E-3</v>
      </c>
      <c r="Q1321" t="s">
        <v>9253</v>
      </c>
    </row>
    <row r="1322" spans="2:17" x14ac:dyDescent="0.2">
      <c r="B1322" s="6" t="s">
        <v>1556</v>
      </c>
      <c r="C1322">
        <v>4</v>
      </c>
      <c r="D1322" s="6" t="s">
        <v>1568</v>
      </c>
      <c r="E1322" t="s">
        <v>1885</v>
      </c>
      <c r="F1322" t="s">
        <v>1311</v>
      </c>
      <c r="H1322">
        <v>4.0000000000000001E-3</v>
      </c>
      <c r="Q1322" t="s">
        <v>9254</v>
      </c>
    </row>
    <row r="1323" spans="2:17" x14ac:dyDescent="0.2">
      <c r="B1323" s="6" t="s">
        <v>1556</v>
      </c>
      <c r="C1323">
        <v>4</v>
      </c>
      <c r="D1323" s="6" t="s">
        <v>1568</v>
      </c>
      <c r="E1323" t="s">
        <v>1886</v>
      </c>
      <c r="F1323" t="s">
        <v>1311</v>
      </c>
      <c r="H1323">
        <v>2E-3</v>
      </c>
      <c r="Q1323" t="s">
        <v>9255</v>
      </c>
    </row>
    <row r="1324" spans="2:17" x14ac:dyDescent="0.2">
      <c r="B1324" s="6" t="s">
        <v>1556</v>
      </c>
      <c r="C1324">
        <v>4</v>
      </c>
      <c r="D1324" s="6" t="s">
        <v>1568</v>
      </c>
      <c r="E1324" t="s">
        <v>1887</v>
      </c>
      <c r="F1324" t="s">
        <v>1311</v>
      </c>
      <c r="H1324">
        <v>3.0000000000000001E-3</v>
      </c>
      <c r="Q1324" t="s">
        <v>9256</v>
      </c>
    </row>
    <row r="1325" spans="2:17" x14ac:dyDescent="0.2">
      <c r="B1325" s="6" t="s">
        <v>1556</v>
      </c>
      <c r="C1325">
        <v>4</v>
      </c>
      <c r="D1325" s="6" t="s">
        <v>1568</v>
      </c>
      <c r="E1325" t="s">
        <v>1888</v>
      </c>
      <c r="F1325" t="s">
        <v>1311</v>
      </c>
      <c r="H1325">
        <v>1E-3</v>
      </c>
      <c r="Q1325" t="s">
        <v>9257</v>
      </c>
    </row>
    <row r="1326" spans="2:17" x14ac:dyDescent="0.2">
      <c r="B1326" s="6" t="s">
        <v>1556</v>
      </c>
      <c r="C1326">
        <v>4</v>
      </c>
      <c r="D1326" s="6" t="s">
        <v>1568</v>
      </c>
      <c r="E1326" t="s">
        <v>1889</v>
      </c>
      <c r="F1326" t="s">
        <v>1311</v>
      </c>
      <c r="H1326">
        <v>3.0000000000000001E-3</v>
      </c>
      <c r="Q1326" t="s">
        <v>9258</v>
      </c>
    </row>
    <row r="1327" spans="2:17" x14ac:dyDescent="0.2">
      <c r="B1327" s="6" t="s">
        <v>1556</v>
      </c>
      <c r="C1327">
        <v>4</v>
      </c>
      <c r="D1327" s="6" t="s">
        <v>1568</v>
      </c>
      <c r="E1327" t="s">
        <v>1890</v>
      </c>
      <c r="F1327" t="s">
        <v>1425</v>
      </c>
      <c r="H1327">
        <v>1.0999999999999999E-2</v>
      </c>
      <c r="Q1327" t="s">
        <v>9259</v>
      </c>
    </row>
    <row r="1328" spans="2:17" x14ac:dyDescent="0.2">
      <c r="B1328" s="6" t="s">
        <v>1556</v>
      </c>
      <c r="C1328">
        <v>4</v>
      </c>
      <c r="D1328" s="6" t="s">
        <v>1568</v>
      </c>
      <c r="E1328" t="s">
        <v>1891</v>
      </c>
      <c r="F1328" t="s">
        <v>1425</v>
      </c>
      <c r="H1328">
        <v>2E-3</v>
      </c>
      <c r="Q1328" t="s">
        <v>9260</v>
      </c>
    </row>
    <row r="1329" spans="2:17" x14ac:dyDescent="0.2">
      <c r="B1329" s="6" t="s">
        <v>1556</v>
      </c>
      <c r="C1329">
        <v>4</v>
      </c>
      <c r="D1329" s="6" t="s">
        <v>1568</v>
      </c>
      <c r="E1329" t="s">
        <v>1892</v>
      </c>
      <c r="F1329" t="s">
        <v>1425</v>
      </c>
      <c r="H1329">
        <v>4.0000000000000001E-3</v>
      </c>
      <c r="Q1329" t="s">
        <v>9261</v>
      </c>
    </row>
    <row r="1330" spans="2:17" x14ac:dyDescent="0.2">
      <c r="B1330" s="6" t="s">
        <v>1556</v>
      </c>
      <c r="C1330">
        <v>4</v>
      </c>
      <c r="D1330" s="6" t="s">
        <v>1568</v>
      </c>
      <c r="E1330" t="s">
        <v>1893</v>
      </c>
      <c r="F1330" t="s">
        <v>1425</v>
      </c>
      <c r="H1330">
        <v>7.0000000000000001E-3</v>
      </c>
      <c r="Q1330" t="s">
        <v>9262</v>
      </c>
    </row>
    <row r="1331" spans="2:17" x14ac:dyDescent="0.2">
      <c r="B1331" s="6" t="s">
        <v>1556</v>
      </c>
      <c r="C1331">
        <v>4</v>
      </c>
      <c r="D1331" s="6" t="s">
        <v>1568</v>
      </c>
      <c r="E1331" t="s">
        <v>1894</v>
      </c>
      <c r="F1331" t="s">
        <v>1425</v>
      </c>
      <c r="H1331">
        <v>6.0000000000000001E-3</v>
      </c>
      <c r="Q1331" t="s">
        <v>9263</v>
      </c>
    </row>
    <row r="1332" spans="2:17" x14ac:dyDescent="0.2">
      <c r="B1332" s="6" t="s">
        <v>1556</v>
      </c>
      <c r="C1332">
        <v>4</v>
      </c>
      <c r="D1332" s="6" t="s">
        <v>1568</v>
      </c>
      <c r="E1332" t="s">
        <v>1895</v>
      </c>
      <c r="F1332" t="s">
        <v>1425</v>
      </c>
      <c r="H1332">
        <v>3.5999999999999997E-2</v>
      </c>
      <c r="M1332">
        <v>6</v>
      </c>
    </row>
    <row r="1333" spans="2:17" x14ac:dyDescent="0.2">
      <c r="B1333" s="6" t="s">
        <v>1556</v>
      </c>
      <c r="C1333">
        <v>3</v>
      </c>
      <c r="D1333" s="6" t="s">
        <v>1568</v>
      </c>
      <c r="E1333" s="8" t="s">
        <v>1896</v>
      </c>
      <c r="F1333" t="s">
        <v>915</v>
      </c>
      <c r="H1333">
        <f>0.874-0.424</f>
        <v>0.45</v>
      </c>
      <c r="O1333" t="s">
        <v>1578</v>
      </c>
    </row>
    <row r="1334" spans="2:17" x14ac:dyDescent="0.2">
      <c r="B1334" s="6" t="s">
        <v>1556</v>
      </c>
      <c r="C1334">
        <v>3</v>
      </c>
      <c r="D1334" s="6" t="s">
        <v>1568</v>
      </c>
      <c r="E1334" s="8" t="s">
        <v>1897</v>
      </c>
      <c r="F1334" t="s">
        <v>1264</v>
      </c>
      <c r="H1334">
        <f>1.29-0.285</f>
        <v>1.0050000000000001</v>
      </c>
      <c r="M1334" t="s">
        <v>802</v>
      </c>
      <c r="O1334" t="s">
        <v>1579</v>
      </c>
    </row>
    <row r="1335" spans="2:17" x14ac:dyDescent="0.2">
      <c r="B1335" s="6" t="s">
        <v>1556</v>
      </c>
      <c r="C1335">
        <v>3</v>
      </c>
      <c r="D1335" s="6" t="s">
        <v>1568</v>
      </c>
      <c r="E1335" s="8" t="s">
        <v>1898</v>
      </c>
      <c r="F1335" t="s">
        <v>1344</v>
      </c>
      <c r="H1335">
        <f>0.676-0.587</f>
        <v>8.9000000000000079E-2</v>
      </c>
      <c r="M1335" t="s">
        <v>802</v>
      </c>
      <c r="O1335" t="s">
        <v>1580</v>
      </c>
    </row>
    <row r="1336" spans="2:17" x14ac:dyDescent="0.2">
      <c r="B1336" s="6" t="s">
        <v>1556</v>
      </c>
      <c r="C1336">
        <v>3</v>
      </c>
      <c r="D1336" s="6" t="s">
        <v>1568</v>
      </c>
      <c r="E1336" s="8" t="s">
        <v>1899</v>
      </c>
      <c r="F1336" t="s">
        <v>505</v>
      </c>
      <c r="H1336">
        <f>1.097-0.357</f>
        <v>0.74</v>
      </c>
      <c r="M1336" t="s">
        <v>802</v>
      </c>
    </row>
    <row r="1337" spans="2:17" x14ac:dyDescent="0.2">
      <c r="B1337" s="6" t="s">
        <v>1556</v>
      </c>
      <c r="C1337">
        <v>3</v>
      </c>
      <c r="D1337" s="6" t="s">
        <v>1568</v>
      </c>
      <c r="E1337" t="s">
        <v>1900</v>
      </c>
      <c r="F1337" t="s">
        <v>1425</v>
      </c>
      <c r="H1337">
        <v>0.63200000000000001</v>
      </c>
      <c r="N1337">
        <v>0</v>
      </c>
    </row>
    <row r="1338" spans="2:17" x14ac:dyDescent="0.2">
      <c r="B1338" s="6" t="s">
        <v>1556</v>
      </c>
      <c r="C1338">
        <v>3</v>
      </c>
      <c r="D1338" s="6" t="s">
        <v>1568</v>
      </c>
      <c r="E1338" s="8" t="s">
        <v>1901</v>
      </c>
      <c r="F1338" t="s">
        <v>1425</v>
      </c>
      <c r="H1338">
        <v>2E-3</v>
      </c>
      <c r="Q1338" t="s">
        <v>9264</v>
      </c>
    </row>
    <row r="1339" spans="2:17" x14ac:dyDescent="0.2">
      <c r="B1339" s="6" t="s">
        <v>1556</v>
      </c>
      <c r="C1339">
        <v>3</v>
      </c>
      <c r="D1339" s="6" t="s">
        <v>1568</v>
      </c>
      <c r="E1339" s="8" t="s">
        <v>1902</v>
      </c>
      <c r="F1339" t="s">
        <v>1425</v>
      </c>
      <c r="H1339">
        <v>2E-3</v>
      </c>
      <c r="Q1339" t="s">
        <v>9265</v>
      </c>
    </row>
    <row r="1340" spans="2:17" x14ac:dyDescent="0.2">
      <c r="B1340" s="6" t="s">
        <v>1556</v>
      </c>
      <c r="C1340">
        <v>3</v>
      </c>
      <c r="D1340" s="6" t="s">
        <v>1568</v>
      </c>
      <c r="E1340" s="8" t="s">
        <v>1903</v>
      </c>
      <c r="F1340" t="s">
        <v>1425</v>
      </c>
      <c r="H1340">
        <v>8.9999999999999993E-3</v>
      </c>
      <c r="Q1340" t="s">
        <v>9266</v>
      </c>
    </row>
    <row r="1341" spans="2:17" x14ac:dyDescent="0.2">
      <c r="B1341" s="6" t="s">
        <v>1556</v>
      </c>
      <c r="C1341">
        <v>3</v>
      </c>
      <c r="D1341" s="6" t="s">
        <v>1568</v>
      </c>
      <c r="E1341" s="8" t="s">
        <v>1904</v>
      </c>
      <c r="F1341" t="s">
        <v>1425</v>
      </c>
      <c r="H1341">
        <v>7.0000000000000001E-3</v>
      </c>
      <c r="Q1341" t="s">
        <v>9267</v>
      </c>
    </row>
    <row r="1342" spans="2:17" x14ac:dyDescent="0.2">
      <c r="B1342" s="6" t="s">
        <v>1556</v>
      </c>
      <c r="C1342">
        <v>3</v>
      </c>
      <c r="D1342" s="6" t="s">
        <v>1568</v>
      </c>
      <c r="E1342" s="8" t="s">
        <v>1905</v>
      </c>
      <c r="F1342" t="s">
        <v>1425</v>
      </c>
      <c r="H1342">
        <v>0.01</v>
      </c>
      <c r="I1342">
        <v>123</v>
      </c>
      <c r="J1342">
        <v>109</v>
      </c>
      <c r="K1342">
        <v>103</v>
      </c>
      <c r="O1342" t="s">
        <v>1530</v>
      </c>
      <c r="Q1342" t="s">
        <v>9268</v>
      </c>
    </row>
    <row r="1343" spans="2:17" x14ac:dyDescent="0.2">
      <c r="B1343" s="6" t="s">
        <v>1556</v>
      </c>
      <c r="C1343">
        <v>3</v>
      </c>
      <c r="D1343" s="6" t="s">
        <v>1568</v>
      </c>
      <c r="E1343" t="s">
        <v>1906</v>
      </c>
      <c r="F1343" t="s">
        <v>1425</v>
      </c>
      <c r="H1343">
        <v>2.4E-2</v>
      </c>
      <c r="M1343">
        <v>5</v>
      </c>
    </row>
    <row r="1344" spans="2:17" x14ac:dyDescent="0.2">
      <c r="B1344" s="6" t="s">
        <v>1556</v>
      </c>
      <c r="C1344">
        <v>3</v>
      </c>
      <c r="D1344" s="6" t="s">
        <v>1568</v>
      </c>
      <c r="E1344" t="s">
        <v>1907</v>
      </c>
      <c r="F1344" t="s">
        <v>1425</v>
      </c>
      <c r="H1344">
        <f>0.174+0.045</f>
        <v>0.21899999999999997</v>
      </c>
    </row>
    <row r="1345" spans="2:17" x14ac:dyDescent="0.2">
      <c r="B1345" s="6" t="s">
        <v>1556</v>
      </c>
      <c r="C1345">
        <v>3</v>
      </c>
      <c r="D1345" s="6" t="s">
        <v>1568</v>
      </c>
      <c r="E1345" t="s">
        <v>1908</v>
      </c>
      <c r="F1345" t="s">
        <v>1389</v>
      </c>
      <c r="H1345">
        <v>6.0000000000000001E-3</v>
      </c>
      <c r="Q1345" t="s">
        <v>9269</v>
      </c>
    </row>
    <row r="1346" spans="2:17" x14ac:dyDescent="0.2">
      <c r="B1346" s="6" t="s">
        <v>1556</v>
      </c>
      <c r="C1346">
        <v>3</v>
      </c>
      <c r="D1346" s="6" t="s">
        <v>1568</v>
      </c>
      <c r="E1346" t="s">
        <v>1909</v>
      </c>
      <c r="F1346" t="s">
        <v>1389</v>
      </c>
      <c r="H1346">
        <v>8.0000000000000002E-3</v>
      </c>
      <c r="Q1346" t="s">
        <v>9270</v>
      </c>
    </row>
    <row r="1347" spans="2:17" x14ac:dyDescent="0.2">
      <c r="B1347" s="6" t="s">
        <v>1556</v>
      </c>
      <c r="C1347">
        <v>3</v>
      </c>
      <c r="D1347" s="6" t="s">
        <v>1568</v>
      </c>
      <c r="E1347" t="s">
        <v>1910</v>
      </c>
      <c r="F1347" t="s">
        <v>1389</v>
      </c>
      <c r="H1347">
        <v>3.0000000000000001E-3</v>
      </c>
      <c r="Q1347" t="s">
        <v>9271</v>
      </c>
    </row>
    <row r="1348" spans="2:17" x14ac:dyDescent="0.2">
      <c r="B1348" s="6" t="s">
        <v>1556</v>
      </c>
      <c r="C1348">
        <v>3</v>
      </c>
      <c r="D1348" s="6" t="s">
        <v>1568</v>
      </c>
      <c r="E1348" t="s">
        <v>1911</v>
      </c>
      <c r="F1348" t="s">
        <v>1389</v>
      </c>
      <c r="H1348">
        <v>2E-3</v>
      </c>
      <c r="Q1348" t="s">
        <v>9272</v>
      </c>
    </row>
    <row r="1349" spans="2:17" x14ac:dyDescent="0.2">
      <c r="B1349" s="6" t="s">
        <v>1556</v>
      </c>
      <c r="C1349">
        <v>3</v>
      </c>
      <c r="D1349" s="6" t="s">
        <v>1568</v>
      </c>
      <c r="E1349" t="s">
        <v>1912</v>
      </c>
      <c r="F1349" t="s">
        <v>1389</v>
      </c>
      <c r="H1349">
        <v>5.0000000000000001E-3</v>
      </c>
      <c r="Q1349" t="s">
        <v>9273</v>
      </c>
    </row>
    <row r="1350" spans="2:17" x14ac:dyDescent="0.2">
      <c r="B1350" s="6" t="s">
        <v>1556</v>
      </c>
      <c r="C1350">
        <v>3</v>
      </c>
      <c r="D1350" s="6" t="s">
        <v>1568</v>
      </c>
      <c r="E1350" t="s">
        <v>1913</v>
      </c>
      <c r="F1350" t="s">
        <v>1389</v>
      </c>
      <c r="H1350">
        <v>2.4E-2</v>
      </c>
      <c r="M1350">
        <v>5</v>
      </c>
    </row>
    <row r="1351" spans="2:17" x14ac:dyDescent="0.2">
      <c r="B1351" s="6" t="s">
        <v>1556</v>
      </c>
      <c r="C1351">
        <v>3</v>
      </c>
      <c r="D1351" s="6" t="s">
        <v>1568</v>
      </c>
      <c r="E1351" t="s">
        <v>1907</v>
      </c>
      <c r="F1351" t="s">
        <v>1389</v>
      </c>
      <c r="H1351">
        <v>7.2999999999999995E-2</v>
      </c>
    </row>
    <row r="1352" spans="2:17" x14ac:dyDescent="0.2">
      <c r="B1352" s="6" t="s">
        <v>1556</v>
      </c>
      <c r="C1352">
        <v>3</v>
      </c>
      <c r="D1352" s="6" t="s">
        <v>1568</v>
      </c>
      <c r="E1352" t="s">
        <v>1914</v>
      </c>
      <c r="F1352" t="s">
        <v>5851</v>
      </c>
      <c r="H1352">
        <v>4.9000000000000002E-2</v>
      </c>
      <c r="Q1352" t="s">
        <v>9281</v>
      </c>
    </row>
    <row r="1353" spans="2:17" x14ac:dyDescent="0.2">
      <c r="B1353" s="6" t="s">
        <v>1556</v>
      </c>
      <c r="C1353">
        <v>3</v>
      </c>
      <c r="D1353" s="6" t="s">
        <v>1568</v>
      </c>
      <c r="E1353" t="s">
        <v>1915</v>
      </c>
      <c r="F1353" t="s">
        <v>7990</v>
      </c>
      <c r="H1353">
        <v>3.5999999999999997E-2</v>
      </c>
      <c r="I1353">
        <v>165</v>
      </c>
      <c r="J1353">
        <v>152</v>
      </c>
      <c r="K1353">
        <v>145</v>
      </c>
      <c r="O1353" t="s">
        <v>1530</v>
      </c>
      <c r="P1353" t="s">
        <v>1577</v>
      </c>
      <c r="Q1353" t="s">
        <v>9274</v>
      </c>
    </row>
    <row r="1354" spans="2:17" x14ac:dyDescent="0.2">
      <c r="B1354" s="6" t="s">
        <v>1556</v>
      </c>
      <c r="C1354">
        <v>3</v>
      </c>
      <c r="D1354" s="6" t="s">
        <v>1568</v>
      </c>
      <c r="E1354" t="s">
        <v>1916</v>
      </c>
      <c r="F1354" t="s">
        <v>7990</v>
      </c>
      <c r="H1354">
        <v>2.5000000000000001E-2</v>
      </c>
      <c r="Q1354" t="s">
        <v>9275</v>
      </c>
    </row>
    <row r="1355" spans="2:17" x14ac:dyDescent="0.2">
      <c r="B1355" s="6" t="s">
        <v>1556</v>
      </c>
      <c r="C1355">
        <v>3</v>
      </c>
      <c r="D1355" s="6" t="s">
        <v>1568</v>
      </c>
      <c r="E1355" t="s">
        <v>1917</v>
      </c>
      <c r="F1355" t="s">
        <v>332</v>
      </c>
      <c r="H1355">
        <v>2.9000000000000001E-2</v>
      </c>
      <c r="Q1355" t="s">
        <v>9278</v>
      </c>
    </row>
    <row r="1356" spans="2:17" x14ac:dyDescent="0.2">
      <c r="B1356" s="6" t="s">
        <v>1556</v>
      </c>
      <c r="C1356">
        <v>3</v>
      </c>
      <c r="D1356" s="6" t="s">
        <v>1568</v>
      </c>
      <c r="E1356" t="s">
        <v>1918</v>
      </c>
      <c r="F1356" t="s">
        <v>332</v>
      </c>
      <c r="H1356">
        <v>4.1000000000000002E-2</v>
      </c>
      <c r="Q1356" t="s">
        <v>9276</v>
      </c>
    </row>
    <row r="1357" spans="2:17" x14ac:dyDescent="0.2">
      <c r="B1357" s="6" t="s">
        <v>1556</v>
      </c>
      <c r="C1357">
        <v>3</v>
      </c>
      <c r="D1357" s="6" t="s">
        <v>1568</v>
      </c>
      <c r="E1357" t="s">
        <v>1919</v>
      </c>
      <c r="F1357" t="s">
        <v>332</v>
      </c>
      <c r="H1357">
        <v>2E-3</v>
      </c>
      <c r="Q1357" t="s">
        <v>9277</v>
      </c>
    </row>
    <row r="1358" spans="2:17" x14ac:dyDescent="0.2">
      <c r="B1358" s="6" t="s">
        <v>1556</v>
      </c>
      <c r="C1358">
        <v>3</v>
      </c>
      <c r="D1358" s="6" t="s">
        <v>1568</v>
      </c>
      <c r="E1358" t="s">
        <v>1920</v>
      </c>
      <c r="F1358" t="s">
        <v>332</v>
      </c>
      <c r="H1358">
        <v>8.0000000000000002E-3</v>
      </c>
      <c r="Q1358" t="s">
        <v>9280</v>
      </c>
    </row>
    <row r="1359" spans="2:17" x14ac:dyDescent="0.2">
      <c r="B1359" s="6" t="s">
        <v>1556</v>
      </c>
      <c r="C1359">
        <v>3</v>
      </c>
      <c r="D1359" s="6" t="s">
        <v>1568</v>
      </c>
      <c r="E1359" t="s">
        <v>1921</v>
      </c>
      <c r="F1359" t="s">
        <v>332</v>
      </c>
      <c r="H1359">
        <v>5.0000000000000001E-3</v>
      </c>
      <c r="Q1359" t="s">
        <v>9279</v>
      </c>
    </row>
    <row r="1360" spans="2:17" x14ac:dyDescent="0.2">
      <c r="B1360" s="6" t="s">
        <v>1556</v>
      </c>
      <c r="C1360">
        <v>3</v>
      </c>
      <c r="D1360" s="6" t="s">
        <v>1568</v>
      </c>
      <c r="E1360" t="s">
        <v>1922</v>
      </c>
      <c r="F1360" t="s">
        <v>332</v>
      </c>
      <c r="H1360">
        <v>3.9E-2</v>
      </c>
      <c r="M1360">
        <v>5</v>
      </c>
    </row>
    <row r="1361" spans="2:17" x14ac:dyDescent="0.2">
      <c r="B1361" s="6" t="s">
        <v>1556</v>
      </c>
      <c r="C1361">
        <v>3</v>
      </c>
      <c r="D1361" s="6" t="s">
        <v>1568</v>
      </c>
      <c r="E1361" t="s">
        <v>1907</v>
      </c>
      <c r="F1361" t="s">
        <v>332</v>
      </c>
      <c r="H1361">
        <v>4.9000000000000002E-2</v>
      </c>
    </row>
    <row r="1362" spans="2:17" x14ac:dyDescent="0.2">
      <c r="B1362" s="6" t="s">
        <v>1556</v>
      </c>
      <c r="C1362">
        <v>3</v>
      </c>
      <c r="D1362" s="6" t="s">
        <v>1568</v>
      </c>
      <c r="E1362" t="s">
        <v>1923</v>
      </c>
      <c r="F1362" t="s">
        <v>7138</v>
      </c>
      <c r="H1362">
        <v>1.0999999999999999E-2</v>
      </c>
      <c r="M1362">
        <v>2</v>
      </c>
      <c r="Q1362" t="s">
        <v>9282</v>
      </c>
    </row>
    <row r="1363" spans="2:17" x14ac:dyDescent="0.2">
      <c r="B1363" s="6" t="s">
        <v>1556</v>
      </c>
      <c r="C1363">
        <v>3</v>
      </c>
      <c r="D1363" s="6" t="s">
        <v>1568</v>
      </c>
      <c r="E1363" t="s">
        <v>1900</v>
      </c>
      <c r="F1363" s="6" t="s">
        <v>1311</v>
      </c>
      <c r="H1363">
        <f>0.495-0.4+0.008</f>
        <v>0.10299999999999998</v>
      </c>
      <c r="N1363">
        <v>0</v>
      </c>
    </row>
    <row r="1364" spans="2:17" x14ac:dyDescent="0.2">
      <c r="B1364" s="6" t="s">
        <v>1556</v>
      </c>
      <c r="C1364">
        <v>3</v>
      </c>
      <c r="D1364" s="6" t="s">
        <v>1568</v>
      </c>
      <c r="E1364" t="s">
        <v>1900</v>
      </c>
      <c r="F1364" s="6" t="s">
        <v>1311</v>
      </c>
      <c r="H1364">
        <f>0.598-0.41</f>
        <v>0.188</v>
      </c>
      <c r="N1364">
        <v>0</v>
      </c>
    </row>
    <row r="1365" spans="2:17" x14ac:dyDescent="0.2">
      <c r="B1365" s="6" t="s">
        <v>1556</v>
      </c>
      <c r="C1365">
        <v>3</v>
      </c>
      <c r="D1365" s="6" t="s">
        <v>1568</v>
      </c>
      <c r="E1365" t="s">
        <v>1924</v>
      </c>
      <c r="F1365" s="6" t="s">
        <v>1311</v>
      </c>
      <c r="H1365">
        <v>4.0000000000000001E-3</v>
      </c>
      <c r="Q1365" t="s">
        <v>9284</v>
      </c>
    </row>
    <row r="1366" spans="2:17" x14ac:dyDescent="0.2">
      <c r="B1366" s="6" t="s">
        <v>1556</v>
      </c>
      <c r="C1366">
        <v>3</v>
      </c>
      <c r="D1366" s="6" t="s">
        <v>1568</v>
      </c>
      <c r="E1366" t="s">
        <v>1925</v>
      </c>
      <c r="F1366" s="6" t="s">
        <v>1311</v>
      </c>
      <c r="H1366">
        <v>2E-3</v>
      </c>
      <c r="Q1366" t="s">
        <v>9285</v>
      </c>
    </row>
    <row r="1367" spans="2:17" x14ac:dyDescent="0.2">
      <c r="B1367" s="6" t="s">
        <v>1556</v>
      </c>
      <c r="C1367">
        <v>3</v>
      </c>
      <c r="D1367" s="6" t="s">
        <v>1568</v>
      </c>
      <c r="E1367" t="s">
        <v>1926</v>
      </c>
      <c r="F1367" s="6" t="s">
        <v>1311</v>
      </c>
      <c r="H1367">
        <v>3.0000000000000001E-3</v>
      </c>
      <c r="Q1367" t="s">
        <v>9283</v>
      </c>
    </row>
    <row r="1368" spans="2:17" x14ac:dyDescent="0.2">
      <c r="B1368" s="6" t="s">
        <v>1556</v>
      </c>
      <c r="C1368">
        <v>3</v>
      </c>
      <c r="D1368" s="6" t="s">
        <v>1568</v>
      </c>
      <c r="E1368" t="s">
        <v>1927</v>
      </c>
      <c r="F1368" s="6" t="s">
        <v>1311</v>
      </c>
      <c r="H1368">
        <v>2E-3</v>
      </c>
      <c r="Q1368" t="s">
        <v>9286</v>
      </c>
    </row>
    <row r="1369" spans="2:17" x14ac:dyDescent="0.2">
      <c r="B1369" s="6" t="s">
        <v>1556</v>
      </c>
      <c r="C1369">
        <v>3</v>
      </c>
      <c r="D1369" s="6" t="s">
        <v>1568</v>
      </c>
      <c r="E1369" t="s">
        <v>1928</v>
      </c>
      <c r="F1369" s="6" t="s">
        <v>1311</v>
      </c>
      <c r="H1369">
        <v>4.0000000000000001E-3</v>
      </c>
      <c r="Q1369" t="s">
        <v>9287</v>
      </c>
    </row>
    <row r="1370" spans="2:17" x14ac:dyDescent="0.2">
      <c r="B1370" s="6" t="s">
        <v>1556</v>
      </c>
      <c r="C1370">
        <v>3</v>
      </c>
      <c r="D1370" s="6" t="s">
        <v>1568</v>
      </c>
      <c r="E1370" t="s">
        <v>1929</v>
      </c>
      <c r="F1370" s="6" t="s">
        <v>1311</v>
      </c>
      <c r="H1370">
        <v>1.4E-2</v>
      </c>
      <c r="M1370">
        <v>5</v>
      </c>
    </row>
    <row r="1371" spans="2:17" x14ac:dyDescent="0.2">
      <c r="B1371" s="6" t="s">
        <v>1556</v>
      </c>
      <c r="C1371">
        <v>3</v>
      </c>
      <c r="D1371" s="6" t="s">
        <v>1568</v>
      </c>
      <c r="E1371" t="s">
        <v>1907</v>
      </c>
      <c r="F1371" s="6" t="s">
        <v>1311</v>
      </c>
      <c r="H1371">
        <v>0.24</v>
      </c>
      <c r="M1371" t="s">
        <v>802</v>
      </c>
    </row>
    <row r="1372" spans="2:17" x14ac:dyDescent="0.2">
      <c r="B1372" s="6" t="s">
        <v>1556</v>
      </c>
      <c r="C1372">
        <v>5</v>
      </c>
      <c r="D1372" s="6" t="s">
        <v>1568</v>
      </c>
      <c r="E1372" s="8" t="s">
        <v>1930</v>
      </c>
      <c r="F1372" s="6" t="s">
        <v>1264</v>
      </c>
      <c r="H1372">
        <f>1.591-0.344</f>
        <v>1.2469999999999999</v>
      </c>
      <c r="O1372" t="s">
        <v>1585</v>
      </c>
    </row>
    <row r="1373" spans="2:17" x14ac:dyDescent="0.2">
      <c r="B1373" s="6" t="s">
        <v>1556</v>
      </c>
      <c r="C1373">
        <v>5</v>
      </c>
      <c r="D1373" s="6" t="s">
        <v>1568</v>
      </c>
      <c r="E1373" s="8" t="s">
        <v>1931</v>
      </c>
      <c r="F1373" s="6" t="s">
        <v>505</v>
      </c>
      <c r="H1373">
        <v>0.157</v>
      </c>
    </row>
    <row r="1374" spans="2:17" x14ac:dyDescent="0.2">
      <c r="B1374" s="6" t="s">
        <v>1556</v>
      </c>
      <c r="C1374">
        <v>5</v>
      </c>
      <c r="D1374" s="6" t="s">
        <v>1568</v>
      </c>
      <c r="E1374" t="s">
        <v>1932</v>
      </c>
      <c r="F1374" s="6" t="s">
        <v>1581</v>
      </c>
      <c r="H1374">
        <f>1.521-0.357</f>
        <v>1.1639999999999999</v>
      </c>
      <c r="O1374" t="s">
        <v>1586</v>
      </c>
    </row>
    <row r="1375" spans="2:17" x14ac:dyDescent="0.2">
      <c r="B1375" s="6" t="s">
        <v>1556</v>
      </c>
      <c r="C1375">
        <v>5</v>
      </c>
      <c r="D1375" s="6" t="s">
        <v>1568</v>
      </c>
      <c r="E1375" s="8" t="s">
        <v>1933</v>
      </c>
      <c r="F1375" s="6" t="s">
        <v>1425</v>
      </c>
      <c r="H1375">
        <v>3.1E-2</v>
      </c>
      <c r="Q1375" t="s">
        <v>9288</v>
      </c>
    </row>
    <row r="1376" spans="2:17" x14ac:dyDescent="0.2">
      <c r="B1376" s="6" t="s">
        <v>1556</v>
      </c>
      <c r="C1376">
        <v>5</v>
      </c>
      <c r="D1376" s="6" t="s">
        <v>1568</v>
      </c>
      <c r="E1376" s="8" t="s">
        <v>1934</v>
      </c>
      <c r="F1376" s="6" t="s">
        <v>1425</v>
      </c>
      <c r="H1376">
        <v>3.1E-2</v>
      </c>
      <c r="Q1376" t="s">
        <v>9304</v>
      </c>
    </row>
    <row r="1377" spans="2:17" x14ac:dyDescent="0.2">
      <c r="B1377" s="6" t="s">
        <v>1556</v>
      </c>
      <c r="C1377">
        <v>5</v>
      </c>
      <c r="D1377" s="6" t="s">
        <v>1568</v>
      </c>
      <c r="E1377" s="8" t="s">
        <v>1935</v>
      </c>
      <c r="F1377" s="6" t="s">
        <v>1389</v>
      </c>
      <c r="H1377">
        <v>5.0000000000000001E-3</v>
      </c>
      <c r="Q1377" t="s">
        <v>9290</v>
      </c>
    </row>
    <row r="1378" spans="2:17" x14ac:dyDescent="0.2">
      <c r="B1378" s="6" t="s">
        <v>1556</v>
      </c>
      <c r="C1378">
        <v>5</v>
      </c>
      <c r="D1378" s="6" t="s">
        <v>1568</v>
      </c>
      <c r="E1378" s="8" t="s">
        <v>1936</v>
      </c>
      <c r="F1378" s="6" t="s">
        <v>1389</v>
      </c>
      <c r="H1378">
        <v>3.0000000000000001E-3</v>
      </c>
      <c r="Q1378" t="s">
        <v>9291</v>
      </c>
    </row>
    <row r="1379" spans="2:17" x14ac:dyDescent="0.2">
      <c r="B1379" s="6" t="s">
        <v>1556</v>
      </c>
      <c r="C1379">
        <v>5</v>
      </c>
      <c r="D1379" s="6" t="s">
        <v>1568</v>
      </c>
      <c r="E1379" s="8" t="s">
        <v>1937</v>
      </c>
      <c r="F1379" s="6" t="s">
        <v>1389</v>
      </c>
      <c r="H1379">
        <v>5.0000000000000001E-3</v>
      </c>
      <c r="Q1379" t="s">
        <v>9292</v>
      </c>
    </row>
    <row r="1380" spans="2:17" x14ac:dyDescent="0.2">
      <c r="B1380" s="6" t="s">
        <v>1556</v>
      </c>
      <c r="C1380">
        <v>5</v>
      </c>
      <c r="D1380" s="6" t="s">
        <v>1568</v>
      </c>
      <c r="E1380" s="8" t="s">
        <v>1938</v>
      </c>
      <c r="F1380" s="6" t="s">
        <v>1389</v>
      </c>
      <c r="H1380">
        <v>4.0000000000000001E-3</v>
      </c>
      <c r="Q1380" t="s">
        <v>9293</v>
      </c>
    </row>
    <row r="1381" spans="2:17" x14ac:dyDescent="0.2">
      <c r="B1381" s="6" t="s">
        <v>1556</v>
      </c>
      <c r="C1381">
        <v>5</v>
      </c>
      <c r="D1381" s="6" t="s">
        <v>1568</v>
      </c>
      <c r="E1381" s="8" t="s">
        <v>1939</v>
      </c>
      <c r="F1381" s="6" t="s">
        <v>1389</v>
      </c>
      <c r="G1381" s="6" t="s">
        <v>114</v>
      </c>
      <c r="Q1381" t="s">
        <v>9289</v>
      </c>
    </row>
    <row r="1382" spans="2:17" x14ac:dyDescent="0.2">
      <c r="B1382" s="6" t="s">
        <v>1556</v>
      </c>
      <c r="C1382">
        <v>5</v>
      </c>
      <c r="D1382" s="6" t="s">
        <v>1568</v>
      </c>
      <c r="E1382" t="s">
        <v>1940</v>
      </c>
      <c r="F1382" s="6" t="s">
        <v>1311</v>
      </c>
      <c r="H1382">
        <v>2E-3</v>
      </c>
      <c r="Q1382" t="s">
        <v>9303</v>
      </c>
    </row>
    <row r="1383" spans="2:17" x14ac:dyDescent="0.2">
      <c r="B1383" s="6" t="s">
        <v>1556</v>
      </c>
      <c r="C1383">
        <v>5</v>
      </c>
      <c r="D1383" s="6" t="s">
        <v>1568</v>
      </c>
      <c r="E1383" t="s">
        <v>1941</v>
      </c>
      <c r="F1383" s="6" t="s">
        <v>1311</v>
      </c>
      <c r="H1383">
        <v>2E-3</v>
      </c>
      <c r="Q1383" t="s">
        <v>9302</v>
      </c>
    </row>
    <row r="1384" spans="2:17" x14ac:dyDescent="0.2">
      <c r="B1384" s="6" t="s">
        <v>1556</v>
      </c>
      <c r="C1384">
        <v>5</v>
      </c>
      <c r="D1384" s="6" t="s">
        <v>1568</v>
      </c>
      <c r="E1384" t="s">
        <v>1942</v>
      </c>
      <c r="F1384" s="6" t="s">
        <v>1311</v>
      </c>
      <c r="H1384">
        <v>3.0000000000000001E-3</v>
      </c>
      <c r="Q1384" t="s">
        <v>9301</v>
      </c>
    </row>
    <row r="1385" spans="2:17" x14ac:dyDescent="0.2">
      <c r="B1385" s="6" t="s">
        <v>1556</v>
      </c>
      <c r="C1385">
        <v>5</v>
      </c>
      <c r="D1385" s="6" t="s">
        <v>1568</v>
      </c>
      <c r="E1385" t="s">
        <v>1943</v>
      </c>
      <c r="F1385" s="6" t="s">
        <v>1311</v>
      </c>
      <c r="H1385">
        <v>4.0000000000000001E-3</v>
      </c>
      <c r="Q1385" t="s">
        <v>9300</v>
      </c>
    </row>
    <row r="1386" spans="2:17" x14ac:dyDescent="0.2">
      <c r="B1386" s="6" t="s">
        <v>1556</v>
      </c>
      <c r="C1386">
        <v>5</v>
      </c>
      <c r="D1386" s="6" t="s">
        <v>1568</v>
      </c>
      <c r="E1386" t="s">
        <v>1944</v>
      </c>
      <c r="F1386" s="6" t="s">
        <v>1311</v>
      </c>
      <c r="H1386">
        <v>4.0000000000000001E-3</v>
      </c>
      <c r="Q1386" t="s">
        <v>9299</v>
      </c>
    </row>
    <row r="1387" spans="2:17" x14ac:dyDescent="0.2">
      <c r="B1387" s="6" t="s">
        <v>1556</v>
      </c>
      <c r="C1387">
        <v>5</v>
      </c>
      <c r="D1387" s="6" t="s">
        <v>1568</v>
      </c>
      <c r="E1387" t="s">
        <v>1945</v>
      </c>
      <c r="F1387" s="6" t="s">
        <v>1389</v>
      </c>
      <c r="H1387">
        <v>4.0000000000000001E-3</v>
      </c>
      <c r="O1387" t="s">
        <v>1582</v>
      </c>
    </row>
    <row r="1388" spans="2:17" x14ac:dyDescent="0.2">
      <c r="B1388" s="6" t="s">
        <v>1556</v>
      </c>
      <c r="C1388">
        <v>5</v>
      </c>
      <c r="D1388" s="6" t="s">
        <v>1568</v>
      </c>
      <c r="E1388" t="s">
        <v>1946</v>
      </c>
      <c r="F1388" s="6" t="s">
        <v>1583</v>
      </c>
      <c r="H1388">
        <v>1E-3</v>
      </c>
      <c r="O1388" t="s">
        <v>1582</v>
      </c>
    </row>
    <row r="1389" spans="2:17" x14ac:dyDescent="0.2">
      <c r="B1389" s="6" t="s">
        <v>1556</v>
      </c>
      <c r="C1389">
        <v>5</v>
      </c>
      <c r="D1389" s="6" t="s">
        <v>1568</v>
      </c>
      <c r="E1389" t="s">
        <v>1947</v>
      </c>
      <c r="F1389" s="6" t="s">
        <v>1583</v>
      </c>
      <c r="H1389">
        <v>1E-3</v>
      </c>
    </row>
    <row r="1390" spans="2:17" x14ac:dyDescent="0.2">
      <c r="B1390" s="6" t="s">
        <v>1556</v>
      </c>
      <c r="C1390">
        <v>5</v>
      </c>
      <c r="D1390" s="6" t="s">
        <v>1568</v>
      </c>
      <c r="E1390" t="s">
        <v>1948</v>
      </c>
      <c r="F1390" s="6" t="s">
        <v>1559</v>
      </c>
      <c r="H1390">
        <v>1E-3</v>
      </c>
      <c r="Q1390" t="s">
        <v>9297</v>
      </c>
    </row>
    <row r="1391" spans="2:17" x14ac:dyDescent="0.2">
      <c r="B1391" s="6" t="s">
        <v>1556</v>
      </c>
      <c r="C1391">
        <v>5</v>
      </c>
      <c r="D1391" s="6" t="s">
        <v>1568</v>
      </c>
      <c r="E1391" t="s">
        <v>1949</v>
      </c>
      <c r="F1391" s="6" t="s">
        <v>1559</v>
      </c>
      <c r="H1391">
        <v>1E-3</v>
      </c>
      <c r="Q1391" t="s">
        <v>9298</v>
      </c>
    </row>
    <row r="1392" spans="2:17" x14ac:dyDescent="0.2">
      <c r="B1392" s="6" t="s">
        <v>1556</v>
      </c>
      <c r="C1392">
        <v>5</v>
      </c>
      <c r="D1392" s="6" t="s">
        <v>1568</v>
      </c>
      <c r="E1392" t="s">
        <v>1950</v>
      </c>
      <c r="F1392" s="6" t="s">
        <v>1389</v>
      </c>
      <c r="G1392" t="s">
        <v>114</v>
      </c>
      <c r="O1392" t="s">
        <v>1584</v>
      </c>
    </row>
    <row r="1393" spans="2:17" x14ac:dyDescent="0.2">
      <c r="B1393" s="6" t="s">
        <v>1556</v>
      </c>
      <c r="C1393">
        <v>5</v>
      </c>
      <c r="D1393" s="6" t="s">
        <v>1568</v>
      </c>
      <c r="E1393" t="s">
        <v>1951</v>
      </c>
      <c r="F1393" s="6" t="s">
        <v>1559</v>
      </c>
      <c r="H1393">
        <v>2E-3</v>
      </c>
      <c r="Q1393" t="s">
        <v>9296</v>
      </c>
    </row>
    <row r="1394" spans="2:17" x14ac:dyDescent="0.2">
      <c r="B1394" s="6" t="s">
        <v>1556</v>
      </c>
      <c r="C1394">
        <v>5</v>
      </c>
      <c r="D1394" s="6" t="s">
        <v>1568</v>
      </c>
      <c r="E1394" t="s">
        <v>1952</v>
      </c>
      <c r="F1394" s="6" t="s">
        <v>1559</v>
      </c>
      <c r="H1394">
        <v>2E-3</v>
      </c>
      <c r="Q1394" t="s">
        <v>9295</v>
      </c>
    </row>
    <row r="1395" spans="2:17" x14ac:dyDescent="0.2">
      <c r="B1395" s="6" t="s">
        <v>1556</v>
      </c>
      <c r="C1395">
        <v>5</v>
      </c>
      <c r="D1395" s="6" t="s">
        <v>1568</v>
      </c>
      <c r="E1395" t="s">
        <v>1953</v>
      </c>
      <c r="F1395" s="6" t="s">
        <v>1559</v>
      </c>
      <c r="H1395">
        <v>2E-3</v>
      </c>
      <c r="Q1395" t="s">
        <v>9294</v>
      </c>
    </row>
    <row r="1396" spans="2:17" x14ac:dyDescent="0.2">
      <c r="B1396" s="6" t="s">
        <v>1556</v>
      </c>
      <c r="C1396">
        <v>5</v>
      </c>
      <c r="D1396" s="6" t="s">
        <v>1568</v>
      </c>
      <c r="E1396" t="s">
        <v>1954</v>
      </c>
      <c r="F1396" s="6" t="s">
        <v>1559</v>
      </c>
      <c r="H1396">
        <v>8.0000000000000002E-3</v>
      </c>
      <c r="M1396">
        <v>5</v>
      </c>
    </row>
    <row r="1397" spans="2:17" x14ac:dyDescent="0.2">
      <c r="B1397" s="6" t="s">
        <v>1556</v>
      </c>
      <c r="C1397">
        <v>5</v>
      </c>
      <c r="D1397" s="6" t="s">
        <v>1568</v>
      </c>
      <c r="E1397" t="s">
        <v>1955</v>
      </c>
      <c r="F1397" s="6" t="s">
        <v>7138</v>
      </c>
      <c r="H1397">
        <v>3.0000000000000001E-3</v>
      </c>
      <c r="M1397">
        <v>5</v>
      </c>
      <c r="Q1397" t="s">
        <v>9305</v>
      </c>
    </row>
    <row r="1398" spans="2:17" x14ac:dyDescent="0.2">
      <c r="B1398" s="6" t="s">
        <v>1556</v>
      </c>
      <c r="C1398">
        <v>5</v>
      </c>
      <c r="D1398" s="6" t="s">
        <v>1568</v>
      </c>
      <c r="E1398" t="s">
        <v>1956</v>
      </c>
      <c r="F1398" s="6" t="s">
        <v>1344</v>
      </c>
      <c r="H1398">
        <v>7.0000000000000001E-3</v>
      </c>
      <c r="M1398" t="s">
        <v>802</v>
      </c>
    </row>
    <row r="1399" spans="2:17" x14ac:dyDescent="0.2">
      <c r="B1399" s="6" t="s">
        <v>1556</v>
      </c>
      <c r="C1399">
        <v>5</v>
      </c>
      <c r="D1399" s="6" t="s">
        <v>1568</v>
      </c>
      <c r="E1399" t="s">
        <v>1957</v>
      </c>
      <c r="F1399" s="6" t="s">
        <v>1587</v>
      </c>
      <c r="G1399" t="s">
        <v>114</v>
      </c>
    </row>
    <row r="1400" spans="2:17" x14ac:dyDescent="0.2">
      <c r="B1400" s="6" t="s">
        <v>1556</v>
      </c>
      <c r="C1400">
        <v>1</v>
      </c>
      <c r="D1400" s="6" t="s">
        <v>1568</v>
      </c>
      <c r="E1400" t="s">
        <v>1958</v>
      </c>
      <c r="F1400" s="6" t="s">
        <v>1264</v>
      </c>
      <c r="H1400">
        <f>14.2-1.8</f>
        <v>12.399999999999999</v>
      </c>
      <c r="M1400" t="s">
        <v>802</v>
      </c>
      <c r="O1400" t="s">
        <v>1588</v>
      </c>
    </row>
    <row r="1401" spans="2:17" x14ac:dyDescent="0.2">
      <c r="B1401" s="6" t="s">
        <v>1556</v>
      </c>
      <c r="C1401">
        <v>1</v>
      </c>
      <c r="D1401" s="6" t="s">
        <v>1568</v>
      </c>
      <c r="E1401" t="s">
        <v>1958</v>
      </c>
      <c r="F1401" s="6" t="s">
        <v>1589</v>
      </c>
      <c r="H1401">
        <f>1.232-0.427</f>
        <v>0.80499999999999994</v>
      </c>
      <c r="M1401" t="s">
        <v>802</v>
      </c>
    </row>
    <row r="1402" spans="2:17" x14ac:dyDescent="0.2">
      <c r="B1402" s="6" t="s">
        <v>1556</v>
      </c>
      <c r="C1402">
        <v>1</v>
      </c>
      <c r="D1402" s="6" t="s">
        <v>1568</v>
      </c>
      <c r="E1402" t="s">
        <v>1958</v>
      </c>
      <c r="F1402" s="6" t="s">
        <v>998</v>
      </c>
      <c r="H1402">
        <f>3.2-0.327</f>
        <v>2.8730000000000002</v>
      </c>
      <c r="M1402" t="s">
        <v>802</v>
      </c>
    </row>
    <row r="1403" spans="2:17" x14ac:dyDescent="0.2">
      <c r="B1403" s="6" t="s">
        <v>1556</v>
      </c>
      <c r="C1403">
        <v>1</v>
      </c>
      <c r="D1403" s="6" t="s">
        <v>1568</v>
      </c>
      <c r="E1403" s="8" t="s">
        <v>1959</v>
      </c>
      <c r="F1403" s="6" t="s">
        <v>1425</v>
      </c>
      <c r="H1403">
        <f>0.13-0.008</f>
        <v>0.122</v>
      </c>
      <c r="O1403" t="s">
        <v>1590</v>
      </c>
      <c r="Q1403" t="s">
        <v>9306</v>
      </c>
    </row>
    <row r="1404" spans="2:17" x14ac:dyDescent="0.2">
      <c r="B1404" s="6" t="s">
        <v>1556</v>
      </c>
      <c r="C1404">
        <v>1</v>
      </c>
      <c r="D1404" s="6" t="s">
        <v>1568</v>
      </c>
      <c r="E1404" s="8" t="s">
        <v>1960</v>
      </c>
      <c r="F1404" t="s">
        <v>9325</v>
      </c>
      <c r="H1404">
        <v>2.7E-2</v>
      </c>
      <c r="Q1404" t="s">
        <v>9324</v>
      </c>
    </row>
    <row r="1405" spans="2:17" x14ac:dyDescent="0.2">
      <c r="B1405" s="6" t="s">
        <v>1556</v>
      </c>
      <c r="C1405">
        <v>1</v>
      </c>
      <c r="D1405" s="6" t="s">
        <v>1568</v>
      </c>
      <c r="E1405" s="8" t="s">
        <v>1961</v>
      </c>
      <c r="F1405" s="6" t="s">
        <v>7138</v>
      </c>
      <c r="H1405">
        <v>0.15</v>
      </c>
      <c r="M1405">
        <v>17</v>
      </c>
      <c r="Q1405" t="s">
        <v>9326</v>
      </c>
    </row>
    <row r="1406" spans="2:17" x14ac:dyDescent="0.2">
      <c r="B1406" s="6" t="s">
        <v>1556</v>
      </c>
      <c r="C1406">
        <v>1</v>
      </c>
      <c r="D1406" s="6" t="s">
        <v>1568</v>
      </c>
      <c r="E1406" s="8" t="s">
        <v>1962</v>
      </c>
      <c r="F1406" s="6" t="s">
        <v>1344</v>
      </c>
      <c r="H1406">
        <v>8.5000000000000006E-2</v>
      </c>
    </row>
    <row r="1407" spans="2:17" x14ac:dyDescent="0.2">
      <c r="B1407" s="6" t="s">
        <v>1556</v>
      </c>
      <c r="C1407">
        <v>6</v>
      </c>
      <c r="D1407" s="6" t="s">
        <v>1568</v>
      </c>
      <c r="E1407" s="8" t="s">
        <v>1963</v>
      </c>
      <c r="F1407" s="6" t="s">
        <v>1005</v>
      </c>
      <c r="H1407">
        <f>1.528-0.357</f>
        <v>1.171</v>
      </c>
      <c r="M1407" t="s">
        <v>802</v>
      </c>
      <c r="O1407" t="s">
        <v>1593</v>
      </c>
    </row>
    <row r="1408" spans="2:17" x14ac:dyDescent="0.2">
      <c r="B1408" s="6" t="s">
        <v>1556</v>
      </c>
      <c r="C1408">
        <v>6</v>
      </c>
      <c r="D1408" s="6" t="s">
        <v>1568</v>
      </c>
      <c r="E1408" s="8" t="s">
        <v>1964</v>
      </c>
      <c r="F1408" s="6" t="s">
        <v>1591</v>
      </c>
      <c r="H1408">
        <f>0.724-0.327</f>
        <v>0.39699999999999996</v>
      </c>
      <c r="O1408" t="s">
        <v>1594</v>
      </c>
    </row>
    <row r="1409" spans="2:17" x14ac:dyDescent="0.2">
      <c r="B1409" s="6" t="s">
        <v>1556</v>
      </c>
      <c r="C1409">
        <v>6</v>
      </c>
      <c r="D1409" s="6" t="s">
        <v>1568</v>
      </c>
      <c r="E1409" s="8" t="s">
        <v>1965</v>
      </c>
      <c r="F1409" s="6" t="s">
        <v>1311</v>
      </c>
      <c r="H1409">
        <v>5.0000000000000001E-3</v>
      </c>
      <c r="Q1409" t="s">
        <v>9307</v>
      </c>
    </row>
    <row r="1410" spans="2:17" x14ac:dyDescent="0.2">
      <c r="B1410" s="6" t="s">
        <v>1556</v>
      </c>
      <c r="C1410">
        <v>6</v>
      </c>
      <c r="D1410" s="6" t="s">
        <v>1568</v>
      </c>
      <c r="E1410" s="8" t="s">
        <v>1966</v>
      </c>
      <c r="F1410" s="6" t="s">
        <v>1311</v>
      </c>
      <c r="H1410">
        <v>2E-3</v>
      </c>
      <c r="Q1410" t="s">
        <v>9308</v>
      </c>
    </row>
    <row r="1411" spans="2:17" x14ac:dyDescent="0.2">
      <c r="B1411" s="6" t="s">
        <v>1556</v>
      </c>
      <c r="C1411">
        <v>6</v>
      </c>
      <c r="D1411" s="6" t="s">
        <v>1568</v>
      </c>
      <c r="E1411" s="8" t="s">
        <v>1967</v>
      </c>
      <c r="F1411" s="6" t="s">
        <v>1311</v>
      </c>
      <c r="Q1411" t="s">
        <v>9309</v>
      </c>
    </row>
    <row r="1412" spans="2:17" x14ac:dyDescent="0.2">
      <c r="B1412" s="6" t="s">
        <v>1556</v>
      </c>
      <c r="C1412">
        <v>6</v>
      </c>
      <c r="D1412" s="6" t="s">
        <v>1568</v>
      </c>
      <c r="E1412" s="8" t="s">
        <v>1968</v>
      </c>
      <c r="F1412" s="6" t="s">
        <v>1311</v>
      </c>
      <c r="G1412" s="6" t="s">
        <v>114</v>
      </c>
      <c r="Q1412" t="s">
        <v>9310</v>
      </c>
    </row>
    <row r="1413" spans="2:17" x14ac:dyDescent="0.2">
      <c r="B1413" s="6" t="s">
        <v>1556</v>
      </c>
      <c r="C1413">
        <v>6</v>
      </c>
      <c r="D1413" s="6" t="s">
        <v>1568</v>
      </c>
      <c r="E1413" s="8" t="s">
        <v>1969</v>
      </c>
      <c r="F1413" s="6" t="s">
        <v>1311</v>
      </c>
      <c r="H1413">
        <v>2E-3</v>
      </c>
      <c r="Q1413" t="s">
        <v>9311</v>
      </c>
    </row>
    <row r="1414" spans="2:17" x14ac:dyDescent="0.2">
      <c r="B1414" s="6" t="s">
        <v>1556</v>
      </c>
      <c r="C1414">
        <v>6</v>
      </c>
      <c r="D1414" s="6" t="s">
        <v>1568</v>
      </c>
      <c r="E1414" s="8" t="s">
        <v>1970</v>
      </c>
      <c r="F1414" s="6" t="s">
        <v>1311</v>
      </c>
      <c r="H1414">
        <v>3.0000000000000001E-3</v>
      </c>
      <c r="M1414">
        <v>5</v>
      </c>
    </row>
    <row r="1415" spans="2:17" x14ac:dyDescent="0.2">
      <c r="B1415" s="6" t="s">
        <v>1556</v>
      </c>
      <c r="C1415">
        <v>6</v>
      </c>
      <c r="D1415" s="6" t="s">
        <v>1568</v>
      </c>
      <c r="E1415" t="s">
        <v>1971</v>
      </c>
      <c r="F1415" s="6" t="s">
        <v>1311</v>
      </c>
      <c r="H1415">
        <v>1.2E-2</v>
      </c>
    </row>
    <row r="1416" spans="2:17" x14ac:dyDescent="0.2">
      <c r="B1416" s="6" t="s">
        <v>1556</v>
      </c>
      <c r="C1416">
        <v>6</v>
      </c>
      <c r="D1416" s="6" t="s">
        <v>1568</v>
      </c>
      <c r="E1416" t="s">
        <v>1972</v>
      </c>
      <c r="F1416" s="6" t="s">
        <v>504</v>
      </c>
      <c r="H1416">
        <f>6.7-0.261</f>
        <v>6.4390000000000001</v>
      </c>
      <c r="M1416" t="s">
        <v>802</v>
      </c>
      <c r="O1416" t="s">
        <v>1592</v>
      </c>
    </row>
    <row r="1417" spans="2:17" x14ac:dyDescent="0.2">
      <c r="B1417" s="6" t="s">
        <v>1556</v>
      </c>
      <c r="C1417">
        <v>6</v>
      </c>
      <c r="D1417" s="6" t="s">
        <v>1568</v>
      </c>
      <c r="E1417" s="8" t="s">
        <v>1973</v>
      </c>
      <c r="F1417" t="s">
        <v>9043</v>
      </c>
      <c r="H1417">
        <v>2E-3</v>
      </c>
      <c r="P1417" t="s">
        <v>6058</v>
      </c>
      <c r="Q1417" t="s">
        <v>6040</v>
      </c>
    </row>
    <row r="1418" spans="2:17" x14ac:dyDescent="0.2">
      <c r="B1418" s="6" t="s">
        <v>1556</v>
      </c>
      <c r="C1418">
        <v>6</v>
      </c>
      <c r="D1418" s="6" t="s">
        <v>1568</v>
      </c>
      <c r="E1418" t="s">
        <v>1974</v>
      </c>
      <c r="F1418" s="6" t="s">
        <v>5930</v>
      </c>
      <c r="H1418">
        <v>2E-3</v>
      </c>
      <c r="Q1418" t="s">
        <v>6038</v>
      </c>
    </row>
    <row r="1419" spans="2:17" x14ac:dyDescent="0.2">
      <c r="B1419" s="6" t="s">
        <v>1556</v>
      </c>
      <c r="C1419">
        <v>6</v>
      </c>
      <c r="D1419" s="6" t="s">
        <v>1568</v>
      </c>
      <c r="E1419" t="s">
        <v>1975</v>
      </c>
      <c r="F1419" s="6" t="s">
        <v>5930</v>
      </c>
      <c r="G1419" t="s">
        <v>114</v>
      </c>
      <c r="Q1419" t="s">
        <v>6039</v>
      </c>
    </row>
    <row r="1420" spans="2:17" x14ac:dyDescent="0.2">
      <c r="B1420" s="6" t="s">
        <v>1556</v>
      </c>
      <c r="C1420">
        <v>6</v>
      </c>
      <c r="D1420" s="6" t="s">
        <v>1568</v>
      </c>
      <c r="E1420" t="s">
        <v>1976</v>
      </c>
      <c r="F1420" s="6" t="s">
        <v>332</v>
      </c>
      <c r="G1420" t="s">
        <v>114</v>
      </c>
      <c r="Q1420" t="s">
        <v>9312</v>
      </c>
    </row>
    <row r="1421" spans="2:17" x14ac:dyDescent="0.2">
      <c r="B1421" s="6" t="s">
        <v>1556</v>
      </c>
      <c r="C1421">
        <v>6</v>
      </c>
      <c r="D1421" s="6" t="s">
        <v>1568</v>
      </c>
      <c r="E1421" t="s">
        <v>1977</v>
      </c>
      <c r="F1421" s="6" t="s">
        <v>332</v>
      </c>
      <c r="H1421">
        <v>4.0000000000000001E-3</v>
      </c>
      <c r="Q1421" t="s">
        <v>9313</v>
      </c>
    </row>
    <row r="1422" spans="2:17" x14ac:dyDescent="0.2">
      <c r="B1422" s="6" t="s">
        <v>1556</v>
      </c>
      <c r="C1422">
        <v>6</v>
      </c>
      <c r="D1422" s="6" t="s">
        <v>1568</v>
      </c>
      <c r="E1422" t="s">
        <v>1978</v>
      </c>
      <c r="F1422" s="6" t="s">
        <v>332</v>
      </c>
      <c r="H1422">
        <v>0.01</v>
      </c>
      <c r="Q1422" t="s">
        <v>9314</v>
      </c>
    </row>
    <row r="1423" spans="2:17" x14ac:dyDescent="0.2">
      <c r="B1423" s="6" t="s">
        <v>1556</v>
      </c>
      <c r="C1423">
        <v>6</v>
      </c>
      <c r="D1423" s="6" t="s">
        <v>1568</v>
      </c>
      <c r="E1423" t="s">
        <v>1979</v>
      </c>
      <c r="F1423" s="6" t="s">
        <v>332</v>
      </c>
      <c r="H1423">
        <v>5.0000000000000001E-3</v>
      </c>
      <c r="Q1423" t="s">
        <v>9315</v>
      </c>
    </row>
    <row r="1424" spans="2:17" x14ac:dyDescent="0.2">
      <c r="B1424" s="6" t="s">
        <v>1556</v>
      </c>
      <c r="C1424">
        <v>6</v>
      </c>
      <c r="D1424" s="6" t="s">
        <v>1568</v>
      </c>
      <c r="E1424" t="s">
        <v>1980</v>
      </c>
      <c r="F1424" s="6" t="s">
        <v>332</v>
      </c>
      <c r="H1424">
        <v>2E-3</v>
      </c>
      <c r="Q1424" t="s">
        <v>9316</v>
      </c>
    </row>
    <row r="1425" spans="1:17" x14ac:dyDescent="0.2">
      <c r="B1425" s="6" t="s">
        <v>1556</v>
      </c>
      <c r="C1425">
        <v>6</v>
      </c>
      <c r="D1425" s="6" t="s">
        <v>1568</v>
      </c>
      <c r="E1425" t="s">
        <v>1981</v>
      </c>
      <c r="F1425" s="6" t="s">
        <v>1389</v>
      </c>
      <c r="H1425">
        <v>1E-3</v>
      </c>
      <c r="Q1425" t="s">
        <v>9317</v>
      </c>
    </row>
    <row r="1426" spans="1:17" x14ac:dyDescent="0.2">
      <c r="B1426" s="6" t="s">
        <v>1556</v>
      </c>
      <c r="C1426">
        <v>6</v>
      </c>
      <c r="D1426" s="6" t="s">
        <v>1568</v>
      </c>
      <c r="E1426" t="s">
        <v>1982</v>
      </c>
      <c r="F1426" s="6" t="s">
        <v>1389</v>
      </c>
      <c r="H1426">
        <v>5.0000000000000001E-3</v>
      </c>
      <c r="Q1426" t="s">
        <v>9318</v>
      </c>
    </row>
    <row r="1427" spans="1:17" x14ac:dyDescent="0.2">
      <c r="B1427" s="6" t="s">
        <v>1556</v>
      </c>
      <c r="C1427">
        <v>6</v>
      </c>
      <c r="D1427" s="6" t="s">
        <v>1568</v>
      </c>
      <c r="E1427" t="s">
        <v>1983</v>
      </c>
      <c r="F1427" s="6" t="s">
        <v>6239</v>
      </c>
      <c r="G1427" t="s">
        <v>114</v>
      </c>
      <c r="Q1427" t="s">
        <v>9319</v>
      </c>
    </row>
    <row r="1428" spans="1:17" x14ac:dyDescent="0.2">
      <c r="B1428" s="6" t="s">
        <v>1556</v>
      </c>
      <c r="C1428">
        <v>6</v>
      </c>
      <c r="D1428" s="6" t="s">
        <v>1568</v>
      </c>
      <c r="E1428" t="s">
        <v>1984</v>
      </c>
      <c r="F1428" s="6" t="s">
        <v>9321</v>
      </c>
      <c r="G1428" t="s">
        <v>114</v>
      </c>
      <c r="Q1428" t="s">
        <v>9320</v>
      </c>
    </row>
    <row r="1429" spans="1:17" x14ac:dyDescent="0.2">
      <c r="B1429" s="6" t="s">
        <v>1556</v>
      </c>
      <c r="C1429">
        <v>6</v>
      </c>
      <c r="D1429" s="6" t="s">
        <v>1568</v>
      </c>
      <c r="E1429" t="s">
        <v>1985</v>
      </c>
      <c r="F1429" s="6" t="s">
        <v>9323</v>
      </c>
      <c r="H1429">
        <v>1E-3</v>
      </c>
      <c r="M1429">
        <v>2</v>
      </c>
      <c r="O1429" t="s">
        <v>7662</v>
      </c>
      <c r="Q1429" t="s">
        <v>9322</v>
      </c>
    </row>
    <row r="1430" spans="1:17" x14ac:dyDescent="0.2">
      <c r="B1430" s="6" t="s">
        <v>1556</v>
      </c>
      <c r="C1430">
        <v>6</v>
      </c>
      <c r="D1430" s="6" t="s">
        <v>1568</v>
      </c>
      <c r="E1430" t="s">
        <v>1986</v>
      </c>
      <c r="F1430" s="6" t="s">
        <v>112</v>
      </c>
      <c r="H1430">
        <v>5.0000000000000001E-3</v>
      </c>
    </row>
    <row r="1431" spans="1:17" x14ac:dyDescent="0.2">
      <c r="B1431" s="6" t="s">
        <v>1556</v>
      </c>
      <c r="C1431">
        <v>6</v>
      </c>
      <c r="D1431" s="6" t="s">
        <v>1568</v>
      </c>
      <c r="E1431" t="s">
        <v>1987</v>
      </c>
      <c r="F1431" s="6" t="s">
        <v>1459</v>
      </c>
      <c r="H1431">
        <v>4.5999999999999999E-2</v>
      </c>
    </row>
    <row r="1432" spans="1:17" x14ac:dyDescent="0.2">
      <c r="B1432" s="6" t="s">
        <v>1556</v>
      </c>
      <c r="C1432">
        <v>6</v>
      </c>
      <c r="D1432" s="6" t="s">
        <v>1568</v>
      </c>
      <c r="E1432" t="s">
        <v>1988</v>
      </c>
      <c r="F1432" s="6" t="s">
        <v>1595</v>
      </c>
      <c r="H1432">
        <f>2.148-0.589</f>
        <v>1.5590000000000002</v>
      </c>
      <c r="M1432" t="s">
        <v>802</v>
      </c>
      <c r="O1432" t="s">
        <v>1596</v>
      </c>
    </row>
    <row r="1433" spans="1:17" x14ac:dyDescent="0.2">
      <c r="A1433" t="s">
        <v>1989</v>
      </c>
      <c r="B1433" s="6" t="s">
        <v>1557</v>
      </c>
      <c r="C1433">
        <v>1</v>
      </c>
      <c r="D1433" s="6" t="s">
        <v>1990</v>
      </c>
      <c r="E1433" t="s">
        <v>1999</v>
      </c>
      <c r="F1433" s="6" t="s">
        <v>1459</v>
      </c>
      <c r="H1433">
        <f>15.4/19.152*337.356</f>
        <v>271.26578947368421</v>
      </c>
      <c r="M1433" t="s">
        <v>802</v>
      </c>
      <c r="O1433" t="s">
        <v>2013</v>
      </c>
    </row>
    <row r="1434" spans="1:17" x14ac:dyDescent="0.2">
      <c r="A1434" t="s">
        <v>1989</v>
      </c>
      <c r="B1434" s="6" t="s">
        <v>1557</v>
      </c>
      <c r="C1434">
        <v>1</v>
      </c>
      <c r="D1434" s="6" t="s">
        <v>1990</v>
      </c>
      <c r="E1434" t="s">
        <v>2003</v>
      </c>
      <c r="F1434" s="6" t="s">
        <v>998</v>
      </c>
      <c r="H1434">
        <f>0.408/19.152*337.356</f>
        <v>7.1867819548872172</v>
      </c>
      <c r="M1434" t="s">
        <v>802</v>
      </c>
      <c r="O1434" t="s">
        <v>2008</v>
      </c>
      <c r="Q1434" t="s">
        <v>9327</v>
      </c>
    </row>
    <row r="1435" spans="1:17" x14ac:dyDescent="0.2">
      <c r="A1435" t="s">
        <v>1989</v>
      </c>
      <c r="B1435" s="6" t="s">
        <v>1557</v>
      </c>
      <c r="C1435">
        <v>1</v>
      </c>
      <c r="D1435" s="6" t="s">
        <v>1990</v>
      </c>
      <c r="E1435" t="s">
        <v>2004</v>
      </c>
      <c r="F1435" s="6" t="s">
        <v>1264</v>
      </c>
      <c r="H1435">
        <f>1.536/19.152*337.356</f>
        <v>27.056120300751878</v>
      </c>
      <c r="O1435" t="s">
        <v>2012</v>
      </c>
    </row>
    <row r="1436" spans="1:17" x14ac:dyDescent="0.2">
      <c r="A1436" t="s">
        <v>1989</v>
      </c>
      <c r="B1436" s="6" t="s">
        <v>1557</v>
      </c>
      <c r="C1436">
        <v>1</v>
      </c>
      <c r="D1436" s="6" t="s">
        <v>1990</v>
      </c>
      <c r="E1436" t="s">
        <v>2005</v>
      </c>
      <c r="F1436" s="6" t="s">
        <v>504</v>
      </c>
      <c r="H1436">
        <f>0.081/19.152*337.356</f>
        <v>1.4267875939849624</v>
      </c>
      <c r="O1436" t="s">
        <v>2011</v>
      </c>
    </row>
    <row r="1437" spans="1:17" x14ac:dyDescent="0.2">
      <c r="A1437" t="s">
        <v>1989</v>
      </c>
      <c r="B1437" s="6" t="s">
        <v>1557</v>
      </c>
      <c r="C1437">
        <v>1</v>
      </c>
      <c r="D1437" s="6" t="s">
        <v>1990</v>
      </c>
      <c r="E1437" t="s">
        <v>2006</v>
      </c>
      <c r="F1437" s="6" t="s">
        <v>112</v>
      </c>
      <c r="H1437">
        <f>0.038/19.152*337.356</f>
        <v>0.66935714285714276</v>
      </c>
      <c r="O1437" t="s">
        <v>2010</v>
      </c>
    </row>
    <row r="1438" spans="1:17" x14ac:dyDescent="0.2">
      <c r="A1438" t="s">
        <v>1989</v>
      </c>
      <c r="B1438" s="6" t="s">
        <v>1557</v>
      </c>
      <c r="C1438">
        <v>1</v>
      </c>
      <c r="D1438" s="6" t="s">
        <v>1990</v>
      </c>
      <c r="E1438" t="s">
        <v>2007</v>
      </c>
      <c r="F1438" s="6" t="s">
        <v>1344</v>
      </c>
      <c r="H1438">
        <f>0.016/19.152*337.356</f>
        <v>0.28183458646616538</v>
      </c>
      <c r="O1438" t="s">
        <v>2009</v>
      </c>
    </row>
    <row r="1439" spans="1:17" x14ac:dyDescent="0.2">
      <c r="A1439" t="s">
        <v>1989</v>
      </c>
      <c r="B1439" s="6" t="s">
        <v>1558</v>
      </c>
      <c r="C1439">
        <v>2</v>
      </c>
      <c r="D1439" s="6" t="s">
        <v>1990</v>
      </c>
      <c r="E1439" t="s">
        <v>2018</v>
      </c>
      <c r="F1439" s="6" t="s">
        <v>1005</v>
      </c>
      <c r="H1439">
        <f>3.3-0.41</f>
        <v>2.8899999999999997</v>
      </c>
      <c r="O1439" t="s">
        <v>2052</v>
      </c>
    </row>
    <row r="1440" spans="1:17" x14ac:dyDescent="0.2">
      <c r="A1440" t="s">
        <v>1989</v>
      </c>
      <c r="B1440" s="6" t="s">
        <v>1558</v>
      </c>
      <c r="C1440">
        <v>2</v>
      </c>
      <c r="D1440" s="6" t="s">
        <v>1990</v>
      </c>
      <c r="E1440" t="s">
        <v>2019</v>
      </c>
      <c r="F1440" s="6" t="s">
        <v>505</v>
      </c>
      <c r="H1440">
        <f>1.43-0.593</f>
        <v>0.83699999999999997</v>
      </c>
      <c r="O1440" t="s">
        <v>2052</v>
      </c>
    </row>
    <row r="1441" spans="1:17" x14ac:dyDescent="0.2">
      <c r="A1441" t="s">
        <v>1989</v>
      </c>
      <c r="B1441" s="6" t="s">
        <v>1558</v>
      </c>
      <c r="C1441">
        <v>2</v>
      </c>
      <c r="D1441" s="6" t="s">
        <v>1990</v>
      </c>
      <c r="E1441" t="s">
        <v>2020</v>
      </c>
      <c r="F1441" s="6" t="s">
        <v>2561</v>
      </c>
      <c r="H1441">
        <v>3.7999999999999999E-2</v>
      </c>
      <c r="Q1441" t="s">
        <v>9328</v>
      </c>
    </row>
    <row r="1442" spans="1:17" x14ac:dyDescent="0.2">
      <c r="A1442" t="s">
        <v>1989</v>
      </c>
      <c r="B1442" s="6" t="s">
        <v>1558</v>
      </c>
      <c r="C1442">
        <v>2</v>
      </c>
      <c r="D1442" s="6" t="s">
        <v>1990</v>
      </c>
      <c r="E1442" t="s">
        <v>2021</v>
      </c>
      <c r="F1442" s="6" t="s">
        <v>7990</v>
      </c>
      <c r="H1442">
        <v>1.6E-2</v>
      </c>
      <c r="Q1442" t="s">
        <v>9329</v>
      </c>
    </row>
    <row r="1443" spans="1:17" x14ac:dyDescent="0.2">
      <c r="A1443" t="s">
        <v>1989</v>
      </c>
      <c r="B1443" s="6" t="s">
        <v>1558</v>
      </c>
      <c r="C1443">
        <v>2</v>
      </c>
      <c r="D1443" s="6" t="s">
        <v>1990</v>
      </c>
      <c r="E1443" t="s">
        <v>2022</v>
      </c>
      <c r="F1443" s="6" t="s">
        <v>1425</v>
      </c>
      <c r="H1443">
        <v>1.7999999999999999E-2</v>
      </c>
      <c r="Q1443" t="s">
        <v>9330</v>
      </c>
    </row>
    <row r="1444" spans="1:17" x14ac:dyDescent="0.2">
      <c r="A1444" t="s">
        <v>1989</v>
      </c>
      <c r="B1444" s="6" t="s">
        <v>1558</v>
      </c>
      <c r="C1444">
        <v>2</v>
      </c>
      <c r="D1444" s="6" t="s">
        <v>1990</v>
      </c>
      <c r="E1444" t="s">
        <v>2023</v>
      </c>
      <c r="F1444" s="6" t="s">
        <v>1425</v>
      </c>
      <c r="H1444">
        <v>6.0000000000000001E-3</v>
      </c>
      <c r="Q1444" t="s">
        <v>9331</v>
      </c>
    </row>
    <row r="1445" spans="1:17" x14ac:dyDescent="0.2">
      <c r="A1445" t="s">
        <v>1989</v>
      </c>
      <c r="B1445" s="6" t="s">
        <v>1558</v>
      </c>
      <c r="C1445">
        <v>2</v>
      </c>
      <c r="D1445" s="6" t="s">
        <v>1990</v>
      </c>
      <c r="E1445" t="s">
        <v>2024</v>
      </c>
      <c r="F1445" s="6" t="s">
        <v>1425</v>
      </c>
      <c r="H1445">
        <v>4.0000000000000001E-3</v>
      </c>
      <c r="Q1445" t="s">
        <v>9332</v>
      </c>
    </row>
    <row r="1446" spans="1:17" x14ac:dyDescent="0.2">
      <c r="A1446" t="s">
        <v>1989</v>
      </c>
      <c r="B1446" s="6" t="s">
        <v>1558</v>
      </c>
      <c r="C1446">
        <v>2</v>
      </c>
      <c r="D1446" s="6" t="s">
        <v>1990</v>
      </c>
      <c r="E1446" t="s">
        <v>2025</v>
      </c>
      <c r="F1446" s="6" t="s">
        <v>1425</v>
      </c>
      <c r="H1446">
        <v>2.4E-2</v>
      </c>
      <c r="M1446">
        <v>4</v>
      </c>
    </row>
    <row r="1447" spans="1:17" x14ac:dyDescent="0.2">
      <c r="A1447" t="s">
        <v>1989</v>
      </c>
      <c r="B1447" s="6" t="s">
        <v>1558</v>
      </c>
      <c r="C1447">
        <v>2</v>
      </c>
      <c r="D1447" s="6" t="s">
        <v>1990</v>
      </c>
      <c r="E1447" t="s">
        <v>2026</v>
      </c>
      <c r="F1447" s="6" t="s">
        <v>1311</v>
      </c>
      <c r="H1447">
        <v>5.0000000000000001E-3</v>
      </c>
      <c r="Q1447" t="s">
        <v>9333</v>
      </c>
    </row>
    <row r="1448" spans="1:17" x14ac:dyDescent="0.2">
      <c r="A1448" t="s">
        <v>1989</v>
      </c>
      <c r="B1448" s="6" t="s">
        <v>1558</v>
      </c>
      <c r="C1448">
        <v>2</v>
      </c>
      <c r="D1448" s="6" t="s">
        <v>1990</v>
      </c>
      <c r="E1448" t="s">
        <v>2027</v>
      </c>
      <c r="F1448" s="6" t="s">
        <v>1311</v>
      </c>
      <c r="H1448">
        <v>2E-3</v>
      </c>
      <c r="Q1448" t="s">
        <v>9334</v>
      </c>
    </row>
    <row r="1449" spans="1:17" x14ac:dyDescent="0.2">
      <c r="A1449" t="s">
        <v>1989</v>
      </c>
      <c r="B1449" s="6" t="s">
        <v>1558</v>
      </c>
      <c r="C1449">
        <v>2</v>
      </c>
      <c r="D1449" s="6" t="s">
        <v>1990</v>
      </c>
      <c r="E1449" t="s">
        <v>2028</v>
      </c>
      <c r="F1449" s="6" t="s">
        <v>1311</v>
      </c>
      <c r="H1449">
        <v>2E-3</v>
      </c>
      <c r="Q1449" t="s">
        <v>9335</v>
      </c>
    </row>
    <row r="1450" spans="1:17" x14ac:dyDescent="0.2">
      <c r="A1450" t="s">
        <v>1989</v>
      </c>
      <c r="B1450" s="6" t="s">
        <v>1558</v>
      </c>
      <c r="C1450">
        <v>2</v>
      </c>
      <c r="D1450" s="6" t="s">
        <v>1990</v>
      </c>
      <c r="E1450" t="s">
        <v>2029</v>
      </c>
      <c r="F1450" s="6" t="s">
        <v>1311</v>
      </c>
      <c r="H1450">
        <v>1E-3</v>
      </c>
      <c r="Q1450" t="s">
        <v>9336</v>
      </c>
    </row>
    <row r="1451" spans="1:17" x14ac:dyDescent="0.2">
      <c r="A1451" t="s">
        <v>1989</v>
      </c>
      <c r="B1451" s="6" t="s">
        <v>1558</v>
      </c>
      <c r="C1451">
        <v>2</v>
      </c>
      <c r="D1451" s="6" t="s">
        <v>1990</v>
      </c>
      <c r="E1451" t="s">
        <v>2030</v>
      </c>
      <c r="F1451" s="6" t="s">
        <v>1389</v>
      </c>
      <c r="H1451">
        <v>1.4E-2</v>
      </c>
      <c r="Q1451" t="s">
        <v>9337</v>
      </c>
    </row>
    <row r="1452" spans="1:17" x14ac:dyDescent="0.2">
      <c r="A1452" t="s">
        <v>1989</v>
      </c>
      <c r="B1452" s="6" t="s">
        <v>1558</v>
      </c>
      <c r="C1452">
        <v>2</v>
      </c>
      <c r="D1452" s="6" t="s">
        <v>1990</v>
      </c>
      <c r="E1452" t="s">
        <v>2031</v>
      </c>
      <c r="F1452" s="6" t="s">
        <v>1389</v>
      </c>
      <c r="H1452">
        <v>0.01</v>
      </c>
      <c r="Q1452" t="s">
        <v>9338</v>
      </c>
    </row>
    <row r="1453" spans="1:17" x14ac:dyDescent="0.2">
      <c r="A1453" t="s">
        <v>1989</v>
      </c>
      <c r="B1453" s="6" t="s">
        <v>1558</v>
      </c>
      <c r="C1453">
        <v>2</v>
      </c>
      <c r="D1453" s="6" t="s">
        <v>1990</v>
      </c>
      <c r="E1453" t="s">
        <v>2032</v>
      </c>
      <c r="F1453" s="6" t="s">
        <v>1389</v>
      </c>
      <c r="H1453">
        <v>5.0000000000000001E-3</v>
      </c>
      <c r="Q1453" t="s">
        <v>9339</v>
      </c>
    </row>
    <row r="1454" spans="1:17" x14ac:dyDescent="0.2">
      <c r="A1454" t="s">
        <v>1989</v>
      </c>
      <c r="B1454" s="6" t="s">
        <v>1558</v>
      </c>
      <c r="C1454">
        <v>2</v>
      </c>
      <c r="D1454" s="6" t="s">
        <v>1990</v>
      </c>
      <c r="E1454" t="s">
        <v>2033</v>
      </c>
      <c r="F1454" s="6" t="s">
        <v>1389</v>
      </c>
      <c r="H1454">
        <v>4.0000000000000001E-3</v>
      </c>
      <c r="Q1454" t="s">
        <v>9340</v>
      </c>
    </row>
    <row r="1455" spans="1:17" x14ac:dyDescent="0.2">
      <c r="A1455" t="s">
        <v>1989</v>
      </c>
      <c r="B1455" s="6" t="s">
        <v>1558</v>
      </c>
      <c r="C1455">
        <v>2</v>
      </c>
      <c r="D1455" s="6" t="s">
        <v>1990</v>
      </c>
      <c r="E1455" t="s">
        <v>2034</v>
      </c>
      <c r="F1455" s="6" t="s">
        <v>1389</v>
      </c>
      <c r="G1455" t="s">
        <v>114</v>
      </c>
      <c r="Q1455" t="s">
        <v>9341</v>
      </c>
    </row>
    <row r="1456" spans="1:17" x14ac:dyDescent="0.2">
      <c r="A1456" t="s">
        <v>1989</v>
      </c>
      <c r="B1456" s="6" t="s">
        <v>1558</v>
      </c>
      <c r="C1456">
        <v>2</v>
      </c>
      <c r="D1456" s="6" t="s">
        <v>1990</v>
      </c>
      <c r="E1456" t="s">
        <v>2035</v>
      </c>
      <c r="F1456" s="6" t="s">
        <v>1389</v>
      </c>
      <c r="H1456">
        <v>5.7000000000000002E-2</v>
      </c>
      <c r="M1456">
        <v>7</v>
      </c>
    </row>
    <row r="1457" spans="1:17" x14ac:dyDescent="0.2">
      <c r="A1457" t="s">
        <v>1989</v>
      </c>
      <c r="B1457" s="6" t="s">
        <v>1558</v>
      </c>
      <c r="C1457">
        <v>2</v>
      </c>
      <c r="D1457" s="6" t="s">
        <v>1990</v>
      </c>
      <c r="E1457" t="s">
        <v>2037</v>
      </c>
      <c r="F1457" s="6" t="s">
        <v>1538</v>
      </c>
      <c r="H1457">
        <f>1.104-0.261</f>
        <v>0.84300000000000008</v>
      </c>
      <c r="N1457">
        <v>0</v>
      </c>
      <c r="O1457" t="s">
        <v>2050</v>
      </c>
    </row>
    <row r="1458" spans="1:17" x14ac:dyDescent="0.2">
      <c r="A1458" t="s">
        <v>1989</v>
      </c>
      <c r="B1458" s="6" t="s">
        <v>1558</v>
      </c>
      <c r="C1458">
        <v>2</v>
      </c>
      <c r="D1458" s="6" t="s">
        <v>1990</v>
      </c>
      <c r="E1458" t="s">
        <v>2038</v>
      </c>
      <c r="F1458" s="6" t="s">
        <v>1538</v>
      </c>
      <c r="H1458">
        <f>0.751-0.436</f>
        <v>0.315</v>
      </c>
      <c r="N1458">
        <v>0</v>
      </c>
      <c r="O1458" t="s">
        <v>2049</v>
      </c>
    </row>
    <row r="1459" spans="1:17" x14ac:dyDescent="0.2">
      <c r="A1459" t="s">
        <v>1989</v>
      </c>
      <c r="B1459" s="6" t="s">
        <v>1558</v>
      </c>
      <c r="C1459">
        <v>2</v>
      </c>
      <c r="D1459" s="6" t="s">
        <v>1990</v>
      </c>
      <c r="E1459" t="s">
        <v>2036</v>
      </c>
      <c r="F1459" s="6" t="s">
        <v>1538</v>
      </c>
      <c r="H1459">
        <v>9.1999999999999998E-2</v>
      </c>
      <c r="Q1459" t="s">
        <v>9342</v>
      </c>
    </row>
    <row r="1460" spans="1:17" x14ac:dyDescent="0.2">
      <c r="A1460" t="s">
        <v>1989</v>
      </c>
      <c r="B1460" s="6" t="s">
        <v>1558</v>
      </c>
      <c r="C1460">
        <v>2</v>
      </c>
      <c r="D1460" s="6" t="s">
        <v>1990</v>
      </c>
      <c r="E1460" t="s">
        <v>2039</v>
      </c>
      <c r="F1460" s="6" t="s">
        <v>1538</v>
      </c>
      <c r="H1460">
        <v>4.3999999999999997E-2</v>
      </c>
      <c r="Q1460" t="s">
        <v>9343</v>
      </c>
    </row>
    <row r="1461" spans="1:17" x14ac:dyDescent="0.2">
      <c r="A1461" t="s">
        <v>1989</v>
      </c>
      <c r="B1461" s="6" t="s">
        <v>1558</v>
      </c>
      <c r="C1461">
        <v>2</v>
      </c>
      <c r="D1461" s="6" t="s">
        <v>1990</v>
      </c>
      <c r="E1461" t="s">
        <v>2040</v>
      </c>
      <c r="F1461" s="6" t="s">
        <v>1538</v>
      </c>
      <c r="H1461">
        <v>1.2999999999999999E-2</v>
      </c>
      <c r="Q1461" t="s">
        <v>9344</v>
      </c>
    </row>
    <row r="1462" spans="1:17" x14ac:dyDescent="0.2">
      <c r="A1462" t="s">
        <v>1989</v>
      </c>
      <c r="B1462" s="6" t="s">
        <v>1558</v>
      </c>
      <c r="C1462">
        <v>2</v>
      </c>
      <c r="D1462" s="6" t="s">
        <v>1990</v>
      </c>
      <c r="E1462" t="s">
        <v>2041</v>
      </c>
      <c r="F1462" s="6" t="s">
        <v>1538</v>
      </c>
      <c r="H1462">
        <v>8.9999999999999993E-3</v>
      </c>
    </row>
    <row r="1463" spans="1:17" x14ac:dyDescent="0.2">
      <c r="A1463" t="s">
        <v>1989</v>
      </c>
      <c r="B1463" s="6" t="s">
        <v>1558</v>
      </c>
      <c r="C1463">
        <v>2</v>
      </c>
      <c r="D1463" s="6" t="s">
        <v>1990</v>
      </c>
      <c r="E1463" t="s">
        <v>2042</v>
      </c>
      <c r="F1463" s="6" t="s">
        <v>1538</v>
      </c>
      <c r="H1463">
        <v>4.0000000000000001E-3</v>
      </c>
      <c r="Q1463" t="s">
        <v>9345</v>
      </c>
    </row>
    <row r="1464" spans="1:17" x14ac:dyDescent="0.2">
      <c r="A1464" t="s">
        <v>1989</v>
      </c>
      <c r="B1464" s="6" t="s">
        <v>1558</v>
      </c>
      <c r="C1464">
        <v>2</v>
      </c>
      <c r="D1464" s="6" t="s">
        <v>1990</v>
      </c>
      <c r="E1464" t="s">
        <v>2043</v>
      </c>
      <c r="F1464" s="6" t="s">
        <v>1538</v>
      </c>
      <c r="H1464">
        <v>0.188</v>
      </c>
      <c r="M1464">
        <v>5</v>
      </c>
    </row>
    <row r="1465" spans="1:17" x14ac:dyDescent="0.2">
      <c r="A1465" t="s">
        <v>1989</v>
      </c>
      <c r="B1465" s="6" t="s">
        <v>1558</v>
      </c>
      <c r="C1465">
        <v>2</v>
      </c>
      <c r="D1465" s="6" t="s">
        <v>1990</v>
      </c>
      <c r="E1465" t="s">
        <v>2044</v>
      </c>
      <c r="F1465" s="6" t="s">
        <v>1538</v>
      </c>
      <c r="H1465">
        <v>0.752</v>
      </c>
    </row>
    <row r="1466" spans="1:17" x14ac:dyDescent="0.2">
      <c r="A1466" t="s">
        <v>1989</v>
      </c>
      <c r="B1466" s="6" t="s">
        <v>1558</v>
      </c>
      <c r="C1466">
        <v>2</v>
      </c>
      <c r="D1466" s="6" t="s">
        <v>1990</v>
      </c>
      <c r="E1466" t="s">
        <v>2045</v>
      </c>
      <c r="F1466" s="6" t="s">
        <v>1344</v>
      </c>
      <c r="H1466">
        <v>6.4000000000000001E-2</v>
      </c>
    </row>
    <row r="1467" spans="1:17" x14ac:dyDescent="0.2">
      <c r="A1467" t="s">
        <v>1989</v>
      </c>
      <c r="B1467" s="6" t="s">
        <v>1558</v>
      </c>
      <c r="C1467">
        <v>2</v>
      </c>
      <c r="D1467" s="6" t="s">
        <v>1990</v>
      </c>
      <c r="E1467" t="s">
        <v>2046</v>
      </c>
      <c r="F1467" s="6" t="s">
        <v>1581</v>
      </c>
      <c r="H1467">
        <f>4-0.357</f>
        <v>3.6429999999999998</v>
      </c>
      <c r="O1467" t="s">
        <v>2051</v>
      </c>
    </row>
    <row r="1468" spans="1:17" x14ac:dyDescent="0.2">
      <c r="A1468" t="s">
        <v>1989</v>
      </c>
      <c r="B1468" s="6" t="s">
        <v>1558</v>
      </c>
      <c r="C1468">
        <v>2</v>
      </c>
      <c r="D1468" s="6" t="s">
        <v>1990</v>
      </c>
      <c r="E1468" t="s">
        <v>2047</v>
      </c>
      <c r="F1468" t="s">
        <v>9043</v>
      </c>
      <c r="H1468">
        <v>3.0000000000000001E-3</v>
      </c>
      <c r="Q1468" t="s">
        <v>6037</v>
      </c>
    </row>
    <row r="1469" spans="1:17" x14ac:dyDescent="0.2">
      <c r="A1469" t="s">
        <v>1989</v>
      </c>
      <c r="B1469" s="6" t="s">
        <v>1558</v>
      </c>
      <c r="C1469">
        <v>2</v>
      </c>
      <c r="D1469" s="6" t="s">
        <v>1990</v>
      </c>
      <c r="E1469" t="s">
        <v>2048</v>
      </c>
      <c r="F1469" s="6" t="s">
        <v>7138</v>
      </c>
      <c r="H1469">
        <v>0.03</v>
      </c>
      <c r="M1469">
        <v>7</v>
      </c>
      <c r="Q1469" t="s">
        <v>9350</v>
      </c>
    </row>
    <row r="1470" spans="1:17" x14ac:dyDescent="0.2">
      <c r="A1470" t="s">
        <v>1989</v>
      </c>
      <c r="B1470" s="6" t="s">
        <v>1558</v>
      </c>
      <c r="C1470">
        <v>2</v>
      </c>
      <c r="D1470" s="6" t="s">
        <v>1990</v>
      </c>
      <c r="E1470" t="s">
        <v>2053</v>
      </c>
      <c r="F1470" s="6" t="s">
        <v>1538</v>
      </c>
      <c r="G1470" t="s">
        <v>114</v>
      </c>
      <c r="Q1470" t="s">
        <v>9346</v>
      </c>
    </row>
    <row r="1471" spans="1:17" x14ac:dyDescent="0.2">
      <c r="A1471" t="s">
        <v>1989</v>
      </c>
      <c r="B1471" s="6" t="s">
        <v>1558</v>
      </c>
      <c r="C1471">
        <v>2</v>
      </c>
      <c r="D1471" s="6" t="s">
        <v>1990</v>
      </c>
      <c r="E1471" t="s">
        <v>2054</v>
      </c>
      <c r="F1471" s="6" t="s">
        <v>1538</v>
      </c>
      <c r="H1471">
        <v>2E-3</v>
      </c>
      <c r="Q1471" t="s">
        <v>9347</v>
      </c>
    </row>
    <row r="1472" spans="1:17" x14ac:dyDescent="0.2">
      <c r="A1472" t="s">
        <v>1989</v>
      </c>
      <c r="B1472" s="6" t="s">
        <v>1558</v>
      </c>
      <c r="C1472">
        <v>2</v>
      </c>
      <c r="D1472" s="6" t="s">
        <v>1990</v>
      </c>
      <c r="E1472" t="s">
        <v>2055</v>
      </c>
      <c r="F1472" s="6" t="s">
        <v>1538</v>
      </c>
      <c r="H1472">
        <v>2E-3</v>
      </c>
      <c r="Q1472" t="s">
        <v>9351</v>
      </c>
    </row>
    <row r="1473" spans="1:17" x14ac:dyDescent="0.2">
      <c r="A1473" t="s">
        <v>1989</v>
      </c>
      <c r="B1473" s="6" t="s">
        <v>1558</v>
      </c>
      <c r="C1473">
        <v>2</v>
      </c>
      <c r="D1473" s="6" t="s">
        <v>1990</v>
      </c>
      <c r="E1473" t="s">
        <v>2056</v>
      </c>
      <c r="F1473" s="6" t="s">
        <v>1538</v>
      </c>
      <c r="H1473">
        <v>1E-3</v>
      </c>
      <c r="Q1473" t="s">
        <v>9348</v>
      </c>
    </row>
    <row r="1474" spans="1:17" x14ac:dyDescent="0.2">
      <c r="A1474" t="s">
        <v>1989</v>
      </c>
      <c r="B1474" s="6" t="s">
        <v>1558</v>
      </c>
      <c r="C1474">
        <v>2</v>
      </c>
      <c r="D1474" s="6" t="s">
        <v>1990</v>
      </c>
      <c r="E1474" t="s">
        <v>2057</v>
      </c>
      <c r="F1474" s="6" t="s">
        <v>1538</v>
      </c>
      <c r="G1474" t="s">
        <v>114</v>
      </c>
      <c r="Q1474" t="s">
        <v>9349</v>
      </c>
    </row>
    <row r="1475" spans="1:17" x14ac:dyDescent="0.2">
      <c r="A1475" t="s">
        <v>1989</v>
      </c>
      <c r="B1475" s="6" t="s">
        <v>1558</v>
      </c>
      <c r="C1475">
        <v>2</v>
      </c>
      <c r="D1475" s="6" t="s">
        <v>1990</v>
      </c>
      <c r="E1475" t="s">
        <v>2044</v>
      </c>
      <c r="F1475" s="6" t="s">
        <v>1538</v>
      </c>
      <c r="H1475">
        <v>0.70499999999999996</v>
      </c>
    </row>
    <row r="1476" spans="1:17" x14ac:dyDescent="0.2">
      <c r="A1476" t="s">
        <v>1989</v>
      </c>
      <c r="B1476" s="6" t="s">
        <v>1558</v>
      </c>
      <c r="C1476">
        <v>4</v>
      </c>
      <c r="D1476" s="6" t="s">
        <v>1990</v>
      </c>
      <c r="E1476" t="s">
        <v>2058</v>
      </c>
      <c r="F1476" t="s">
        <v>505</v>
      </c>
      <c r="H1476">
        <f>0.49-0.344</f>
        <v>0.14600000000000002</v>
      </c>
      <c r="O1476" t="s">
        <v>2082</v>
      </c>
    </row>
    <row r="1477" spans="1:17" x14ac:dyDescent="0.2">
      <c r="A1477" t="s">
        <v>1989</v>
      </c>
      <c r="B1477" s="6" t="s">
        <v>1558</v>
      </c>
      <c r="C1477">
        <v>4</v>
      </c>
      <c r="D1477" s="6" t="s">
        <v>1990</v>
      </c>
      <c r="E1477" t="s">
        <v>2059</v>
      </c>
      <c r="F1477" t="s">
        <v>2083</v>
      </c>
      <c r="H1477">
        <f>4.3-0.261</f>
        <v>4.0389999999999997</v>
      </c>
      <c r="O1477" t="s">
        <v>2081</v>
      </c>
    </row>
    <row r="1478" spans="1:17" x14ac:dyDescent="0.2">
      <c r="A1478" t="s">
        <v>1989</v>
      </c>
      <c r="B1478" s="6" t="s">
        <v>1558</v>
      </c>
      <c r="C1478">
        <v>4</v>
      </c>
      <c r="D1478" s="6" t="s">
        <v>1990</v>
      </c>
      <c r="E1478" t="s">
        <v>2060</v>
      </c>
      <c r="F1478" t="s">
        <v>1559</v>
      </c>
      <c r="H1478">
        <v>1E-3</v>
      </c>
      <c r="Q1478" t="s">
        <v>9352</v>
      </c>
    </row>
    <row r="1479" spans="1:17" x14ac:dyDescent="0.2">
      <c r="A1479" t="s">
        <v>1989</v>
      </c>
      <c r="B1479" s="6" t="s">
        <v>1558</v>
      </c>
      <c r="C1479">
        <v>4</v>
      </c>
      <c r="D1479" s="6" t="s">
        <v>1990</v>
      </c>
      <c r="E1479" t="s">
        <v>2061</v>
      </c>
      <c r="F1479" t="s">
        <v>1559</v>
      </c>
      <c r="H1479">
        <v>1E-3</v>
      </c>
      <c r="Q1479" t="s">
        <v>9353</v>
      </c>
    </row>
    <row r="1480" spans="1:17" x14ac:dyDescent="0.2">
      <c r="A1480" t="s">
        <v>1989</v>
      </c>
      <c r="B1480" s="6" t="s">
        <v>1558</v>
      </c>
      <c r="C1480">
        <v>4</v>
      </c>
      <c r="D1480" s="6" t="s">
        <v>1990</v>
      </c>
      <c r="E1480" t="s">
        <v>2062</v>
      </c>
      <c r="F1480" t="s">
        <v>1559</v>
      </c>
      <c r="H1480">
        <v>2E-3</v>
      </c>
      <c r="Q1480" t="s">
        <v>9354</v>
      </c>
    </row>
    <row r="1481" spans="1:17" x14ac:dyDescent="0.2">
      <c r="A1481" t="s">
        <v>1989</v>
      </c>
      <c r="B1481" s="6" t="s">
        <v>1558</v>
      </c>
      <c r="C1481">
        <v>4</v>
      </c>
      <c r="D1481" s="6" t="s">
        <v>1990</v>
      </c>
      <c r="E1481" t="s">
        <v>2063</v>
      </c>
      <c r="F1481" t="s">
        <v>1559</v>
      </c>
      <c r="H1481">
        <v>1E-3</v>
      </c>
      <c r="Q1481" t="s">
        <v>9355</v>
      </c>
    </row>
    <row r="1482" spans="1:17" x14ac:dyDescent="0.2">
      <c r="A1482" t="s">
        <v>1989</v>
      </c>
      <c r="B1482" s="6" t="s">
        <v>1558</v>
      </c>
      <c r="C1482">
        <v>4</v>
      </c>
      <c r="D1482" s="6" t="s">
        <v>1990</v>
      </c>
      <c r="E1482" t="s">
        <v>2064</v>
      </c>
      <c r="F1482" t="s">
        <v>1559</v>
      </c>
      <c r="H1482">
        <v>2E-3</v>
      </c>
      <c r="Q1482" t="s">
        <v>9356</v>
      </c>
    </row>
    <row r="1483" spans="1:17" x14ac:dyDescent="0.2">
      <c r="A1483" t="s">
        <v>1989</v>
      </c>
      <c r="B1483" s="6" t="s">
        <v>1558</v>
      </c>
      <c r="C1483">
        <v>4</v>
      </c>
      <c r="D1483" s="6" t="s">
        <v>1990</v>
      </c>
      <c r="E1483" t="s">
        <v>2065</v>
      </c>
      <c r="F1483" t="s">
        <v>1538</v>
      </c>
      <c r="H1483">
        <v>2.1999999999999999E-2</v>
      </c>
      <c r="Q1483" t="s">
        <v>9357</v>
      </c>
    </row>
    <row r="1484" spans="1:17" x14ac:dyDescent="0.2">
      <c r="A1484" t="s">
        <v>1989</v>
      </c>
      <c r="B1484" s="6" t="s">
        <v>1558</v>
      </c>
      <c r="C1484">
        <v>4</v>
      </c>
      <c r="D1484" s="6" t="s">
        <v>1990</v>
      </c>
      <c r="E1484" t="s">
        <v>2066</v>
      </c>
      <c r="F1484" t="s">
        <v>1538</v>
      </c>
      <c r="H1484">
        <v>2E-3</v>
      </c>
      <c r="Q1484" t="s">
        <v>9358</v>
      </c>
    </row>
    <row r="1485" spans="1:17" x14ac:dyDescent="0.2">
      <c r="A1485" t="s">
        <v>1989</v>
      </c>
      <c r="B1485" s="6" t="s">
        <v>1558</v>
      </c>
      <c r="C1485">
        <v>4</v>
      </c>
      <c r="D1485" s="6" t="s">
        <v>1990</v>
      </c>
      <c r="E1485" t="s">
        <v>2067</v>
      </c>
      <c r="F1485" t="s">
        <v>1538</v>
      </c>
      <c r="H1485">
        <v>8.9999999999999993E-3</v>
      </c>
      <c r="Q1485" t="s">
        <v>9359</v>
      </c>
    </row>
    <row r="1486" spans="1:17" x14ac:dyDescent="0.2">
      <c r="A1486" t="s">
        <v>1989</v>
      </c>
      <c r="B1486" s="6" t="s">
        <v>1558</v>
      </c>
      <c r="C1486">
        <v>4</v>
      </c>
      <c r="D1486" s="6" t="s">
        <v>1990</v>
      </c>
      <c r="E1486" t="s">
        <v>2068</v>
      </c>
      <c r="F1486" t="s">
        <v>1538</v>
      </c>
      <c r="H1486">
        <v>6.0000000000000001E-3</v>
      </c>
      <c r="Q1486" t="s">
        <v>9360</v>
      </c>
    </row>
    <row r="1487" spans="1:17" x14ac:dyDescent="0.2">
      <c r="A1487" t="s">
        <v>1989</v>
      </c>
      <c r="B1487" s="6" t="s">
        <v>1558</v>
      </c>
      <c r="C1487">
        <v>4</v>
      </c>
      <c r="D1487" s="6" t="s">
        <v>1990</v>
      </c>
      <c r="E1487" t="s">
        <v>2069</v>
      </c>
      <c r="F1487" t="s">
        <v>1538</v>
      </c>
      <c r="H1487">
        <v>0.01</v>
      </c>
      <c r="Q1487" t="s">
        <v>9361</v>
      </c>
    </row>
    <row r="1488" spans="1:17" x14ac:dyDescent="0.2">
      <c r="A1488" t="s">
        <v>1989</v>
      </c>
      <c r="B1488" s="6" t="s">
        <v>1558</v>
      </c>
      <c r="C1488">
        <v>4</v>
      </c>
      <c r="D1488" s="6" t="s">
        <v>1990</v>
      </c>
      <c r="E1488" t="s">
        <v>2070</v>
      </c>
      <c r="F1488" t="s">
        <v>1538</v>
      </c>
      <c r="H1488">
        <v>4.5999999999999999E-2</v>
      </c>
      <c r="M1488">
        <v>5</v>
      </c>
    </row>
    <row r="1489" spans="1:17" x14ac:dyDescent="0.2">
      <c r="A1489" t="s">
        <v>1989</v>
      </c>
      <c r="B1489" s="6" t="s">
        <v>1558</v>
      </c>
      <c r="C1489">
        <v>4</v>
      </c>
      <c r="D1489" s="6" t="s">
        <v>1990</v>
      </c>
      <c r="E1489" t="s">
        <v>2071</v>
      </c>
      <c r="F1489" t="s">
        <v>1538</v>
      </c>
      <c r="H1489">
        <v>5.8999999999999997E-2</v>
      </c>
    </row>
    <row r="1490" spans="1:17" x14ac:dyDescent="0.2">
      <c r="A1490" t="s">
        <v>1989</v>
      </c>
      <c r="B1490" s="6" t="s">
        <v>1558</v>
      </c>
      <c r="C1490">
        <v>4</v>
      </c>
      <c r="D1490" s="6" t="s">
        <v>1990</v>
      </c>
      <c r="E1490" t="s">
        <v>2072</v>
      </c>
      <c r="F1490" t="s">
        <v>1389</v>
      </c>
      <c r="H1490">
        <v>1.2999999999999999E-2</v>
      </c>
      <c r="Q1490" t="s">
        <v>9362</v>
      </c>
    </row>
    <row r="1491" spans="1:17" x14ac:dyDescent="0.2">
      <c r="A1491" t="s">
        <v>1989</v>
      </c>
      <c r="B1491" s="6" t="s">
        <v>1558</v>
      </c>
      <c r="C1491">
        <v>4</v>
      </c>
      <c r="D1491" s="6" t="s">
        <v>1990</v>
      </c>
      <c r="E1491" t="s">
        <v>2073</v>
      </c>
      <c r="F1491" t="s">
        <v>1389</v>
      </c>
      <c r="H1491">
        <f>0.694-0.41</f>
        <v>0.28399999999999997</v>
      </c>
      <c r="N1491">
        <v>0</v>
      </c>
    </row>
    <row r="1492" spans="1:17" x14ac:dyDescent="0.2">
      <c r="A1492" t="s">
        <v>1989</v>
      </c>
      <c r="B1492" s="6" t="s">
        <v>1558</v>
      </c>
      <c r="C1492">
        <v>4</v>
      </c>
      <c r="D1492" s="6" t="s">
        <v>1990</v>
      </c>
      <c r="E1492" t="s">
        <v>2074</v>
      </c>
      <c r="F1492" t="s">
        <v>1389</v>
      </c>
      <c r="G1492" t="s">
        <v>114</v>
      </c>
      <c r="Q1492" t="s">
        <v>9363</v>
      </c>
    </row>
    <row r="1493" spans="1:17" x14ac:dyDescent="0.2">
      <c r="A1493" t="s">
        <v>1989</v>
      </c>
      <c r="B1493" s="6" t="s">
        <v>1558</v>
      </c>
      <c r="C1493">
        <v>4</v>
      </c>
      <c r="D1493" s="6" t="s">
        <v>1990</v>
      </c>
      <c r="E1493" t="s">
        <v>2075</v>
      </c>
      <c r="F1493" t="s">
        <v>1389</v>
      </c>
      <c r="H1493">
        <v>4.0000000000000001E-3</v>
      </c>
      <c r="Q1493" t="s">
        <v>9364</v>
      </c>
    </row>
    <row r="1494" spans="1:17" x14ac:dyDescent="0.2">
      <c r="A1494" t="s">
        <v>1989</v>
      </c>
      <c r="B1494" s="6" t="s">
        <v>1558</v>
      </c>
      <c r="C1494">
        <v>4</v>
      </c>
      <c r="D1494" s="6" t="s">
        <v>1990</v>
      </c>
      <c r="E1494" t="s">
        <v>2076</v>
      </c>
      <c r="F1494" t="s">
        <v>1389</v>
      </c>
      <c r="H1494">
        <v>6.0000000000000001E-3</v>
      </c>
      <c r="Q1494" t="s">
        <v>9365</v>
      </c>
    </row>
    <row r="1495" spans="1:17" x14ac:dyDescent="0.2">
      <c r="A1495" t="s">
        <v>1989</v>
      </c>
      <c r="B1495" s="6" t="s">
        <v>1558</v>
      </c>
      <c r="C1495">
        <v>4</v>
      </c>
      <c r="D1495" s="6" t="s">
        <v>1990</v>
      </c>
      <c r="E1495" t="s">
        <v>2077</v>
      </c>
      <c r="F1495" t="s">
        <v>1389</v>
      </c>
      <c r="H1495">
        <v>1.4999999999999999E-2</v>
      </c>
      <c r="Q1495" t="s">
        <v>9366</v>
      </c>
    </row>
    <row r="1496" spans="1:17" x14ac:dyDescent="0.2">
      <c r="A1496" t="s">
        <v>1989</v>
      </c>
      <c r="B1496" s="6" t="s">
        <v>1558</v>
      </c>
      <c r="C1496">
        <v>4</v>
      </c>
      <c r="D1496" s="6" t="s">
        <v>1990</v>
      </c>
      <c r="E1496" t="s">
        <v>2078</v>
      </c>
      <c r="F1496" t="s">
        <v>1389</v>
      </c>
      <c r="H1496">
        <v>3.3000000000000002E-2</v>
      </c>
      <c r="M1496">
        <v>5</v>
      </c>
    </row>
    <row r="1497" spans="1:17" x14ac:dyDescent="0.2">
      <c r="A1497" t="s">
        <v>1989</v>
      </c>
      <c r="B1497" s="6" t="s">
        <v>1558</v>
      </c>
      <c r="C1497">
        <v>4</v>
      </c>
      <c r="D1497" s="6" t="s">
        <v>1990</v>
      </c>
      <c r="E1497" t="s">
        <v>2071</v>
      </c>
      <c r="F1497" t="s">
        <v>1389</v>
      </c>
      <c r="H1497">
        <v>0.19500000000000001</v>
      </c>
    </row>
    <row r="1498" spans="1:17" x14ac:dyDescent="0.2">
      <c r="A1498" t="s">
        <v>1989</v>
      </c>
      <c r="B1498" s="6" t="s">
        <v>1558</v>
      </c>
      <c r="C1498">
        <v>4</v>
      </c>
      <c r="D1498" s="6" t="s">
        <v>1990</v>
      </c>
      <c r="E1498" t="s">
        <v>2079</v>
      </c>
      <c r="F1498" t="s">
        <v>9372</v>
      </c>
      <c r="G1498" t="s">
        <v>114</v>
      </c>
      <c r="Q1498" t="s">
        <v>6036</v>
      </c>
    </row>
    <row r="1499" spans="1:17" x14ac:dyDescent="0.2">
      <c r="A1499" t="s">
        <v>1989</v>
      </c>
      <c r="B1499" s="6" t="s">
        <v>1558</v>
      </c>
      <c r="C1499">
        <v>4</v>
      </c>
      <c r="D1499" s="6" t="s">
        <v>1990</v>
      </c>
      <c r="E1499" t="s">
        <v>2080</v>
      </c>
      <c r="F1499" t="s">
        <v>7138</v>
      </c>
      <c r="H1499">
        <v>6.0000000000000001E-3</v>
      </c>
      <c r="Q1499" t="s">
        <v>9371</v>
      </c>
    </row>
    <row r="1500" spans="1:17" x14ac:dyDescent="0.2">
      <c r="A1500" t="s">
        <v>1989</v>
      </c>
      <c r="B1500" s="6" t="s">
        <v>1558</v>
      </c>
      <c r="C1500">
        <v>4</v>
      </c>
      <c r="D1500" s="6" t="s">
        <v>1990</v>
      </c>
      <c r="E1500" t="s">
        <v>2084</v>
      </c>
      <c r="F1500" t="s">
        <v>1425</v>
      </c>
      <c r="H1500">
        <v>1.4999999999999999E-2</v>
      </c>
      <c r="Q1500" t="s">
        <v>9367</v>
      </c>
    </row>
    <row r="1501" spans="1:17" x14ac:dyDescent="0.2">
      <c r="A1501" t="s">
        <v>1989</v>
      </c>
      <c r="B1501" s="6" t="s">
        <v>1558</v>
      </c>
      <c r="C1501">
        <v>4</v>
      </c>
      <c r="D1501" s="6" t="s">
        <v>1990</v>
      </c>
      <c r="E1501" t="s">
        <v>2085</v>
      </c>
      <c r="F1501" t="s">
        <v>1425</v>
      </c>
      <c r="H1501">
        <v>4.0000000000000001E-3</v>
      </c>
      <c r="Q1501" t="s">
        <v>9373</v>
      </c>
    </row>
    <row r="1502" spans="1:17" x14ac:dyDescent="0.2">
      <c r="A1502" t="s">
        <v>1989</v>
      </c>
      <c r="B1502" s="6" t="s">
        <v>1558</v>
      </c>
      <c r="C1502">
        <v>4</v>
      </c>
      <c r="D1502" s="6" t="s">
        <v>1990</v>
      </c>
      <c r="E1502" t="s">
        <v>2086</v>
      </c>
      <c r="F1502" t="s">
        <v>1425</v>
      </c>
      <c r="H1502">
        <v>4.0000000000000001E-3</v>
      </c>
      <c r="Q1502" t="s">
        <v>9368</v>
      </c>
    </row>
    <row r="1503" spans="1:17" x14ac:dyDescent="0.2">
      <c r="A1503" t="s">
        <v>1989</v>
      </c>
      <c r="B1503" s="6" t="s">
        <v>1558</v>
      </c>
      <c r="C1503">
        <v>4</v>
      </c>
      <c r="D1503" s="6" t="s">
        <v>1990</v>
      </c>
      <c r="E1503" t="s">
        <v>2087</v>
      </c>
      <c r="F1503" t="s">
        <v>1425</v>
      </c>
      <c r="H1503">
        <v>5.0000000000000001E-3</v>
      </c>
      <c r="Q1503" t="s">
        <v>9369</v>
      </c>
    </row>
    <row r="1504" spans="1:17" x14ac:dyDescent="0.2">
      <c r="A1504" t="s">
        <v>1989</v>
      </c>
      <c r="B1504" s="6" t="s">
        <v>1558</v>
      </c>
      <c r="C1504">
        <v>4</v>
      </c>
      <c r="D1504" s="6" t="s">
        <v>1990</v>
      </c>
      <c r="E1504" t="s">
        <v>2088</v>
      </c>
      <c r="F1504" t="s">
        <v>1425</v>
      </c>
      <c r="H1504">
        <v>8.0000000000000002E-3</v>
      </c>
      <c r="Q1504" t="s">
        <v>9370</v>
      </c>
    </row>
    <row r="1505" spans="1:17" x14ac:dyDescent="0.2">
      <c r="A1505" t="s">
        <v>1989</v>
      </c>
      <c r="B1505" s="6" t="s">
        <v>1558</v>
      </c>
      <c r="C1505">
        <v>4</v>
      </c>
      <c r="D1505" s="6" t="s">
        <v>1990</v>
      </c>
      <c r="E1505" t="s">
        <v>2089</v>
      </c>
      <c r="F1505" t="s">
        <v>1425</v>
      </c>
      <c r="H1505">
        <v>3.6999999999999998E-2</v>
      </c>
      <c r="M1505">
        <v>5</v>
      </c>
    </row>
    <row r="1506" spans="1:17" x14ac:dyDescent="0.2">
      <c r="A1506" t="s">
        <v>1989</v>
      </c>
      <c r="B1506" s="6" t="s">
        <v>1558</v>
      </c>
      <c r="C1506">
        <v>4</v>
      </c>
      <c r="D1506" s="6" t="s">
        <v>1990</v>
      </c>
      <c r="E1506" t="s">
        <v>2071</v>
      </c>
      <c r="F1506" t="s">
        <v>1425</v>
      </c>
      <c r="H1506">
        <v>0.25700000000000001</v>
      </c>
    </row>
    <row r="1507" spans="1:17" x14ac:dyDescent="0.2">
      <c r="A1507" t="s">
        <v>1989</v>
      </c>
      <c r="B1507" s="6" t="s">
        <v>1558</v>
      </c>
      <c r="C1507">
        <v>3</v>
      </c>
      <c r="D1507" s="6" t="s">
        <v>1990</v>
      </c>
      <c r="E1507" t="s">
        <v>2090</v>
      </c>
      <c r="F1507" t="s">
        <v>505</v>
      </c>
      <c r="H1507">
        <f>1.337-0.357</f>
        <v>0.98</v>
      </c>
      <c r="O1507" t="s">
        <v>2111</v>
      </c>
    </row>
    <row r="1508" spans="1:17" x14ac:dyDescent="0.2">
      <c r="A1508" t="s">
        <v>1989</v>
      </c>
      <c r="B1508" s="6" t="s">
        <v>1558</v>
      </c>
      <c r="C1508">
        <v>3</v>
      </c>
      <c r="D1508" s="6" t="s">
        <v>1990</v>
      </c>
      <c r="E1508" t="s">
        <v>2091</v>
      </c>
      <c r="F1508" t="s">
        <v>504</v>
      </c>
      <c r="H1508">
        <f>10.7-1.8</f>
        <v>8.8999999999999986</v>
      </c>
      <c r="O1508" t="s">
        <v>2112</v>
      </c>
    </row>
    <row r="1509" spans="1:17" x14ac:dyDescent="0.2">
      <c r="A1509" t="s">
        <v>1989</v>
      </c>
      <c r="B1509" s="6" t="s">
        <v>1558</v>
      </c>
      <c r="C1509">
        <v>3</v>
      </c>
      <c r="D1509" s="6" t="s">
        <v>1990</v>
      </c>
      <c r="E1509" t="s">
        <v>2092</v>
      </c>
      <c r="F1509" t="s">
        <v>6231</v>
      </c>
      <c r="H1509">
        <v>2.1999999999999999E-2</v>
      </c>
      <c r="Q1509" t="s">
        <v>9375</v>
      </c>
    </row>
    <row r="1510" spans="1:17" x14ac:dyDescent="0.2">
      <c r="A1510" t="s">
        <v>1989</v>
      </c>
      <c r="B1510" s="6" t="s">
        <v>1558</v>
      </c>
      <c r="C1510">
        <v>3</v>
      </c>
      <c r="D1510" s="6" t="s">
        <v>1990</v>
      </c>
      <c r="E1510" t="s">
        <v>2093</v>
      </c>
      <c r="F1510" t="s">
        <v>6231</v>
      </c>
      <c r="H1510">
        <v>2.1999999999999999E-2</v>
      </c>
      <c r="Q1510" t="s">
        <v>9376</v>
      </c>
    </row>
    <row r="1511" spans="1:17" x14ac:dyDescent="0.2">
      <c r="A1511" t="s">
        <v>1989</v>
      </c>
      <c r="B1511" s="6" t="s">
        <v>1558</v>
      </c>
      <c r="C1511">
        <v>3</v>
      </c>
      <c r="D1511" s="6" t="s">
        <v>1990</v>
      </c>
      <c r="E1511" t="s">
        <v>2094</v>
      </c>
      <c r="F1511" s="6" t="s">
        <v>5930</v>
      </c>
      <c r="H1511">
        <v>1.6E-2</v>
      </c>
      <c r="Q1511" t="s">
        <v>6034</v>
      </c>
    </row>
    <row r="1512" spans="1:17" x14ac:dyDescent="0.2">
      <c r="A1512" t="s">
        <v>1989</v>
      </c>
      <c r="B1512" s="6" t="s">
        <v>1558</v>
      </c>
      <c r="C1512">
        <v>3</v>
      </c>
      <c r="D1512" s="6" t="s">
        <v>1990</v>
      </c>
      <c r="E1512" t="s">
        <v>2095</v>
      </c>
      <c r="F1512" t="s">
        <v>9321</v>
      </c>
      <c r="G1512" t="s">
        <v>114</v>
      </c>
      <c r="Q1512" t="s">
        <v>6035</v>
      </c>
    </row>
    <row r="1513" spans="1:17" x14ac:dyDescent="0.2">
      <c r="A1513" t="s">
        <v>1989</v>
      </c>
      <c r="B1513" s="6" t="s">
        <v>1558</v>
      </c>
      <c r="C1513">
        <v>3</v>
      </c>
      <c r="D1513" s="6" t="s">
        <v>1990</v>
      </c>
      <c r="E1513" t="s">
        <v>2096</v>
      </c>
      <c r="F1513" t="s">
        <v>7138</v>
      </c>
      <c r="H1513">
        <v>0.01</v>
      </c>
      <c r="Q1513" t="s">
        <v>9374</v>
      </c>
    </row>
    <row r="1514" spans="1:17" x14ac:dyDescent="0.2">
      <c r="A1514" t="s">
        <v>1989</v>
      </c>
      <c r="B1514" s="6" t="s">
        <v>1558</v>
      </c>
      <c r="C1514">
        <v>3</v>
      </c>
      <c r="D1514" s="6" t="s">
        <v>1990</v>
      </c>
      <c r="E1514" t="s">
        <v>2097</v>
      </c>
      <c r="F1514" t="s">
        <v>1538</v>
      </c>
      <c r="H1514">
        <v>3.0000000000000001E-3</v>
      </c>
      <c r="Q1514" t="s">
        <v>9377</v>
      </c>
    </row>
    <row r="1515" spans="1:17" x14ac:dyDescent="0.2">
      <c r="A1515" t="s">
        <v>1989</v>
      </c>
      <c r="B1515" s="6" t="s">
        <v>1558</v>
      </c>
      <c r="C1515">
        <v>3</v>
      </c>
      <c r="D1515" s="6" t="s">
        <v>1990</v>
      </c>
      <c r="E1515" t="s">
        <v>2098</v>
      </c>
      <c r="F1515" t="s">
        <v>1538</v>
      </c>
      <c r="H1515">
        <v>4.0000000000000001E-3</v>
      </c>
      <c r="Q1515" t="s">
        <v>9378</v>
      </c>
    </row>
    <row r="1516" spans="1:17" x14ac:dyDescent="0.2">
      <c r="A1516" t="s">
        <v>1989</v>
      </c>
      <c r="B1516" s="6" t="s">
        <v>1558</v>
      </c>
      <c r="C1516">
        <v>3</v>
      </c>
      <c r="D1516" s="6" t="s">
        <v>1990</v>
      </c>
      <c r="E1516" t="s">
        <v>2099</v>
      </c>
      <c r="F1516" t="s">
        <v>1538</v>
      </c>
      <c r="H1516">
        <v>3.0000000000000001E-3</v>
      </c>
      <c r="Q1516" t="s">
        <v>9379</v>
      </c>
    </row>
    <row r="1517" spans="1:17" x14ac:dyDescent="0.2">
      <c r="A1517" t="s">
        <v>1989</v>
      </c>
      <c r="B1517" s="6" t="s">
        <v>1558</v>
      </c>
      <c r="C1517">
        <v>3</v>
      </c>
      <c r="D1517" s="6" t="s">
        <v>1990</v>
      </c>
      <c r="E1517" t="s">
        <v>2100</v>
      </c>
      <c r="F1517" t="s">
        <v>1538</v>
      </c>
      <c r="G1517" t="s">
        <v>114</v>
      </c>
      <c r="Q1517" t="s">
        <v>9380</v>
      </c>
    </row>
    <row r="1518" spans="1:17" x14ac:dyDescent="0.2">
      <c r="A1518" t="s">
        <v>1989</v>
      </c>
      <c r="B1518" s="6" t="s">
        <v>1558</v>
      </c>
      <c r="C1518">
        <v>3</v>
      </c>
      <c r="D1518" s="6" t="s">
        <v>1990</v>
      </c>
      <c r="E1518" t="s">
        <v>2101</v>
      </c>
      <c r="F1518" t="s">
        <v>1538</v>
      </c>
      <c r="H1518">
        <v>1E-3</v>
      </c>
      <c r="Q1518" t="s">
        <v>9381</v>
      </c>
    </row>
    <row r="1519" spans="1:17" x14ac:dyDescent="0.2">
      <c r="A1519" t="s">
        <v>1989</v>
      </c>
      <c r="B1519" s="6" t="s">
        <v>1558</v>
      </c>
      <c r="C1519">
        <v>3</v>
      </c>
      <c r="D1519" s="6" t="s">
        <v>1990</v>
      </c>
      <c r="E1519" t="s">
        <v>2102</v>
      </c>
      <c r="F1519" t="s">
        <v>1538</v>
      </c>
      <c r="H1519">
        <v>7.0000000000000001E-3</v>
      </c>
      <c r="M1519">
        <v>7</v>
      </c>
    </row>
    <row r="1520" spans="1:17" x14ac:dyDescent="0.2">
      <c r="A1520" t="s">
        <v>1989</v>
      </c>
      <c r="B1520" s="6" t="s">
        <v>1558</v>
      </c>
      <c r="C1520">
        <v>3</v>
      </c>
      <c r="D1520" s="6" t="s">
        <v>1990</v>
      </c>
      <c r="E1520" t="s">
        <v>2103</v>
      </c>
      <c r="F1520" t="s">
        <v>1538</v>
      </c>
      <c r="H1520">
        <v>0.02</v>
      </c>
      <c r="Q1520" t="s">
        <v>9382</v>
      </c>
    </row>
    <row r="1521" spans="1:17" x14ac:dyDescent="0.2">
      <c r="A1521" t="s">
        <v>1989</v>
      </c>
      <c r="B1521" s="6" t="s">
        <v>1558</v>
      </c>
      <c r="C1521">
        <v>3</v>
      </c>
      <c r="D1521" s="6" t="s">
        <v>1990</v>
      </c>
      <c r="E1521" t="s">
        <v>2104</v>
      </c>
      <c r="F1521" t="s">
        <v>1538</v>
      </c>
      <c r="H1521">
        <v>1.2E-2</v>
      </c>
      <c r="Q1521" t="s">
        <v>9383</v>
      </c>
    </row>
    <row r="1522" spans="1:17" x14ac:dyDescent="0.2">
      <c r="A1522" t="s">
        <v>1989</v>
      </c>
      <c r="B1522" s="6" t="s">
        <v>1558</v>
      </c>
      <c r="C1522">
        <v>3</v>
      </c>
      <c r="D1522" s="6" t="s">
        <v>1990</v>
      </c>
      <c r="E1522" t="s">
        <v>2105</v>
      </c>
      <c r="F1522" t="s">
        <v>1538</v>
      </c>
      <c r="H1522">
        <v>4.0000000000000001E-3</v>
      </c>
      <c r="Q1522" t="s">
        <v>9385</v>
      </c>
    </row>
    <row r="1523" spans="1:17" x14ac:dyDescent="0.2">
      <c r="A1523" t="s">
        <v>1989</v>
      </c>
      <c r="B1523" s="6" t="s">
        <v>1558</v>
      </c>
      <c r="C1523">
        <v>3</v>
      </c>
      <c r="D1523" s="6" t="s">
        <v>1990</v>
      </c>
      <c r="E1523" t="s">
        <v>2106</v>
      </c>
      <c r="F1523" t="s">
        <v>1538</v>
      </c>
      <c r="H1523">
        <v>6.7000000000000004E-2</v>
      </c>
      <c r="Q1523" t="s">
        <v>9384</v>
      </c>
    </row>
    <row r="1524" spans="1:17" x14ac:dyDescent="0.2">
      <c r="A1524" t="s">
        <v>1989</v>
      </c>
      <c r="B1524" s="6" t="s">
        <v>1558</v>
      </c>
      <c r="C1524">
        <v>3</v>
      </c>
      <c r="D1524" s="6" t="s">
        <v>1990</v>
      </c>
      <c r="E1524" t="s">
        <v>2107</v>
      </c>
      <c r="F1524" t="s">
        <v>1538</v>
      </c>
      <c r="H1524">
        <v>5.6000000000000001E-2</v>
      </c>
      <c r="Q1524" t="s">
        <v>9386</v>
      </c>
    </row>
    <row r="1525" spans="1:17" x14ac:dyDescent="0.2">
      <c r="A1525" t="s">
        <v>1989</v>
      </c>
      <c r="B1525" s="6" t="s">
        <v>1558</v>
      </c>
      <c r="C1525">
        <v>3</v>
      </c>
      <c r="D1525" s="6" t="s">
        <v>1990</v>
      </c>
      <c r="E1525" t="s">
        <v>2108</v>
      </c>
      <c r="F1525" t="s">
        <v>1538</v>
      </c>
      <c r="H1525">
        <v>0.50800000000000001</v>
      </c>
      <c r="M1525">
        <v>5</v>
      </c>
    </row>
    <row r="1526" spans="1:17" x14ac:dyDescent="0.2">
      <c r="A1526" t="s">
        <v>1989</v>
      </c>
      <c r="B1526" s="6" t="s">
        <v>1558</v>
      </c>
      <c r="C1526">
        <v>3</v>
      </c>
      <c r="D1526" s="6" t="s">
        <v>1990</v>
      </c>
      <c r="E1526" t="s">
        <v>2109</v>
      </c>
      <c r="F1526" t="s">
        <v>1538</v>
      </c>
      <c r="H1526">
        <v>0.68100000000000005</v>
      </c>
    </row>
    <row r="1527" spans="1:17" x14ac:dyDescent="0.2">
      <c r="A1527" t="s">
        <v>1989</v>
      </c>
      <c r="B1527" s="6" t="s">
        <v>1558</v>
      </c>
      <c r="C1527">
        <v>3</v>
      </c>
      <c r="D1527" s="6" t="s">
        <v>1990</v>
      </c>
      <c r="E1527" t="s">
        <v>2113</v>
      </c>
      <c r="F1527" s="6" t="s">
        <v>1425</v>
      </c>
      <c r="H1527">
        <v>6.0000000000000001E-3</v>
      </c>
      <c r="Q1527" t="s">
        <v>9389</v>
      </c>
    </row>
    <row r="1528" spans="1:17" x14ac:dyDescent="0.2">
      <c r="A1528" t="s">
        <v>1989</v>
      </c>
      <c r="B1528" s="6" t="s">
        <v>1558</v>
      </c>
      <c r="C1528">
        <v>3</v>
      </c>
      <c r="D1528" s="6" t="s">
        <v>1990</v>
      </c>
      <c r="E1528" t="s">
        <v>2114</v>
      </c>
      <c r="F1528" s="6" t="s">
        <v>1425</v>
      </c>
      <c r="H1528">
        <v>4.0000000000000001E-3</v>
      </c>
      <c r="Q1528" t="s">
        <v>9390</v>
      </c>
    </row>
    <row r="1529" spans="1:17" x14ac:dyDescent="0.2">
      <c r="A1529" t="s">
        <v>1989</v>
      </c>
      <c r="B1529" s="6" t="s">
        <v>1558</v>
      </c>
      <c r="C1529">
        <v>3</v>
      </c>
      <c r="D1529" s="6" t="s">
        <v>1990</v>
      </c>
      <c r="E1529" t="s">
        <v>2115</v>
      </c>
      <c r="F1529" s="6" t="s">
        <v>1425</v>
      </c>
      <c r="H1529">
        <v>1.4E-2</v>
      </c>
      <c r="Q1529" t="s">
        <v>9391</v>
      </c>
    </row>
    <row r="1530" spans="1:17" x14ac:dyDescent="0.2">
      <c r="A1530" t="s">
        <v>1989</v>
      </c>
      <c r="B1530" s="6" t="s">
        <v>1558</v>
      </c>
      <c r="C1530">
        <v>3</v>
      </c>
      <c r="D1530" s="6" t="s">
        <v>1990</v>
      </c>
      <c r="E1530" t="s">
        <v>2116</v>
      </c>
      <c r="F1530" s="6" t="s">
        <v>1425</v>
      </c>
      <c r="H1530">
        <v>2.3E-2</v>
      </c>
      <c r="Q1530" t="s">
        <v>9388</v>
      </c>
    </row>
    <row r="1531" spans="1:17" x14ac:dyDescent="0.2">
      <c r="A1531" t="s">
        <v>1989</v>
      </c>
      <c r="B1531" s="6" t="s">
        <v>1558</v>
      </c>
      <c r="C1531">
        <v>3</v>
      </c>
      <c r="D1531" s="6" t="s">
        <v>1990</v>
      </c>
      <c r="E1531" t="s">
        <v>2117</v>
      </c>
      <c r="F1531" s="6" t="s">
        <v>1425</v>
      </c>
      <c r="H1531">
        <v>2E-3</v>
      </c>
      <c r="O1531" t="s">
        <v>2143</v>
      </c>
      <c r="Q1531" t="s">
        <v>9387</v>
      </c>
    </row>
    <row r="1532" spans="1:17" x14ac:dyDescent="0.2">
      <c r="A1532" t="s">
        <v>1989</v>
      </c>
      <c r="B1532" s="6" t="s">
        <v>1558</v>
      </c>
      <c r="C1532">
        <v>3</v>
      </c>
      <c r="D1532" s="6" t="s">
        <v>1990</v>
      </c>
      <c r="E1532" t="s">
        <v>2118</v>
      </c>
      <c r="F1532" s="6" t="s">
        <v>1425</v>
      </c>
      <c r="H1532">
        <v>2.8000000000000001E-2</v>
      </c>
      <c r="M1532">
        <v>6</v>
      </c>
    </row>
    <row r="1533" spans="1:17" x14ac:dyDescent="0.2">
      <c r="A1533" t="s">
        <v>1989</v>
      </c>
      <c r="B1533" s="6" t="s">
        <v>1558</v>
      </c>
      <c r="C1533">
        <v>3</v>
      </c>
      <c r="D1533" s="6" t="s">
        <v>1990</v>
      </c>
      <c r="E1533" t="s">
        <v>2119</v>
      </c>
      <c r="F1533" s="6" t="s">
        <v>1389</v>
      </c>
      <c r="H1533">
        <v>1.4E-2</v>
      </c>
      <c r="Q1533" t="s">
        <v>9392</v>
      </c>
    </row>
    <row r="1534" spans="1:17" x14ac:dyDescent="0.2">
      <c r="A1534" t="s">
        <v>1989</v>
      </c>
      <c r="B1534" s="6" t="s">
        <v>1558</v>
      </c>
      <c r="C1534">
        <v>3</v>
      </c>
      <c r="D1534" s="6" t="s">
        <v>1990</v>
      </c>
      <c r="E1534" t="s">
        <v>2120</v>
      </c>
      <c r="F1534" s="6" t="s">
        <v>1389</v>
      </c>
      <c r="H1534">
        <v>1.2999999999999999E-2</v>
      </c>
      <c r="Q1534" t="s">
        <v>9393</v>
      </c>
    </row>
    <row r="1535" spans="1:17" x14ac:dyDescent="0.2">
      <c r="A1535" t="s">
        <v>1989</v>
      </c>
      <c r="B1535" s="6" t="s">
        <v>1558</v>
      </c>
      <c r="C1535">
        <v>3</v>
      </c>
      <c r="D1535" s="6" t="s">
        <v>1990</v>
      </c>
      <c r="E1535" t="s">
        <v>2121</v>
      </c>
      <c r="F1535" s="6" t="s">
        <v>1389</v>
      </c>
      <c r="H1535">
        <v>7.0000000000000001E-3</v>
      </c>
      <c r="Q1535" t="s">
        <v>9394</v>
      </c>
    </row>
    <row r="1536" spans="1:17" x14ac:dyDescent="0.2">
      <c r="A1536" t="s">
        <v>1989</v>
      </c>
      <c r="B1536" s="6" t="s">
        <v>1558</v>
      </c>
      <c r="C1536">
        <v>3</v>
      </c>
      <c r="D1536" s="6" t="s">
        <v>1990</v>
      </c>
      <c r="E1536" t="s">
        <v>2122</v>
      </c>
      <c r="F1536" s="6" t="s">
        <v>1389</v>
      </c>
      <c r="H1536">
        <v>8.0000000000000002E-3</v>
      </c>
      <c r="Q1536" t="s">
        <v>9395</v>
      </c>
    </row>
    <row r="1537" spans="1:17" x14ac:dyDescent="0.2">
      <c r="A1537" t="s">
        <v>1989</v>
      </c>
      <c r="B1537" s="6" t="s">
        <v>1558</v>
      </c>
      <c r="C1537">
        <v>3</v>
      </c>
      <c r="D1537" s="6" t="s">
        <v>1990</v>
      </c>
      <c r="E1537" t="s">
        <v>2123</v>
      </c>
      <c r="F1537" s="6" t="s">
        <v>1389</v>
      </c>
      <c r="H1537">
        <v>4.0000000000000001E-3</v>
      </c>
      <c r="O1537" t="s">
        <v>2143</v>
      </c>
      <c r="Q1537" t="s">
        <v>9396</v>
      </c>
    </row>
    <row r="1538" spans="1:17" x14ac:dyDescent="0.2">
      <c r="A1538" t="s">
        <v>1989</v>
      </c>
      <c r="B1538" s="6" t="s">
        <v>1558</v>
      </c>
      <c r="C1538">
        <v>3</v>
      </c>
      <c r="D1538" s="6" t="s">
        <v>1990</v>
      </c>
      <c r="E1538" t="s">
        <v>2124</v>
      </c>
      <c r="F1538" s="6" t="s">
        <v>1559</v>
      </c>
      <c r="H1538">
        <v>2E-3</v>
      </c>
      <c r="Q1538" t="s">
        <v>9397</v>
      </c>
    </row>
    <row r="1539" spans="1:17" x14ac:dyDescent="0.2">
      <c r="A1539" t="s">
        <v>1989</v>
      </c>
      <c r="B1539" s="6" t="s">
        <v>1558</v>
      </c>
      <c r="C1539">
        <v>5</v>
      </c>
      <c r="D1539" s="6" t="s">
        <v>1990</v>
      </c>
      <c r="E1539" t="s">
        <v>2125</v>
      </c>
      <c r="F1539" t="s">
        <v>1389</v>
      </c>
      <c r="H1539">
        <v>1.2999999999999999E-2</v>
      </c>
      <c r="O1539" t="s">
        <v>2175</v>
      </c>
      <c r="Q1539" t="s">
        <v>9398</v>
      </c>
    </row>
    <row r="1540" spans="1:17" x14ac:dyDescent="0.2">
      <c r="A1540" t="s">
        <v>1989</v>
      </c>
      <c r="B1540" s="6" t="s">
        <v>1558</v>
      </c>
      <c r="C1540">
        <v>5</v>
      </c>
      <c r="D1540" s="6" t="s">
        <v>1990</v>
      </c>
      <c r="E1540" t="s">
        <v>2126</v>
      </c>
      <c r="F1540" t="s">
        <v>1389</v>
      </c>
      <c r="H1540">
        <v>1.4E-2</v>
      </c>
      <c r="O1540" t="s">
        <v>2175</v>
      </c>
      <c r="Q1540" t="s">
        <v>9399</v>
      </c>
    </row>
    <row r="1541" spans="1:17" x14ac:dyDescent="0.2">
      <c r="A1541" t="s">
        <v>1989</v>
      </c>
      <c r="B1541" s="6" t="s">
        <v>1558</v>
      </c>
      <c r="C1541">
        <v>5</v>
      </c>
      <c r="D1541" s="6" t="s">
        <v>1990</v>
      </c>
      <c r="E1541" t="s">
        <v>2127</v>
      </c>
      <c r="F1541" t="s">
        <v>1389</v>
      </c>
      <c r="H1541">
        <v>4.0000000000000001E-3</v>
      </c>
      <c r="O1541" t="s">
        <v>2175</v>
      </c>
      <c r="Q1541" t="s">
        <v>9400</v>
      </c>
    </row>
    <row r="1542" spans="1:17" x14ac:dyDescent="0.2">
      <c r="A1542" t="s">
        <v>1989</v>
      </c>
      <c r="B1542" s="6" t="s">
        <v>1558</v>
      </c>
      <c r="C1542">
        <v>5</v>
      </c>
      <c r="D1542" s="6" t="s">
        <v>1990</v>
      </c>
      <c r="E1542" t="s">
        <v>2128</v>
      </c>
      <c r="F1542" t="s">
        <v>1389</v>
      </c>
      <c r="H1542">
        <v>6.0000000000000001E-3</v>
      </c>
      <c r="O1542" t="s">
        <v>2175</v>
      </c>
      <c r="Q1542" t="s">
        <v>9401</v>
      </c>
    </row>
    <row r="1543" spans="1:17" x14ac:dyDescent="0.2">
      <c r="A1543" t="s">
        <v>1989</v>
      </c>
      <c r="B1543" s="6" t="s">
        <v>1558</v>
      </c>
      <c r="C1543">
        <v>5</v>
      </c>
      <c r="D1543" s="6" t="s">
        <v>1990</v>
      </c>
      <c r="E1543" t="s">
        <v>2129</v>
      </c>
      <c r="F1543" t="s">
        <v>1389</v>
      </c>
      <c r="H1543">
        <v>8.0000000000000002E-3</v>
      </c>
      <c r="O1543" t="s">
        <v>2175</v>
      </c>
      <c r="Q1543" t="s">
        <v>9402</v>
      </c>
    </row>
    <row r="1544" spans="1:17" x14ac:dyDescent="0.2">
      <c r="A1544" t="s">
        <v>1989</v>
      </c>
      <c r="B1544" s="6" t="s">
        <v>1558</v>
      </c>
      <c r="C1544">
        <v>5</v>
      </c>
      <c r="D1544" s="6" t="s">
        <v>1990</v>
      </c>
      <c r="E1544" t="s">
        <v>2131</v>
      </c>
      <c r="F1544" t="s">
        <v>1389</v>
      </c>
      <c r="H1544">
        <v>4.2000000000000003E-2</v>
      </c>
      <c r="M1544">
        <v>5</v>
      </c>
      <c r="O1544" t="s">
        <v>2175</v>
      </c>
    </row>
    <row r="1545" spans="1:17" x14ac:dyDescent="0.2">
      <c r="A1545" t="s">
        <v>1989</v>
      </c>
      <c r="B1545" s="6" t="s">
        <v>1558</v>
      </c>
      <c r="C1545">
        <v>5</v>
      </c>
      <c r="D1545" s="6" t="s">
        <v>1990</v>
      </c>
      <c r="E1545" t="s">
        <v>2133</v>
      </c>
      <c r="F1545" t="s">
        <v>1389</v>
      </c>
      <c r="H1545">
        <v>0.77</v>
      </c>
      <c r="O1545" t="s">
        <v>2174</v>
      </c>
    </row>
    <row r="1546" spans="1:17" x14ac:dyDescent="0.2">
      <c r="A1546" t="s">
        <v>1989</v>
      </c>
      <c r="B1546" s="6" t="s">
        <v>1558</v>
      </c>
      <c r="C1546">
        <v>5</v>
      </c>
      <c r="D1546" s="6" t="s">
        <v>1990</v>
      </c>
      <c r="E1546" t="s">
        <v>2134</v>
      </c>
      <c r="F1546" t="s">
        <v>1425</v>
      </c>
      <c r="H1546">
        <v>8.9999999999999993E-3</v>
      </c>
      <c r="O1546" t="s">
        <v>2174</v>
      </c>
      <c r="Q1546" t="s">
        <v>9403</v>
      </c>
    </row>
    <row r="1547" spans="1:17" x14ac:dyDescent="0.2">
      <c r="A1547" t="s">
        <v>1989</v>
      </c>
      <c r="B1547" s="6" t="s">
        <v>1558</v>
      </c>
      <c r="C1547">
        <v>5</v>
      </c>
      <c r="D1547" s="6" t="s">
        <v>1990</v>
      </c>
      <c r="E1547" t="s">
        <v>2135</v>
      </c>
      <c r="F1547" t="s">
        <v>1425</v>
      </c>
      <c r="H1547">
        <v>6.0000000000000001E-3</v>
      </c>
      <c r="O1547" t="s">
        <v>2174</v>
      </c>
      <c r="Q1547" t="s">
        <v>9404</v>
      </c>
    </row>
    <row r="1548" spans="1:17" x14ac:dyDescent="0.2">
      <c r="A1548" t="s">
        <v>1989</v>
      </c>
      <c r="B1548" s="6" t="s">
        <v>1558</v>
      </c>
      <c r="C1548">
        <v>5</v>
      </c>
      <c r="D1548" s="6" t="s">
        <v>1990</v>
      </c>
      <c r="E1548" t="s">
        <v>2136</v>
      </c>
      <c r="F1548" t="s">
        <v>1425</v>
      </c>
      <c r="H1548">
        <v>1.4E-2</v>
      </c>
      <c r="O1548" t="s">
        <v>2174</v>
      </c>
      <c r="Q1548" t="s">
        <v>9407</v>
      </c>
    </row>
    <row r="1549" spans="1:17" x14ac:dyDescent="0.2">
      <c r="A1549" t="s">
        <v>1989</v>
      </c>
      <c r="B1549" s="6" t="s">
        <v>1558</v>
      </c>
      <c r="C1549">
        <v>5</v>
      </c>
      <c r="D1549" s="6" t="s">
        <v>1990</v>
      </c>
      <c r="E1549" t="s">
        <v>2130</v>
      </c>
      <c r="F1549" t="s">
        <v>1425</v>
      </c>
      <c r="H1549">
        <v>3.2000000000000001E-2</v>
      </c>
      <c r="O1549" t="s">
        <v>2175</v>
      </c>
      <c r="Q1549" t="s">
        <v>9405</v>
      </c>
    </row>
    <row r="1550" spans="1:17" x14ac:dyDescent="0.2">
      <c r="A1550" t="s">
        <v>1989</v>
      </c>
      <c r="B1550" s="6" t="s">
        <v>1558</v>
      </c>
      <c r="C1550">
        <v>5</v>
      </c>
      <c r="D1550" s="6" t="s">
        <v>1990</v>
      </c>
      <c r="E1550" t="s">
        <v>2138</v>
      </c>
      <c r="F1550" t="s">
        <v>1425</v>
      </c>
      <c r="H1550">
        <v>3.0000000000000001E-3</v>
      </c>
      <c r="O1550" t="s">
        <v>2174</v>
      </c>
      <c r="Q1550" t="s">
        <v>9406</v>
      </c>
    </row>
    <row r="1551" spans="1:17" x14ac:dyDescent="0.2">
      <c r="A1551" t="s">
        <v>1989</v>
      </c>
      <c r="B1551" s="6" t="s">
        <v>1558</v>
      </c>
      <c r="C1551">
        <v>5</v>
      </c>
      <c r="D1551" s="6" t="s">
        <v>1990</v>
      </c>
      <c r="E1551" t="s">
        <v>2137</v>
      </c>
      <c r="F1551" t="s">
        <v>1425</v>
      </c>
      <c r="H1551">
        <v>5.7000000000000002E-2</v>
      </c>
      <c r="M1551">
        <v>5</v>
      </c>
      <c r="O1551" t="s">
        <v>2174</v>
      </c>
    </row>
    <row r="1552" spans="1:17" x14ac:dyDescent="0.2">
      <c r="A1552" t="s">
        <v>1989</v>
      </c>
      <c r="B1552" s="6" t="s">
        <v>1558</v>
      </c>
      <c r="C1552">
        <v>5</v>
      </c>
      <c r="D1552" s="6" t="s">
        <v>1990</v>
      </c>
      <c r="E1552" t="s">
        <v>2133</v>
      </c>
      <c r="F1552" t="s">
        <v>1425</v>
      </c>
      <c r="H1552">
        <v>0.33</v>
      </c>
      <c r="O1552" t="s">
        <v>2174</v>
      </c>
    </row>
    <row r="1553" spans="1:17" x14ac:dyDescent="0.2">
      <c r="A1553" t="s">
        <v>1989</v>
      </c>
      <c r="B1553" s="6" t="s">
        <v>1558</v>
      </c>
      <c r="C1553">
        <v>5</v>
      </c>
      <c r="D1553" s="6" t="s">
        <v>1990</v>
      </c>
      <c r="E1553" t="s">
        <v>2132</v>
      </c>
      <c r="F1553" t="s">
        <v>1538</v>
      </c>
      <c r="H1553">
        <v>2.5000000000000001E-2</v>
      </c>
      <c r="O1553" t="s">
        <v>2174</v>
      </c>
      <c r="Q1553" t="s">
        <v>9408</v>
      </c>
    </row>
    <row r="1554" spans="1:17" x14ac:dyDescent="0.2">
      <c r="A1554" t="s">
        <v>1989</v>
      </c>
      <c r="B1554" s="6" t="s">
        <v>1558</v>
      </c>
      <c r="C1554">
        <v>5</v>
      </c>
      <c r="D1554" s="6" t="s">
        <v>1990</v>
      </c>
      <c r="E1554" t="s">
        <v>2139</v>
      </c>
      <c r="F1554" t="s">
        <v>1538</v>
      </c>
      <c r="H1554">
        <v>0.02</v>
      </c>
      <c r="O1554" t="s">
        <v>2174</v>
      </c>
      <c r="Q1554" t="s">
        <v>9409</v>
      </c>
    </row>
    <row r="1555" spans="1:17" x14ac:dyDescent="0.2">
      <c r="A1555" t="s">
        <v>1989</v>
      </c>
      <c r="B1555" s="6" t="s">
        <v>1558</v>
      </c>
      <c r="C1555">
        <v>5</v>
      </c>
      <c r="D1555" s="6" t="s">
        <v>1990</v>
      </c>
      <c r="E1555" t="s">
        <v>2140</v>
      </c>
      <c r="F1555" t="s">
        <v>1538</v>
      </c>
      <c r="H1555">
        <v>2.4E-2</v>
      </c>
      <c r="O1555" t="s">
        <v>2174</v>
      </c>
      <c r="Q1555" t="s">
        <v>9410</v>
      </c>
    </row>
    <row r="1556" spans="1:17" x14ac:dyDescent="0.2">
      <c r="A1556" t="s">
        <v>1989</v>
      </c>
      <c r="B1556" s="6" t="s">
        <v>1558</v>
      </c>
      <c r="C1556">
        <v>5</v>
      </c>
      <c r="D1556" s="6" t="s">
        <v>1990</v>
      </c>
      <c r="E1556" t="s">
        <v>2141</v>
      </c>
      <c r="F1556" t="s">
        <v>1538</v>
      </c>
      <c r="H1556">
        <v>1.4999999999999999E-2</v>
      </c>
      <c r="O1556" t="s">
        <v>2174</v>
      </c>
      <c r="Q1556" t="s">
        <v>9411</v>
      </c>
    </row>
    <row r="1557" spans="1:17" x14ac:dyDescent="0.2">
      <c r="A1557" t="s">
        <v>1989</v>
      </c>
      <c r="B1557" s="6" t="s">
        <v>1558</v>
      </c>
      <c r="C1557">
        <v>5</v>
      </c>
      <c r="D1557" s="6" t="s">
        <v>1990</v>
      </c>
      <c r="E1557" t="s">
        <v>2142</v>
      </c>
      <c r="F1557" t="s">
        <v>1538</v>
      </c>
      <c r="H1557">
        <v>6.0000000000000001E-3</v>
      </c>
      <c r="O1557" t="s">
        <v>2174</v>
      </c>
      <c r="Q1557" t="s">
        <v>9412</v>
      </c>
    </row>
    <row r="1558" spans="1:17" x14ac:dyDescent="0.2">
      <c r="A1558" t="s">
        <v>1989</v>
      </c>
      <c r="B1558" s="6" t="s">
        <v>1558</v>
      </c>
      <c r="C1558">
        <v>5</v>
      </c>
      <c r="D1558" s="6" t="s">
        <v>1990</v>
      </c>
      <c r="E1558" t="s">
        <v>2152</v>
      </c>
      <c r="F1558" t="s">
        <v>1538</v>
      </c>
      <c r="H1558">
        <v>6.8000000000000005E-2</v>
      </c>
      <c r="O1558" t="s">
        <v>2174</v>
      </c>
    </row>
    <row r="1559" spans="1:17" x14ac:dyDescent="0.2">
      <c r="A1559" t="s">
        <v>1989</v>
      </c>
      <c r="B1559" s="6" t="s">
        <v>1558</v>
      </c>
      <c r="C1559">
        <v>5</v>
      </c>
      <c r="D1559" s="6" t="s">
        <v>1990</v>
      </c>
      <c r="E1559" t="s">
        <v>2144</v>
      </c>
      <c r="F1559" t="s">
        <v>6862</v>
      </c>
      <c r="H1559">
        <v>8.9999999999999993E-3</v>
      </c>
      <c r="O1559" t="s">
        <v>2174</v>
      </c>
      <c r="Q1559" t="s">
        <v>6033</v>
      </c>
    </row>
    <row r="1560" spans="1:17" x14ac:dyDescent="0.2">
      <c r="A1560" t="s">
        <v>1989</v>
      </c>
      <c r="B1560" s="6" t="s">
        <v>1558</v>
      </c>
      <c r="C1560">
        <v>5</v>
      </c>
      <c r="D1560" s="6" t="s">
        <v>1990</v>
      </c>
      <c r="E1560" t="s">
        <v>2149</v>
      </c>
      <c r="F1560" t="s">
        <v>6862</v>
      </c>
      <c r="H1560">
        <v>3.0000000000000001E-3</v>
      </c>
      <c r="O1560" t="s">
        <v>2174</v>
      </c>
      <c r="Q1560" t="s">
        <v>6031</v>
      </c>
    </row>
    <row r="1561" spans="1:17" x14ac:dyDescent="0.2">
      <c r="A1561" t="s">
        <v>1989</v>
      </c>
      <c r="B1561" s="6" t="s">
        <v>1558</v>
      </c>
      <c r="C1561">
        <v>5</v>
      </c>
      <c r="D1561" s="6" t="s">
        <v>1990</v>
      </c>
      <c r="E1561" t="s">
        <v>2151</v>
      </c>
      <c r="F1561" t="s">
        <v>6862</v>
      </c>
      <c r="H1561">
        <v>2E-3</v>
      </c>
      <c r="O1561" t="s">
        <v>2174</v>
      </c>
      <c r="Q1561" t="s">
        <v>6030</v>
      </c>
    </row>
    <row r="1562" spans="1:17" x14ac:dyDescent="0.2">
      <c r="A1562" t="s">
        <v>1989</v>
      </c>
      <c r="B1562" s="6" t="s">
        <v>1558</v>
      </c>
      <c r="C1562">
        <v>5</v>
      </c>
      <c r="D1562" s="6" t="s">
        <v>1990</v>
      </c>
      <c r="E1562" t="s">
        <v>2150</v>
      </c>
      <c r="F1562" t="s">
        <v>6862</v>
      </c>
      <c r="G1562" t="s">
        <v>114</v>
      </c>
      <c r="O1562" t="s">
        <v>2174</v>
      </c>
      <c r="Q1562" t="s">
        <v>6029</v>
      </c>
    </row>
    <row r="1563" spans="1:17" x14ac:dyDescent="0.2">
      <c r="A1563" t="s">
        <v>1989</v>
      </c>
      <c r="B1563" s="6" t="s">
        <v>1558</v>
      </c>
      <c r="C1563">
        <v>5</v>
      </c>
      <c r="D1563" s="6" t="s">
        <v>1990</v>
      </c>
      <c r="E1563" t="s">
        <v>2148</v>
      </c>
      <c r="F1563" t="s">
        <v>6862</v>
      </c>
      <c r="H1563">
        <v>1E-3</v>
      </c>
      <c r="O1563" t="s">
        <v>2174</v>
      </c>
      <c r="Q1563" t="s">
        <v>6032</v>
      </c>
    </row>
    <row r="1564" spans="1:17" x14ac:dyDescent="0.2">
      <c r="A1564" t="s">
        <v>1989</v>
      </c>
      <c r="B1564" s="6" t="s">
        <v>1558</v>
      </c>
      <c r="C1564">
        <v>5</v>
      </c>
      <c r="D1564" s="6" t="s">
        <v>1990</v>
      </c>
      <c r="E1564" t="s">
        <v>2153</v>
      </c>
      <c r="F1564" t="s">
        <v>6862</v>
      </c>
      <c r="H1564">
        <v>1.4999999999999999E-2</v>
      </c>
      <c r="M1564">
        <v>5</v>
      </c>
      <c r="O1564" t="s">
        <v>2174</v>
      </c>
    </row>
    <row r="1565" spans="1:17" x14ac:dyDescent="0.2">
      <c r="A1565" t="s">
        <v>1989</v>
      </c>
      <c r="B1565" s="6" t="s">
        <v>1558</v>
      </c>
      <c r="C1565">
        <v>5</v>
      </c>
      <c r="D1565" s="6" t="s">
        <v>1990</v>
      </c>
      <c r="E1565" t="s">
        <v>2147</v>
      </c>
      <c r="F1565" t="s">
        <v>1559</v>
      </c>
      <c r="H1565">
        <v>2E-3</v>
      </c>
      <c r="O1565" t="s">
        <v>2174</v>
      </c>
      <c r="Q1565" t="s">
        <v>9415</v>
      </c>
    </row>
    <row r="1566" spans="1:17" x14ac:dyDescent="0.2">
      <c r="A1566" t="s">
        <v>1989</v>
      </c>
      <c r="B1566" s="6" t="s">
        <v>1558</v>
      </c>
      <c r="C1566">
        <v>5</v>
      </c>
      <c r="D1566" s="6" t="s">
        <v>1990</v>
      </c>
      <c r="E1566" t="s">
        <v>2146</v>
      </c>
      <c r="F1566" t="s">
        <v>1559</v>
      </c>
      <c r="H1566">
        <v>2E-3</v>
      </c>
      <c r="O1566" t="s">
        <v>2174</v>
      </c>
      <c r="Q1566" t="s">
        <v>9414</v>
      </c>
    </row>
    <row r="1567" spans="1:17" x14ac:dyDescent="0.2">
      <c r="A1567" t="s">
        <v>1989</v>
      </c>
      <c r="B1567" s="6" t="s">
        <v>1558</v>
      </c>
      <c r="C1567">
        <v>5</v>
      </c>
      <c r="D1567" s="6" t="s">
        <v>1990</v>
      </c>
      <c r="E1567" t="s">
        <v>2145</v>
      </c>
      <c r="F1567" t="s">
        <v>1559</v>
      </c>
      <c r="H1567">
        <v>1E-3</v>
      </c>
      <c r="O1567" t="s">
        <v>2174</v>
      </c>
      <c r="Q1567" t="s">
        <v>9413</v>
      </c>
    </row>
    <row r="1568" spans="1:17" x14ac:dyDescent="0.2">
      <c r="A1568" t="s">
        <v>1989</v>
      </c>
      <c r="B1568" s="6" t="s">
        <v>1558</v>
      </c>
      <c r="C1568">
        <v>5</v>
      </c>
      <c r="D1568" s="6" t="s">
        <v>1990</v>
      </c>
      <c r="E1568" t="s">
        <v>2166</v>
      </c>
      <c r="F1568" t="s">
        <v>547</v>
      </c>
      <c r="G1568" t="s">
        <v>114</v>
      </c>
      <c r="O1568" t="s">
        <v>2174</v>
      </c>
    </row>
    <row r="1569" spans="1:17" x14ac:dyDescent="0.2">
      <c r="A1569" t="s">
        <v>1989</v>
      </c>
      <c r="B1569" s="6" t="s">
        <v>1558</v>
      </c>
      <c r="C1569">
        <v>5</v>
      </c>
      <c r="D1569" s="6" t="s">
        <v>1990</v>
      </c>
      <c r="E1569" t="s">
        <v>2154</v>
      </c>
      <c r="F1569" s="6" t="s">
        <v>9417</v>
      </c>
      <c r="H1569">
        <f>0.445-0.424</f>
        <v>2.1000000000000019E-2</v>
      </c>
      <c r="O1569" t="s">
        <v>2174</v>
      </c>
      <c r="Q1569" t="s">
        <v>9416</v>
      </c>
    </row>
    <row r="1570" spans="1:17" x14ac:dyDescent="0.2">
      <c r="A1570" t="s">
        <v>1989</v>
      </c>
      <c r="B1570" s="6" t="s">
        <v>1558</v>
      </c>
      <c r="C1570">
        <v>5</v>
      </c>
      <c r="D1570" s="6" t="s">
        <v>1990</v>
      </c>
      <c r="E1570" t="s">
        <v>2161</v>
      </c>
      <c r="F1570" t="s">
        <v>1538</v>
      </c>
      <c r="H1570">
        <v>3.0000000000000001E-3</v>
      </c>
      <c r="O1570" t="s">
        <v>2174</v>
      </c>
      <c r="Q1570" t="s">
        <v>9426</v>
      </c>
    </row>
    <row r="1571" spans="1:17" x14ac:dyDescent="0.2">
      <c r="A1571" t="s">
        <v>1989</v>
      </c>
      <c r="B1571" s="6" t="s">
        <v>1558</v>
      </c>
      <c r="C1571">
        <v>5</v>
      </c>
      <c r="D1571" s="6" t="s">
        <v>1990</v>
      </c>
      <c r="E1571" t="s">
        <v>2160</v>
      </c>
      <c r="F1571" t="s">
        <v>1538</v>
      </c>
      <c r="H1571">
        <v>2E-3</v>
      </c>
      <c r="O1571" t="s">
        <v>2174</v>
      </c>
      <c r="Q1571" t="s">
        <v>9425</v>
      </c>
    </row>
    <row r="1572" spans="1:17" x14ac:dyDescent="0.2">
      <c r="A1572" t="s">
        <v>1989</v>
      </c>
      <c r="B1572" s="6" t="s">
        <v>1558</v>
      </c>
      <c r="C1572">
        <v>5</v>
      </c>
      <c r="D1572" s="6" t="s">
        <v>1990</v>
      </c>
      <c r="E1572" t="s">
        <v>2162</v>
      </c>
      <c r="F1572" t="s">
        <v>1538</v>
      </c>
      <c r="H1572">
        <v>1E-3</v>
      </c>
      <c r="O1572" t="s">
        <v>2174</v>
      </c>
      <c r="Q1572" t="s">
        <v>9427</v>
      </c>
    </row>
    <row r="1573" spans="1:17" x14ac:dyDescent="0.2">
      <c r="A1573" t="s">
        <v>1989</v>
      </c>
      <c r="B1573" s="6" t="s">
        <v>1558</v>
      </c>
      <c r="C1573">
        <v>5</v>
      </c>
      <c r="D1573" s="6" t="s">
        <v>1990</v>
      </c>
      <c r="E1573" t="s">
        <v>2158</v>
      </c>
      <c r="F1573" t="s">
        <v>1538</v>
      </c>
      <c r="G1573" t="s">
        <v>114</v>
      </c>
      <c r="O1573" t="s">
        <v>2174</v>
      </c>
      <c r="Q1573" t="s">
        <v>9423</v>
      </c>
    </row>
    <row r="1574" spans="1:17" x14ac:dyDescent="0.2">
      <c r="A1574" t="s">
        <v>1989</v>
      </c>
      <c r="B1574" s="6" t="s">
        <v>1558</v>
      </c>
      <c r="C1574">
        <v>5</v>
      </c>
      <c r="D1574" s="6" t="s">
        <v>1990</v>
      </c>
      <c r="E1574" t="s">
        <v>2163</v>
      </c>
      <c r="F1574" t="s">
        <v>547</v>
      </c>
      <c r="H1574">
        <v>2E-3</v>
      </c>
      <c r="O1574" t="s">
        <v>2174</v>
      </c>
    </row>
    <row r="1575" spans="1:17" x14ac:dyDescent="0.2">
      <c r="A1575" t="s">
        <v>1989</v>
      </c>
      <c r="B1575" s="6" t="s">
        <v>1558</v>
      </c>
      <c r="C1575">
        <v>5</v>
      </c>
      <c r="D1575" s="6" t="s">
        <v>1990</v>
      </c>
      <c r="E1575" t="s">
        <v>2156</v>
      </c>
      <c r="F1575" t="s">
        <v>1425</v>
      </c>
      <c r="H1575">
        <v>5.0000000000000001E-3</v>
      </c>
      <c r="O1575" t="s">
        <v>2174</v>
      </c>
      <c r="Q1575" t="s">
        <v>9421</v>
      </c>
    </row>
    <row r="1576" spans="1:17" x14ac:dyDescent="0.2">
      <c r="A1576" t="s">
        <v>1989</v>
      </c>
      <c r="B1576" s="6" t="s">
        <v>1558</v>
      </c>
      <c r="C1576">
        <v>5</v>
      </c>
      <c r="D1576" s="6" t="s">
        <v>1990</v>
      </c>
      <c r="E1576" t="s">
        <v>2157</v>
      </c>
      <c r="F1576" t="s">
        <v>1425</v>
      </c>
      <c r="H1576">
        <v>3.0000000000000001E-3</v>
      </c>
      <c r="O1576" t="s">
        <v>2174</v>
      </c>
      <c r="Q1576" t="s">
        <v>9422</v>
      </c>
    </row>
    <row r="1577" spans="1:17" x14ac:dyDescent="0.2">
      <c r="A1577" t="s">
        <v>1989</v>
      </c>
      <c r="B1577" s="6" t="s">
        <v>1558</v>
      </c>
      <c r="C1577">
        <v>5</v>
      </c>
      <c r="D1577" s="6" t="s">
        <v>1990</v>
      </c>
      <c r="E1577" t="s">
        <v>2155</v>
      </c>
      <c r="F1577" t="s">
        <v>6674</v>
      </c>
      <c r="H1577">
        <v>1.6E-2</v>
      </c>
      <c r="O1577" t="s">
        <v>2174</v>
      </c>
      <c r="Q1577" t="s">
        <v>9420</v>
      </c>
    </row>
    <row r="1578" spans="1:17" x14ac:dyDescent="0.2">
      <c r="A1578" t="s">
        <v>1989</v>
      </c>
      <c r="B1578" s="6" t="s">
        <v>1558</v>
      </c>
      <c r="C1578">
        <v>5</v>
      </c>
      <c r="D1578" s="6" t="s">
        <v>1990</v>
      </c>
      <c r="E1578" t="s">
        <v>2170</v>
      </c>
      <c r="F1578" t="s">
        <v>2172</v>
      </c>
      <c r="H1578">
        <v>1E-3</v>
      </c>
      <c r="O1578" t="s">
        <v>2174</v>
      </c>
    </row>
    <row r="1579" spans="1:17" x14ac:dyDescent="0.2">
      <c r="A1579" t="s">
        <v>1989</v>
      </c>
      <c r="B1579" s="6" t="s">
        <v>1558</v>
      </c>
      <c r="C1579">
        <v>5</v>
      </c>
      <c r="D1579" s="6" t="s">
        <v>1990</v>
      </c>
      <c r="E1579" t="s">
        <v>2159</v>
      </c>
      <c r="F1579" t="s">
        <v>6239</v>
      </c>
      <c r="H1579">
        <v>1E-3</v>
      </c>
      <c r="O1579" t="s">
        <v>2174</v>
      </c>
      <c r="Q1579" t="s">
        <v>9424</v>
      </c>
    </row>
    <row r="1580" spans="1:17" x14ac:dyDescent="0.2">
      <c r="A1580" t="s">
        <v>1989</v>
      </c>
      <c r="B1580" s="6" t="s">
        <v>1558</v>
      </c>
      <c r="C1580">
        <v>5</v>
      </c>
      <c r="D1580" s="6" t="s">
        <v>1990</v>
      </c>
      <c r="E1580" t="s">
        <v>2167</v>
      </c>
      <c r="F1580" t="s">
        <v>2172</v>
      </c>
      <c r="H1580">
        <v>2E-3</v>
      </c>
      <c r="O1580" t="s">
        <v>2174</v>
      </c>
    </row>
    <row r="1581" spans="1:17" x14ac:dyDescent="0.2">
      <c r="A1581" t="s">
        <v>1989</v>
      </c>
      <c r="B1581" s="6" t="s">
        <v>1558</v>
      </c>
      <c r="C1581">
        <v>5</v>
      </c>
      <c r="D1581" s="6" t="s">
        <v>1990</v>
      </c>
      <c r="E1581" t="s">
        <v>2169</v>
      </c>
      <c r="F1581" t="s">
        <v>2172</v>
      </c>
      <c r="H1581">
        <v>1E-3</v>
      </c>
      <c r="O1581" t="s">
        <v>2174</v>
      </c>
    </row>
    <row r="1582" spans="1:17" x14ac:dyDescent="0.2">
      <c r="A1582" t="s">
        <v>1989</v>
      </c>
      <c r="B1582" s="6" t="s">
        <v>1558</v>
      </c>
      <c r="C1582">
        <v>5</v>
      </c>
      <c r="D1582" s="6" t="s">
        <v>1990</v>
      </c>
      <c r="E1582" t="s">
        <v>2168</v>
      </c>
      <c r="F1582" t="s">
        <v>2172</v>
      </c>
      <c r="H1582">
        <v>1E-3</v>
      </c>
      <c r="O1582" t="s">
        <v>2174</v>
      </c>
    </row>
    <row r="1583" spans="1:17" x14ac:dyDescent="0.2">
      <c r="A1583" t="s">
        <v>1989</v>
      </c>
      <c r="B1583" s="6" t="s">
        <v>1558</v>
      </c>
      <c r="C1583">
        <v>5</v>
      </c>
      <c r="D1583" s="6" t="s">
        <v>1990</v>
      </c>
      <c r="E1583" t="s">
        <v>2133</v>
      </c>
      <c r="F1583" t="s">
        <v>504</v>
      </c>
      <c r="H1583">
        <f>31.3-1.8</f>
        <v>29.5</v>
      </c>
      <c r="O1583" t="s">
        <v>2174</v>
      </c>
    </row>
    <row r="1584" spans="1:17" x14ac:dyDescent="0.2">
      <c r="A1584" t="s">
        <v>1989</v>
      </c>
      <c r="B1584" s="6" t="s">
        <v>1558</v>
      </c>
      <c r="C1584">
        <v>5</v>
      </c>
      <c r="D1584" s="6" t="s">
        <v>1990</v>
      </c>
      <c r="E1584" t="s">
        <v>2133</v>
      </c>
      <c r="F1584" t="s">
        <v>504</v>
      </c>
      <c r="H1584">
        <f>15.4-2.4</f>
        <v>13</v>
      </c>
      <c r="O1584" t="s">
        <v>2174</v>
      </c>
    </row>
    <row r="1585" spans="1:17" x14ac:dyDescent="0.2">
      <c r="A1585" t="s">
        <v>1989</v>
      </c>
      <c r="B1585" s="6" t="s">
        <v>1558</v>
      </c>
      <c r="C1585">
        <v>5</v>
      </c>
      <c r="D1585" s="6" t="s">
        <v>1990</v>
      </c>
      <c r="E1585" t="s">
        <v>2171</v>
      </c>
      <c r="F1585" t="s">
        <v>504</v>
      </c>
      <c r="H1585">
        <v>0.53500000000000003</v>
      </c>
      <c r="O1585" t="s">
        <v>2176</v>
      </c>
    </row>
    <row r="1586" spans="1:17" x14ac:dyDescent="0.2">
      <c r="A1586" t="s">
        <v>1989</v>
      </c>
      <c r="B1586" s="6" t="s">
        <v>1558</v>
      </c>
      <c r="C1586">
        <v>5</v>
      </c>
      <c r="D1586" s="6" t="s">
        <v>1990</v>
      </c>
      <c r="E1586" t="s">
        <v>2164</v>
      </c>
      <c r="F1586" t="s">
        <v>9190</v>
      </c>
      <c r="H1586">
        <v>4.4999999999999998E-2</v>
      </c>
      <c r="O1586" t="s">
        <v>2174</v>
      </c>
      <c r="Q1586" t="s">
        <v>9431</v>
      </c>
    </row>
    <row r="1587" spans="1:17" x14ac:dyDescent="0.2">
      <c r="A1587" t="s">
        <v>1989</v>
      </c>
      <c r="B1587" s="6" t="s">
        <v>1558</v>
      </c>
      <c r="C1587">
        <v>5</v>
      </c>
      <c r="D1587" s="6" t="s">
        <v>1990</v>
      </c>
      <c r="E1587" t="s">
        <v>2165</v>
      </c>
      <c r="F1587" t="s">
        <v>8168</v>
      </c>
      <c r="H1587">
        <v>1E-3</v>
      </c>
      <c r="O1587" t="s">
        <v>2174</v>
      </c>
      <c r="Q1587" t="s">
        <v>9432</v>
      </c>
    </row>
    <row r="1588" spans="1:17" x14ac:dyDescent="0.2">
      <c r="A1588" t="s">
        <v>1989</v>
      </c>
      <c r="B1588" s="6" t="s">
        <v>1558</v>
      </c>
      <c r="C1588">
        <v>5</v>
      </c>
      <c r="D1588" s="6" t="s">
        <v>1990</v>
      </c>
      <c r="E1588" t="s">
        <v>2179</v>
      </c>
      <c r="F1588" t="s">
        <v>8912</v>
      </c>
      <c r="H1588">
        <v>6.3E-2</v>
      </c>
      <c r="Q1588" t="s">
        <v>9428</v>
      </c>
    </row>
    <row r="1589" spans="1:17" x14ac:dyDescent="0.2">
      <c r="A1589" t="s">
        <v>1989</v>
      </c>
      <c r="B1589" s="6" t="s">
        <v>1558</v>
      </c>
      <c r="C1589">
        <v>5</v>
      </c>
      <c r="D1589" s="6" t="s">
        <v>1990</v>
      </c>
      <c r="E1589" t="s">
        <v>2180</v>
      </c>
      <c r="F1589" t="s">
        <v>8912</v>
      </c>
      <c r="H1589">
        <v>7.0000000000000001E-3</v>
      </c>
      <c r="Q1589" t="s">
        <v>9429</v>
      </c>
    </row>
    <row r="1590" spans="1:17" x14ac:dyDescent="0.2">
      <c r="A1590" t="s">
        <v>1989</v>
      </c>
      <c r="B1590" s="6" t="s">
        <v>1558</v>
      </c>
      <c r="C1590">
        <v>5</v>
      </c>
      <c r="D1590" s="6" t="s">
        <v>1990</v>
      </c>
      <c r="E1590" t="s">
        <v>2181</v>
      </c>
      <c r="F1590" t="s">
        <v>547</v>
      </c>
      <c r="H1590">
        <v>2E-3</v>
      </c>
    </row>
    <row r="1591" spans="1:17" x14ac:dyDescent="0.2">
      <c r="A1591" t="s">
        <v>1989</v>
      </c>
      <c r="B1591" s="6" t="s">
        <v>1558</v>
      </c>
      <c r="C1591">
        <v>5</v>
      </c>
      <c r="D1591" s="6" t="s">
        <v>1990</v>
      </c>
      <c r="E1591" t="s">
        <v>2177</v>
      </c>
      <c r="F1591" t="s">
        <v>1389</v>
      </c>
      <c r="G1591">
        <v>1</v>
      </c>
      <c r="Q1591" t="s">
        <v>9430</v>
      </c>
    </row>
    <row r="1592" spans="1:17" x14ac:dyDescent="0.2">
      <c r="A1592" t="s">
        <v>1989</v>
      </c>
      <c r="B1592" s="6" t="s">
        <v>1558</v>
      </c>
      <c r="C1592">
        <v>5</v>
      </c>
      <c r="D1592" s="6" t="s">
        <v>1990</v>
      </c>
      <c r="E1592" t="s">
        <v>2182</v>
      </c>
      <c r="F1592" t="s">
        <v>2184</v>
      </c>
      <c r="H1592">
        <v>2E-3</v>
      </c>
    </row>
    <row r="1593" spans="1:17" x14ac:dyDescent="0.2">
      <c r="A1593" t="s">
        <v>1989</v>
      </c>
      <c r="B1593" s="6" t="s">
        <v>1558</v>
      </c>
      <c r="C1593">
        <v>5</v>
      </c>
      <c r="D1593" s="6" t="s">
        <v>1990</v>
      </c>
      <c r="E1593" t="s">
        <v>2183</v>
      </c>
      <c r="F1593" t="s">
        <v>125</v>
      </c>
      <c r="H1593">
        <v>1.7999999999999999E-2</v>
      </c>
      <c r="M1593">
        <v>4</v>
      </c>
    </row>
    <row r="1594" spans="1:17" x14ac:dyDescent="0.2">
      <c r="A1594" t="s">
        <v>1989</v>
      </c>
      <c r="B1594" s="6" t="s">
        <v>1558</v>
      </c>
      <c r="C1594">
        <v>5</v>
      </c>
      <c r="D1594" s="6" t="s">
        <v>1990</v>
      </c>
      <c r="E1594" t="s">
        <v>2178</v>
      </c>
      <c r="F1594" t="s">
        <v>698</v>
      </c>
      <c r="H1594">
        <v>1E-3</v>
      </c>
    </row>
    <row r="1595" spans="1:17" x14ac:dyDescent="0.2">
      <c r="A1595" t="s">
        <v>1989</v>
      </c>
      <c r="B1595" s="6" t="s">
        <v>1558</v>
      </c>
      <c r="C1595">
        <v>1</v>
      </c>
      <c r="D1595" s="6" t="s">
        <v>1990</v>
      </c>
      <c r="E1595" t="s">
        <v>2188</v>
      </c>
      <c r="F1595" t="s">
        <v>2185</v>
      </c>
      <c r="H1595">
        <f>4.2-0.295</f>
        <v>3.9050000000000002</v>
      </c>
      <c r="O1595" t="s">
        <v>875</v>
      </c>
    </row>
    <row r="1596" spans="1:17" x14ac:dyDescent="0.2">
      <c r="A1596" t="s">
        <v>1989</v>
      </c>
      <c r="B1596" s="6" t="s">
        <v>1558</v>
      </c>
      <c r="C1596">
        <v>1</v>
      </c>
      <c r="D1596" s="6" t="s">
        <v>1990</v>
      </c>
      <c r="E1596" t="s">
        <v>2189</v>
      </c>
      <c r="F1596" t="s">
        <v>6933</v>
      </c>
      <c r="H1596">
        <v>0.14099999999999999</v>
      </c>
      <c r="M1596">
        <v>3</v>
      </c>
      <c r="O1596" t="s">
        <v>7713</v>
      </c>
    </row>
    <row r="1597" spans="1:17" x14ac:dyDescent="0.2">
      <c r="A1597" t="s">
        <v>1989</v>
      </c>
      <c r="B1597" s="6" t="s">
        <v>1558</v>
      </c>
      <c r="C1597">
        <v>1</v>
      </c>
      <c r="D1597" s="6" t="s">
        <v>1990</v>
      </c>
      <c r="E1597" t="s">
        <v>2190</v>
      </c>
      <c r="F1597" t="s">
        <v>7138</v>
      </c>
      <c r="H1597">
        <v>0.04</v>
      </c>
      <c r="M1597">
        <v>4</v>
      </c>
      <c r="Q1597" t="s">
        <v>9433</v>
      </c>
    </row>
    <row r="1598" spans="1:17" x14ac:dyDescent="0.2">
      <c r="A1598" t="s">
        <v>1989</v>
      </c>
      <c r="B1598" s="6" t="s">
        <v>1558</v>
      </c>
      <c r="C1598">
        <v>1</v>
      </c>
      <c r="D1598" s="6" t="s">
        <v>1990</v>
      </c>
      <c r="E1598" t="s">
        <v>2191</v>
      </c>
      <c r="F1598" t="s">
        <v>1460</v>
      </c>
      <c r="H1598">
        <f>0.452-0.345</f>
        <v>0.10700000000000004</v>
      </c>
    </row>
    <row r="1599" spans="1:17" x14ac:dyDescent="0.2">
      <c r="A1599" t="s">
        <v>1989</v>
      </c>
      <c r="B1599" s="6" t="s">
        <v>1558</v>
      </c>
      <c r="C1599">
        <v>1</v>
      </c>
      <c r="D1599" s="6" t="s">
        <v>1990</v>
      </c>
      <c r="E1599" t="s">
        <v>2192</v>
      </c>
      <c r="F1599" t="s">
        <v>9419</v>
      </c>
      <c r="H1599">
        <v>0.16</v>
      </c>
      <c r="Q1599" t="s">
        <v>9418</v>
      </c>
    </row>
    <row r="1600" spans="1:17" x14ac:dyDescent="0.2">
      <c r="A1600" t="s">
        <v>1989</v>
      </c>
      <c r="B1600" s="6" t="s">
        <v>1558</v>
      </c>
      <c r="C1600">
        <v>1</v>
      </c>
      <c r="D1600" s="6" t="s">
        <v>1990</v>
      </c>
      <c r="E1600" t="s">
        <v>2187</v>
      </c>
      <c r="F1600" t="s">
        <v>1344</v>
      </c>
      <c r="H1600">
        <v>4.2000000000000003E-2</v>
      </c>
      <c r="O1600" t="s">
        <v>2174</v>
      </c>
    </row>
    <row r="1601" spans="1:17" x14ac:dyDescent="0.2">
      <c r="A1601" t="s">
        <v>1989</v>
      </c>
      <c r="B1601" s="6" t="s">
        <v>1558</v>
      </c>
      <c r="C1601">
        <v>1</v>
      </c>
      <c r="D1601" s="6" t="s">
        <v>1990</v>
      </c>
      <c r="E1601" t="s">
        <v>2193</v>
      </c>
      <c r="F1601" s="6" t="s">
        <v>1264</v>
      </c>
      <c r="H1601">
        <f>5.2-0.593+25.1-1.8</f>
        <v>27.907</v>
      </c>
    </row>
    <row r="1602" spans="1:17" x14ac:dyDescent="0.2">
      <c r="A1602" t="s">
        <v>1989</v>
      </c>
      <c r="B1602" s="6" t="s">
        <v>1558</v>
      </c>
      <c r="C1602">
        <v>1</v>
      </c>
      <c r="D1602" s="6" t="s">
        <v>1990</v>
      </c>
      <c r="E1602" t="s">
        <v>2193</v>
      </c>
      <c r="F1602" t="s">
        <v>1589</v>
      </c>
      <c r="H1602">
        <f>4.9-0.261</f>
        <v>4.6390000000000002</v>
      </c>
    </row>
    <row r="1603" spans="1:17" x14ac:dyDescent="0.2">
      <c r="A1603" t="s">
        <v>1989</v>
      </c>
      <c r="B1603" s="6" t="s">
        <v>1558</v>
      </c>
      <c r="C1603">
        <v>5</v>
      </c>
      <c r="D1603" s="6" t="s">
        <v>1990</v>
      </c>
      <c r="E1603" t="s">
        <v>2194</v>
      </c>
      <c r="F1603" s="6" t="s">
        <v>1264</v>
      </c>
      <c r="H1603">
        <f>4-0.41</f>
        <v>3.59</v>
      </c>
      <c r="O1603" t="s">
        <v>2195</v>
      </c>
    </row>
    <row r="1604" spans="1:17" x14ac:dyDescent="0.2">
      <c r="A1604" t="s">
        <v>1989</v>
      </c>
      <c r="B1604" s="6" t="s">
        <v>2196</v>
      </c>
      <c r="C1604">
        <v>1</v>
      </c>
      <c r="D1604" s="6" t="s">
        <v>1990</v>
      </c>
      <c r="E1604" s="8" t="s">
        <v>2233</v>
      </c>
      <c r="F1604" t="s">
        <v>1425</v>
      </c>
      <c r="H1604">
        <v>0.11</v>
      </c>
    </row>
    <row r="1605" spans="1:17" x14ac:dyDescent="0.2">
      <c r="A1605" t="s">
        <v>1989</v>
      </c>
      <c r="B1605" s="6" t="s">
        <v>2196</v>
      </c>
      <c r="C1605">
        <v>6</v>
      </c>
      <c r="D1605" s="6" t="s">
        <v>1990</v>
      </c>
      <c r="E1605" t="s">
        <v>2234</v>
      </c>
      <c r="F1605" s="6" t="s">
        <v>1425</v>
      </c>
      <c r="H1605" s="6">
        <f>0.47-0.357</f>
        <v>0.11299999999999999</v>
      </c>
      <c r="N1605">
        <v>0</v>
      </c>
    </row>
    <row r="1606" spans="1:17" x14ac:dyDescent="0.2">
      <c r="A1606" t="s">
        <v>1989</v>
      </c>
      <c r="B1606" s="6" t="s">
        <v>2196</v>
      </c>
      <c r="C1606">
        <v>6</v>
      </c>
      <c r="D1606" s="6" t="s">
        <v>1990</v>
      </c>
      <c r="E1606" t="s">
        <v>2235</v>
      </c>
      <c r="F1606" t="s">
        <v>1425</v>
      </c>
      <c r="H1606">
        <f>0.795-0.587</f>
        <v>0.20800000000000007</v>
      </c>
      <c r="N1606">
        <v>0</v>
      </c>
    </row>
    <row r="1607" spans="1:17" x14ac:dyDescent="0.2">
      <c r="A1607" t="s">
        <v>1989</v>
      </c>
      <c r="B1607" s="6" t="s">
        <v>2196</v>
      </c>
      <c r="C1607">
        <v>6</v>
      </c>
      <c r="D1607" s="6" t="s">
        <v>1990</v>
      </c>
      <c r="E1607" t="s">
        <v>2236</v>
      </c>
      <c r="F1607" s="6" t="s">
        <v>1425</v>
      </c>
      <c r="H1607">
        <f>0.45-0.285</f>
        <v>0.16500000000000004</v>
      </c>
      <c r="N1607">
        <v>0</v>
      </c>
    </row>
    <row r="1608" spans="1:17" x14ac:dyDescent="0.2">
      <c r="A1608" t="s">
        <v>1989</v>
      </c>
      <c r="B1608" s="6" t="s">
        <v>2196</v>
      </c>
      <c r="C1608">
        <v>6</v>
      </c>
      <c r="D1608" s="6" t="s">
        <v>1990</v>
      </c>
      <c r="E1608" t="s">
        <v>2237</v>
      </c>
      <c r="F1608" t="s">
        <v>1425</v>
      </c>
      <c r="H1608">
        <f>0.474-0.261</f>
        <v>0.21299999999999997</v>
      </c>
      <c r="N1608">
        <v>0</v>
      </c>
    </row>
    <row r="1609" spans="1:17" x14ac:dyDescent="0.2">
      <c r="A1609" t="s">
        <v>1989</v>
      </c>
      <c r="B1609" s="6" t="s">
        <v>2196</v>
      </c>
      <c r="C1609">
        <v>6</v>
      </c>
      <c r="D1609" s="6" t="s">
        <v>1990</v>
      </c>
      <c r="E1609" t="s">
        <v>2238</v>
      </c>
      <c r="F1609" s="6" t="s">
        <v>1425</v>
      </c>
      <c r="H1609" s="6">
        <f>0.482-0.295</f>
        <v>0.187</v>
      </c>
      <c r="N1609">
        <v>0</v>
      </c>
    </row>
    <row r="1610" spans="1:17" x14ac:dyDescent="0.2">
      <c r="A1610" t="s">
        <v>1989</v>
      </c>
      <c r="B1610" s="6" t="s">
        <v>2196</v>
      </c>
      <c r="C1610">
        <v>6</v>
      </c>
      <c r="D1610" s="6" t="s">
        <v>1990</v>
      </c>
      <c r="E1610" t="s">
        <v>2239</v>
      </c>
      <c r="F1610" t="s">
        <v>1425</v>
      </c>
      <c r="H1610">
        <f>0.727-0.593</f>
        <v>0.13400000000000001</v>
      </c>
      <c r="N1610">
        <v>0</v>
      </c>
    </row>
    <row r="1611" spans="1:17" x14ac:dyDescent="0.2">
      <c r="A1611" t="s">
        <v>1989</v>
      </c>
      <c r="B1611" s="6" t="s">
        <v>2196</v>
      </c>
      <c r="C1611">
        <v>6</v>
      </c>
      <c r="D1611" s="6" t="s">
        <v>1990</v>
      </c>
      <c r="E1611" s="8" t="s">
        <v>2240</v>
      </c>
      <c r="F1611" s="6" t="s">
        <v>1425</v>
      </c>
      <c r="H1611">
        <v>1.0999999999999999E-2</v>
      </c>
      <c r="Q1611" t="s">
        <v>9436</v>
      </c>
    </row>
    <row r="1612" spans="1:17" x14ac:dyDescent="0.2">
      <c r="A1612" t="s">
        <v>1989</v>
      </c>
      <c r="B1612" s="6" t="s">
        <v>2196</v>
      </c>
      <c r="C1612">
        <v>6</v>
      </c>
      <c r="D1612" s="6" t="s">
        <v>1990</v>
      </c>
      <c r="E1612" s="8" t="s">
        <v>2241</v>
      </c>
      <c r="F1612" s="6" t="s">
        <v>1425</v>
      </c>
      <c r="H1612">
        <v>6.0000000000000001E-3</v>
      </c>
      <c r="Q1612" t="s">
        <v>9434</v>
      </c>
    </row>
    <row r="1613" spans="1:17" x14ac:dyDescent="0.2">
      <c r="A1613" t="s">
        <v>1989</v>
      </c>
      <c r="B1613" s="6" t="s">
        <v>2196</v>
      </c>
      <c r="C1613">
        <v>6</v>
      </c>
      <c r="D1613" s="6" t="s">
        <v>1990</v>
      </c>
      <c r="E1613" s="8" t="s">
        <v>2242</v>
      </c>
      <c r="F1613" s="6" t="s">
        <v>1425</v>
      </c>
      <c r="H1613">
        <v>8.9999999999999993E-3</v>
      </c>
      <c r="Q1613" t="s">
        <v>9437</v>
      </c>
    </row>
    <row r="1614" spans="1:17" x14ac:dyDescent="0.2">
      <c r="A1614" t="s">
        <v>1989</v>
      </c>
      <c r="B1614" s="6" t="s">
        <v>2196</v>
      </c>
      <c r="C1614">
        <v>6</v>
      </c>
      <c r="D1614" s="6" t="s">
        <v>1990</v>
      </c>
      <c r="E1614" s="8" t="s">
        <v>2243</v>
      </c>
      <c r="F1614" s="6" t="s">
        <v>1425</v>
      </c>
      <c r="H1614">
        <v>3.0000000000000001E-3</v>
      </c>
      <c r="Q1614" t="s">
        <v>9435</v>
      </c>
    </row>
    <row r="1615" spans="1:17" x14ac:dyDescent="0.2">
      <c r="A1615" t="s">
        <v>1989</v>
      </c>
      <c r="B1615" s="6" t="s">
        <v>2196</v>
      </c>
      <c r="C1615">
        <v>6</v>
      </c>
      <c r="D1615" s="6" t="s">
        <v>1990</v>
      </c>
      <c r="E1615" s="8" t="s">
        <v>2244</v>
      </c>
      <c r="F1615" s="6" t="s">
        <v>1425</v>
      </c>
      <c r="H1615">
        <v>3.5000000000000003E-2</v>
      </c>
      <c r="M1615">
        <v>5</v>
      </c>
    </row>
    <row r="1616" spans="1:17" x14ac:dyDescent="0.2">
      <c r="A1616" t="s">
        <v>1989</v>
      </c>
      <c r="B1616" s="6" t="s">
        <v>2196</v>
      </c>
      <c r="C1616">
        <v>6</v>
      </c>
      <c r="D1616" s="6" t="s">
        <v>1990</v>
      </c>
      <c r="E1616" t="s">
        <v>2245</v>
      </c>
      <c r="F1616" s="6" t="s">
        <v>1425</v>
      </c>
      <c r="H1616">
        <v>1.028</v>
      </c>
    </row>
    <row r="1617" spans="1:17" x14ac:dyDescent="0.2">
      <c r="A1617" t="s">
        <v>1989</v>
      </c>
      <c r="B1617" s="6" t="s">
        <v>2196</v>
      </c>
      <c r="C1617">
        <v>6</v>
      </c>
      <c r="D1617" s="6" t="s">
        <v>1990</v>
      </c>
      <c r="E1617" s="8" t="s">
        <v>2246</v>
      </c>
      <c r="F1617" s="6" t="s">
        <v>1389</v>
      </c>
      <c r="H1617">
        <v>1E-3</v>
      </c>
      <c r="Q1617" t="s">
        <v>9438</v>
      </c>
    </row>
    <row r="1618" spans="1:17" x14ac:dyDescent="0.2">
      <c r="A1618" t="s">
        <v>1989</v>
      </c>
      <c r="B1618" s="6" t="s">
        <v>2196</v>
      </c>
      <c r="C1618">
        <v>6</v>
      </c>
      <c r="D1618" s="6" t="s">
        <v>1990</v>
      </c>
      <c r="E1618" s="8" t="s">
        <v>2247</v>
      </c>
      <c r="F1618" s="6" t="s">
        <v>1389</v>
      </c>
      <c r="H1618">
        <v>4.0000000000000001E-3</v>
      </c>
      <c r="Q1618" t="s">
        <v>9439</v>
      </c>
    </row>
    <row r="1619" spans="1:17" x14ac:dyDescent="0.2">
      <c r="A1619" t="s">
        <v>1989</v>
      </c>
      <c r="B1619" s="6" t="s">
        <v>2196</v>
      </c>
      <c r="C1619">
        <v>6</v>
      </c>
      <c r="D1619" s="6" t="s">
        <v>1990</v>
      </c>
      <c r="E1619" t="s">
        <v>2248</v>
      </c>
      <c r="F1619" s="6" t="s">
        <v>1389</v>
      </c>
      <c r="H1619">
        <v>5.0000000000000001E-3</v>
      </c>
      <c r="Q1619" t="s">
        <v>9443</v>
      </c>
    </row>
    <row r="1620" spans="1:17" x14ac:dyDescent="0.2">
      <c r="A1620" t="s">
        <v>1989</v>
      </c>
      <c r="B1620" s="6" t="s">
        <v>2196</v>
      </c>
      <c r="C1620">
        <v>6</v>
      </c>
      <c r="D1620" s="6" t="s">
        <v>1990</v>
      </c>
      <c r="E1620" t="s">
        <v>2249</v>
      </c>
      <c r="F1620" s="6" t="s">
        <v>1389</v>
      </c>
      <c r="H1620">
        <v>2E-3</v>
      </c>
      <c r="Q1620" t="s">
        <v>9440</v>
      </c>
    </row>
    <row r="1621" spans="1:17" x14ac:dyDescent="0.2">
      <c r="A1621" t="s">
        <v>1989</v>
      </c>
      <c r="B1621" s="6" t="s">
        <v>2196</v>
      </c>
      <c r="C1621">
        <v>6</v>
      </c>
      <c r="D1621" s="6" t="s">
        <v>1990</v>
      </c>
      <c r="E1621" t="s">
        <v>2250</v>
      </c>
      <c r="F1621" s="6" t="s">
        <v>1389</v>
      </c>
      <c r="H1621">
        <v>2.9000000000000001E-2</v>
      </c>
      <c r="M1621">
        <v>5</v>
      </c>
    </row>
    <row r="1622" spans="1:17" x14ac:dyDescent="0.2">
      <c r="A1622" t="s">
        <v>1989</v>
      </c>
      <c r="B1622" s="6" t="s">
        <v>2196</v>
      </c>
      <c r="C1622">
        <v>6</v>
      </c>
      <c r="D1622" s="6" t="s">
        <v>1990</v>
      </c>
      <c r="E1622" s="8" t="s">
        <v>2251</v>
      </c>
      <c r="F1622" s="6" t="s">
        <v>1389</v>
      </c>
      <c r="H1622">
        <v>1.0999999999999999E-2</v>
      </c>
      <c r="Q1622" t="s">
        <v>9441</v>
      </c>
    </row>
    <row r="1623" spans="1:17" x14ac:dyDescent="0.2">
      <c r="A1623" t="s">
        <v>1989</v>
      </c>
      <c r="B1623" s="6" t="s">
        <v>2196</v>
      </c>
      <c r="C1623">
        <v>6</v>
      </c>
      <c r="D1623" s="6" t="s">
        <v>1990</v>
      </c>
      <c r="E1623" t="s">
        <v>2245</v>
      </c>
      <c r="F1623" s="6" t="s">
        <v>1389</v>
      </c>
      <c r="H1623" s="6">
        <f>0.581-0.41</f>
        <v>0.17099999999999999</v>
      </c>
    </row>
    <row r="1624" spans="1:17" x14ac:dyDescent="0.2">
      <c r="A1624" t="s">
        <v>1989</v>
      </c>
      <c r="B1624" s="6" t="s">
        <v>2196</v>
      </c>
      <c r="C1624">
        <v>6</v>
      </c>
      <c r="D1624" s="6" t="s">
        <v>1990</v>
      </c>
      <c r="E1624" t="s">
        <v>2252</v>
      </c>
      <c r="F1624" s="6" t="s">
        <v>1389</v>
      </c>
      <c r="H1624">
        <v>1E-3</v>
      </c>
      <c r="Q1624" t="s">
        <v>9444</v>
      </c>
    </row>
    <row r="1625" spans="1:17" x14ac:dyDescent="0.2">
      <c r="A1625" t="s">
        <v>1989</v>
      </c>
      <c r="B1625" s="6" t="s">
        <v>2196</v>
      </c>
      <c r="C1625">
        <v>6</v>
      </c>
      <c r="D1625" s="6" t="s">
        <v>1990</v>
      </c>
      <c r="E1625" t="s">
        <v>2253</v>
      </c>
      <c r="F1625" s="6" t="s">
        <v>1389</v>
      </c>
      <c r="H1625">
        <v>8.0000000000000002E-3</v>
      </c>
      <c r="Q1625" t="s">
        <v>9445</v>
      </c>
    </row>
    <row r="1626" spans="1:17" x14ac:dyDescent="0.2">
      <c r="A1626" t="s">
        <v>1989</v>
      </c>
      <c r="B1626" s="6" t="s">
        <v>2196</v>
      </c>
      <c r="C1626">
        <v>6</v>
      </c>
      <c r="D1626" s="6" t="s">
        <v>1990</v>
      </c>
      <c r="E1626" t="s">
        <v>2254</v>
      </c>
      <c r="F1626" s="6" t="s">
        <v>1389</v>
      </c>
      <c r="H1626">
        <v>1.4E-2</v>
      </c>
      <c r="Q1626" t="s">
        <v>9446</v>
      </c>
    </row>
    <row r="1627" spans="1:17" x14ac:dyDescent="0.2">
      <c r="A1627" t="s">
        <v>1989</v>
      </c>
      <c r="B1627" s="6" t="s">
        <v>2196</v>
      </c>
      <c r="C1627">
        <v>6</v>
      </c>
      <c r="D1627" s="6" t="s">
        <v>1990</v>
      </c>
      <c r="E1627" t="s">
        <v>2255</v>
      </c>
      <c r="F1627" s="6" t="s">
        <v>1389</v>
      </c>
      <c r="H1627">
        <v>5.0000000000000001E-3</v>
      </c>
      <c r="Q1627" t="s">
        <v>9447</v>
      </c>
    </row>
    <row r="1628" spans="1:17" x14ac:dyDescent="0.2">
      <c r="A1628" t="s">
        <v>1989</v>
      </c>
      <c r="B1628" s="6" t="s">
        <v>2196</v>
      </c>
      <c r="C1628">
        <v>6</v>
      </c>
      <c r="D1628" s="6" t="s">
        <v>1990</v>
      </c>
      <c r="E1628" t="s">
        <v>2256</v>
      </c>
      <c r="F1628" s="6" t="s">
        <v>1389</v>
      </c>
      <c r="H1628">
        <v>5.0000000000000001E-3</v>
      </c>
      <c r="Q1628" t="s">
        <v>9442</v>
      </c>
    </row>
    <row r="1629" spans="1:17" x14ac:dyDescent="0.2">
      <c r="A1629" t="s">
        <v>1989</v>
      </c>
      <c r="B1629" s="6" t="s">
        <v>2196</v>
      </c>
      <c r="C1629">
        <v>6</v>
      </c>
      <c r="D1629" s="6" t="s">
        <v>1990</v>
      </c>
      <c r="E1629" t="s">
        <v>2257</v>
      </c>
      <c r="F1629" s="6" t="s">
        <v>1389</v>
      </c>
      <c r="H1629">
        <v>2.9000000000000001E-2</v>
      </c>
      <c r="M1629">
        <v>5</v>
      </c>
    </row>
    <row r="1630" spans="1:17" x14ac:dyDescent="0.2">
      <c r="A1630" t="s">
        <v>1989</v>
      </c>
      <c r="B1630" s="6" t="s">
        <v>2196</v>
      </c>
      <c r="C1630">
        <v>6</v>
      </c>
      <c r="D1630" s="6" t="s">
        <v>1990</v>
      </c>
      <c r="E1630" t="s">
        <v>2245</v>
      </c>
      <c r="F1630" s="6" t="s">
        <v>1389</v>
      </c>
      <c r="H1630">
        <v>0.32100000000000001</v>
      </c>
    </row>
    <row r="1631" spans="1:17" x14ac:dyDescent="0.2">
      <c r="A1631" t="s">
        <v>1989</v>
      </c>
      <c r="B1631" s="6" t="s">
        <v>2196</v>
      </c>
      <c r="C1631">
        <v>6</v>
      </c>
      <c r="D1631" s="6" t="s">
        <v>1990</v>
      </c>
      <c r="E1631" t="s">
        <v>2258</v>
      </c>
      <c r="F1631" s="6" t="s">
        <v>1425</v>
      </c>
      <c r="H1631">
        <v>0.04</v>
      </c>
      <c r="Q1631" t="s">
        <v>9451</v>
      </c>
    </row>
    <row r="1632" spans="1:17" x14ac:dyDescent="0.2">
      <c r="A1632" t="s">
        <v>1989</v>
      </c>
      <c r="B1632" s="6" t="s">
        <v>2196</v>
      </c>
      <c r="C1632">
        <v>6</v>
      </c>
      <c r="D1632" s="6" t="s">
        <v>1990</v>
      </c>
      <c r="E1632" t="s">
        <v>2259</v>
      </c>
      <c r="F1632" s="6" t="s">
        <v>1425</v>
      </c>
      <c r="H1632">
        <v>8.9999999999999993E-3</v>
      </c>
      <c r="Q1632" t="s">
        <v>9452</v>
      </c>
    </row>
    <row r="1633" spans="1:17" x14ac:dyDescent="0.2">
      <c r="A1633" t="s">
        <v>1989</v>
      </c>
      <c r="B1633" s="6" t="s">
        <v>2196</v>
      </c>
      <c r="C1633">
        <v>6</v>
      </c>
      <c r="D1633" s="6" t="s">
        <v>1990</v>
      </c>
      <c r="E1633" t="s">
        <v>2260</v>
      </c>
      <c r="F1633" s="6" t="s">
        <v>1425</v>
      </c>
      <c r="H1633">
        <v>2.7E-2</v>
      </c>
      <c r="Q1633" t="s">
        <v>9453</v>
      </c>
    </row>
    <row r="1634" spans="1:17" x14ac:dyDescent="0.2">
      <c r="A1634" t="s">
        <v>1989</v>
      </c>
      <c r="B1634" s="6" t="s">
        <v>2196</v>
      </c>
      <c r="C1634">
        <v>6</v>
      </c>
      <c r="D1634" s="6" t="s">
        <v>1990</v>
      </c>
      <c r="E1634" t="s">
        <v>2261</v>
      </c>
      <c r="F1634" s="6" t="s">
        <v>1425</v>
      </c>
      <c r="H1634">
        <v>2.8000000000000001E-2</v>
      </c>
      <c r="Q1634" t="s">
        <v>9454</v>
      </c>
    </row>
    <row r="1635" spans="1:17" x14ac:dyDescent="0.2">
      <c r="A1635" t="s">
        <v>1989</v>
      </c>
      <c r="B1635" s="6" t="s">
        <v>2196</v>
      </c>
      <c r="C1635">
        <v>6</v>
      </c>
      <c r="D1635" s="6" t="s">
        <v>1990</v>
      </c>
      <c r="E1635" t="s">
        <v>2262</v>
      </c>
      <c r="F1635" s="6" t="s">
        <v>1425</v>
      </c>
      <c r="H1635">
        <v>2.5999999999999999E-2</v>
      </c>
      <c r="Q1635" t="s">
        <v>9455</v>
      </c>
    </row>
    <row r="1636" spans="1:17" x14ac:dyDescent="0.2">
      <c r="A1636" t="s">
        <v>1989</v>
      </c>
      <c r="B1636" s="6" t="s">
        <v>2196</v>
      </c>
      <c r="C1636">
        <v>6</v>
      </c>
      <c r="D1636" s="6" t="s">
        <v>1990</v>
      </c>
      <c r="E1636" t="s">
        <v>2263</v>
      </c>
      <c r="F1636" s="6" t="s">
        <v>9043</v>
      </c>
      <c r="H1636">
        <v>1.0999999999999999E-2</v>
      </c>
      <c r="P1636" t="s">
        <v>5999</v>
      </c>
      <c r="Q1636" t="s">
        <v>6028</v>
      </c>
    </row>
    <row r="1637" spans="1:17" x14ac:dyDescent="0.2">
      <c r="A1637" t="s">
        <v>1989</v>
      </c>
      <c r="B1637" s="6" t="s">
        <v>2196</v>
      </c>
      <c r="C1637">
        <v>6</v>
      </c>
      <c r="D1637" s="6" t="s">
        <v>1990</v>
      </c>
      <c r="E1637" t="s">
        <v>2264</v>
      </c>
      <c r="F1637" s="6" t="s">
        <v>9043</v>
      </c>
      <c r="H1637">
        <v>1.2E-2</v>
      </c>
      <c r="Q1637" t="s">
        <v>6025</v>
      </c>
    </row>
    <row r="1638" spans="1:17" x14ac:dyDescent="0.2">
      <c r="A1638" t="s">
        <v>1989</v>
      </c>
      <c r="B1638" s="6" t="s">
        <v>2196</v>
      </c>
      <c r="C1638">
        <v>6</v>
      </c>
      <c r="D1638" s="6" t="s">
        <v>1990</v>
      </c>
      <c r="E1638" t="s">
        <v>2265</v>
      </c>
      <c r="F1638" s="6" t="s">
        <v>1264</v>
      </c>
      <c r="H1638">
        <f>2.8-0.4</f>
        <v>2.4</v>
      </c>
      <c r="M1638" t="s">
        <v>802</v>
      </c>
      <c r="O1638" t="s">
        <v>2198</v>
      </c>
      <c r="Q1638" t="s">
        <v>6026</v>
      </c>
    </row>
    <row r="1639" spans="1:17" x14ac:dyDescent="0.2">
      <c r="A1639" t="s">
        <v>1989</v>
      </c>
      <c r="B1639" s="6" t="s">
        <v>2196</v>
      </c>
      <c r="C1639">
        <v>6</v>
      </c>
      <c r="D1639" s="6" t="s">
        <v>1990</v>
      </c>
      <c r="E1639" t="s">
        <v>2266</v>
      </c>
      <c r="F1639" s="6" t="s">
        <v>9043</v>
      </c>
      <c r="H1639">
        <v>1.2E-2</v>
      </c>
      <c r="Q1639" t="s">
        <v>6026</v>
      </c>
    </row>
    <row r="1640" spans="1:17" x14ac:dyDescent="0.2">
      <c r="A1640" t="s">
        <v>1989</v>
      </c>
      <c r="B1640" s="6" t="s">
        <v>2196</v>
      </c>
      <c r="C1640">
        <v>6</v>
      </c>
      <c r="D1640" s="6" t="s">
        <v>1990</v>
      </c>
      <c r="E1640" t="s">
        <v>2267</v>
      </c>
      <c r="F1640" s="6" t="s">
        <v>504</v>
      </c>
      <c r="H1640">
        <f>8-0.4-0.395</f>
        <v>7.2050000000000001</v>
      </c>
      <c r="O1640" t="s">
        <v>2197</v>
      </c>
    </row>
    <row r="1641" spans="1:17" x14ac:dyDescent="0.2">
      <c r="A1641" t="s">
        <v>1989</v>
      </c>
      <c r="B1641" s="6" t="s">
        <v>2196</v>
      </c>
      <c r="C1641">
        <v>6</v>
      </c>
      <c r="D1641" s="6" t="s">
        <v>1990</v>
      </c>
      <c r="E1641" t="s">
        <v>2268</v>
      </c>
      <c r="F1641" s="6" t="s">
        <v>5930</v>
      </c>
      <c r="H1641">
        <v>8.0000000000000002E-3</v>
      </c>
      <c r="Q1641" t="s">
        <v>6027</v>
      </c>
    </row>
    <row r="1642" spans="1:17" x14ac:dyDescent="0.2">
      <c r="A1642" t="s">
        <v>1989</v>
      </c>
      <c r="B1642" s="6" t="s">
        <v>2196</v>
      </c>
      <c r="C1642">
        <v>6</v>
      </c>
      <c r="D1642" s="6" t="s">
        <v>1990</v>
      </c>
      <c r="E1642" t="s">
        <v>2269</v>
      </c>
      <c r="F1642" s="6" t="s">
        <v>5936</v>
      </c>
      <c r="H1642">
        <v>1E-3</v>
      </c>
      <c r="Q1642" t="s">
        <v>6024</v>
      </c>
    </row>
    <row r="1643" spans="1:17" x14ac:dyDescent="0.2">
      <c r="A1643" t="s">
        <v>1989</v>
      </c>
      <c r="B1643" s="6" t="s">
        <v>2196</v>
      </c>
      <c r="C1643">
        <v>6</v>
      </c>
      <c r="D1643" s="6" t="s">
        <v>1990</v>
      </c>
      <c r="E1643" t="s">
        <v>2270</v>
      </c>
      <c r="F1643" s="6" t="s">
        <v>1538</v>
      </c>
      <c r="H1643">
        <v>1.2999999999999999E-2</v>
      </c>
      <c r="Q1643" t="s">
        <v>9450</v>
      </c>
    </row>
    <row r="1644" spans="1:17" x14ac:dyDescent="0.2">
      <c r="A1644" t="s">
        <v>1989</v>
      </c>
      <c r="B1644" s="6" t="s">
        <v>2196</v>
      </c>
      <c r="C1644">
        <v>6</v>
      </c>
      <c r="D1644" s="6" t="s">
        <v>1990</v>
      </c>
      <c r="E1644" t="s">
        <v>2271</v>
      </c>
      <c r="F1644" s="6" t="s">
        <v>8912</v>
      </c>
      <c r="H1644">
        <v>0.03</v>
      </c>
      <c r="Q1644" t="s">
        <v>9448</v>
      </c>
    </row>
    <row r="1645" spans="1:17" x14ac:dyDescent="0.2">
      <c r="A1645" t="s">
        <v>1989</v>
      </c>
      <c r="B1645" s="6" t="s">
        <v>2196</v>
      </c>
      <c r="C1645">
        <v>6</v>
      </c>
      <c r="D1645" s="6" t="s">
        <v>1990</v>
      </c>
      <c r="E1645" t="s">
        <v>2272</v>
      </c>
      <c r="F1645" s="6" t="s">
        <v>8912</v>
      </c>
      <c r="H1645">
        <v>2.4E-2</v>
      </c>
      <c r="Q1645" t="s">
        <v>9449</v>
      </c>
    </row>
    <row r="1646" spans="1:17" x14ac:dyDescent="0.2">
      <c r="A1646" t="s">
        <v>1989</v>
      </c>
      <c r="B1646" s="6" t="s">
        <v>2196</v>
      </c>
      <c r="C1646">
        <v>6</v>
      </c>
      <c r="D1646" s="6" t="s">
        <v>1990</v>
      </c>
      <c r="E1646" t="s">
        <v>2273</v>
      </c>
      <c r="F1646" s="6" t="s">
        <v>2684</v>
      </c>
      <c r="H1646">
        <v>2E-3</v>
      </c>
      <c r="M1646" t="s">
        <v>802</v>
      </c>
      <c r="O1646" t="s">
        <v>5392</v>
      </c>
    </row>
    <row r="1647" spans="1:17" x14ac:dyDescent="0.2">
      <c r="A1647" t="s">
        <v>1989</v>
      </c>
      <c r="B1647" s="6" t="s">
        <v>2196</v>
      </c>
      <c r="C1647">
        <v>6</v>
      </c>
      <c r="D1647" s="6" t="s">
        <v>1990</v>
      </c>
      <c r="E1647" t="s">
        <v>2274</v>
      </c>
      <c r="F1647" s="6" t="s">
        <v>1538</v>
      </c>
      <c r="H1647">
        <v>2.3E-2</v>
      </c>
    </row>
    <row r="1648" spans="1:17" x14ac:dyDescent="0.2">
      <c r="A1648" t="s">
        <v>1989</v>
      </c>
      <c r="B1648" s="6" t="s">
        <v>2196</v>
      </c>
      <c r="C1648">
        <v>6</v>
      </c>
      <c r="D1648" s="6" t="s">
        <v>1990</v>
      </c>
      <c r="E1648" t="s">
        <v>2275</v>
      </c>
      <c r="F1648" s="6" t="s">
        <v>1538</v>
      </c>
      <c r="H1648">
        <v>1E-3</v>
      </c>
      <c r="O1648" t="s">
        <v>5021</v>
      </c>
    </row>
    <row r="1649" spans="1:17" x14ac:dyDescent="0.2">
      <c r="A1649" t="s">
        <v>2201</v>
      </c>
      <c r="B1649" s="6" t="s">
        <v>2199</v>
      </c>
      <c r="C1649">
        <v>2</v>
      </c>
      <c r="D1649" s="6" t="s">
        <v>2200</v>
      </c>
      <c r="E1649" s="8" t="s">
        <v>2276</v>
      </c>
      <c r="F1649" s="6" t="s">
        <v>915</v>
      </c>
      <c r="H1649">
        <f>4.3-0.587</f>
        <v>3.7130000000000001</v>
      </c>
      <c r="M1649" t="s">
        <v>802</v>
      </c>
      <c r="O1649" t="s">
        <v>2204</v>
      </c>
    </row>
    <row r="1650" spans="1:17" x14ac:dyDescent="0.2">
      <c r="A1650" t="s">
        <v>2201</v>
      </c>
      <c r="B1650" s="6" t="s">
        <v>2199</v>
      </c>
      <c r="C1650">
        <v>2</v>
      </c>
      <c r="D1650" s="6" t="s">
        <v>2200</v>
      </c>
      <c r="E1650" s="8" t="s">
        <v>2277</v>
      </c>
      <c r="F1650" s="6" t="s">
        <v>2202</v>
      </c>
      <c r="H1650">
        <f>1.11-0.4</f>
        <v>0.71000000000000008</v>
      </c>
      <c r="M1650" t="s">
        <v>802</v>
      </c>
      <c r="O1650" t="s">
        <v>2205</v>
      </c>
    </row>
    <row r="1651" spans="1:17" x14ac:dyDescent="0.2">
      <c r="A1651" t="s">
        <v>2201</v>
      </c>
      <c r="B1651" s="6" t="s">
        <v>2199</v>
      </c>
      <c r="C1651">
        <v>2</v>
      </c>
      <c r="D1651" s="6" t="s">
        <v>2200</v>
      </c>
      <c r="E1651" t="s">
        <v>2278</v>
      </c>
      <c r="F1651" s="6" t="s">
        <v>9456</v>
      </c>
      <c r="H1651">
        <v>2.1000000000000001E-2</v>
      </c>
      <c r="Q1651" t="s">
        <v>9458</v>
      </c>
    </row>
    <row r="1652" spans="1:17" x14ac:dyDescent="0.2">
      <c r="A1652" t="s">
        <v>2201</v>
      </c>
      <c r="B1652" s="6" t="s">
        <v>2199</v>
      </c>
      <c r="C1652">
        <v>2</v>
      </c>
      <c r="D1652" s="6" t="s">
        <v>2200</v>
      </c>
      <c r="E1652" t="s">
        <v>2279</v>
      </c>
      <c r="F1652" s="6" t="s">
        <v>8912</v>
      </c>
      <c r="H1652">
        <v>0.01</v>
      </c>
      <c r="Q1652" t="s">
        <v>9457</v>
      </c>
    </row>
    <row r="1653" spans="1:17" x14ac:dyDescent="0.2">
      <c r="A1653" t="s">
        <v>2201</v>
      </c>
      <c r="B1653" s="6" t="s">
        <v>2199</v>
      </c>
      <c r="C1653">
        <v>2</v>
      </c>
      <c r="D1653" s="6" t="s">
        <v>2200</v>
      </c>
      <c r="E1653" t="s">
        <v>2280</v>
      </c>
      <c r="F1653" s="6" t="s">
        <v>338</v>
      </c>
      <c r="H1653">
        <v>1E-3</v>
      </c>
    </row>
    <row r="1654" spans="1:17" x14ac:dyDescent="0.2">
      <c r="A1654" t="s">
        <v>2201</v>
      </c>
      <c r="B1654" s="6" t="s">
        <v>2199</v>
      </c>
      <c r="C1654">
        <v>2</v>
      </c>
      <c r="D1654" s="6" t="s">
        <v>2200</v>
      </c>
      <c r="E1654" t="s">
        <v>2281</v>
      </c>
      <c r="F1654" s="6" t="s">
        <v>1344</v>
      </c>
      <c r="H1654">
        <f>0.659-0.589</f>
        <v>7.0000000000000062E-2</v>
      </c>
    </row>
    <row r="1655" spans="1:17" x14ac:dyDescent="0.2">
      <c r="A1655" t="s">
        <v>2201</v>
      </c>
      <c r="B1655" s="6" t="s">
        <v>2199</v>
      </c>
      <c r="C1655">
        <v>2</v>
      </c>
      <c r="D1655" s="6" t="s">
        <v>2200</v>
      </c>
      <c r="E1655" s="8" t="s">
        <v>2282</v>
      </c>
      <c r="F1655" s="6" t="s">
        <v>1538</v>
      </c>
      <c r="H1655">
        <v>0.1</v>
      </c>
      <c r="Q1655" t="s">
        <v>9463</v>
      </c>
    </row>
    <row r="1656" spans="1:17" x14ac:dyDescent="0.2">
      <c r="A1656" t="s">
        <v>2201</v>
      </c>
      <c r="B1656" s="6" t="s">
        <v>2199</v>
      </c>
      <c r="C1656">
        <v>2</v>
      </c>
      <c r="D1656" s="6" t="s">
        <v>2200</v>
      </c>
      <c r="E1656" s="8" t="s">
        <v>2283</v>
      </c>
      <c r="F1656" s="6" t="s">
        <v>1538</v>
      </c>
      <c r="H1656">
        <v>1.4999999999999999E-2</v>
      </c>
      <c r="Q1656" t="s">
        <v>9464</v>
      </c>
    </row>
    <row r="1657" spans="1:17" x14ac:dyDescent="0.2">
      <c r="A1657" t="s">
        <v>2201</v>
      </c>
      <c r="B1657" s="6" t="s">
        <v>2199</v>
      </c>
      <c r="C1657">
        <v>2</v>
      </c>
      <c r="D1657" s="6" t="s">
        <v>2200</v>
      </c>
      <c r="E1657" s="8" t="s">
        <v>2284</v>
      </c>
      <c r="F1657" s="6" t="s">
        <v>1538</v>
      </c>
      <c r="H1657">
        <v>2.5000000000000001E-2</v>
      </c>
      <c r="Q1657" t="s">
        <v>9459</v>
      </c>
    </row>
    <row r="1658" spans="1:17" x14ac:dyDescent="0.2">
      <c r="A1658" t="s">
        <v>2201</v>
      </c>
      <c r="B1658" s="6" t="s">
        <v>2199</v>
      </c>
      <c r="C1658">
        <v>2</v>
      </c>
      <c r="D1658" s="6" t="s">
        <v>2200</v>
      </c>
      <c r="E1658" s="8" t="s">
        <v>2285</v>
      </c>
      <c r="F1658" s="6" t="s">
        <v>1538</v>
      </c>
      <c r="H1658">
        <v>1.6E-2</v>
      </c>
      <c r="Q1658" t="s">
        <v>9460</v>
      </c>
    </row>
    <row r="1659" spans="1:17" x14ac:dyDescent="0.2">
      <c r="A1659" t="s">
        <v>2201</v>
      </c>
      <c r="B1659" s="6" t="s">
        <v>2199</v>
      </c>
      <c r="C1659">
        <v>2</v>
      </c>
      <c r="D1659" s="6" t="s">
        <v>2200</v>
      </c>
      <c r="E1659" s="8" t="s">
        <v>2286</v>
      </c>
      <c r="F1659" s="6" t="s">
        <v>1538</v>
      </c>
      <c r="H1659">
        <v>3.4000000000000002E-2</v>
      </c>
      <c r="Q1659" t="s">
        <v>9465</v>
      </c>
    </row>
    <row r="1660" spans="1:17" x14ac:dyDescent="0.2">
      <c r="A1660" t="s">
        <v>2201</v>
      </c>
      <c r="B1660" s="6" t="s">
        <v>2199</v>
      </c>
      <c r="C1660">
        <v>2</v>
      </c>
      <c r="D1660" s="6" t="s">
        <v>2200</v>
      </c>
      <c r="E1660" s="8" t="s">
        <v>2287</v>
      </c>
      <c r="F1660" s="6" t="s">
        <v>1538</v>
      </c>
      <c r="H1660">
        <v>6.0000000000000001E-3</v>
      </c>
      <c r="Q1660" t="s">
        <v>9461</v>
      </c>
    </row>
    <row r="1661" spans="1:17" x14ac:dyDescent="0.2">
      <c r="A1661" t="s">
        <v>2201</v>
      </c>
      <c r="B1661" s="6" t="s">
        <v>2199</v>
      </c>
      <c r="C1661">
        <v>2</v>
      </c>
      <c r="D1661" s="6" t="s">
        <v>2200</v>
      </c>
      <c r="E1661" t="s">
        <v>2288</v>
      </c>
      <c r="F1661" s="6" t="s">
        <v>1538</v>
      </c>
      <c r="H1661">
        <v>7.0000000000000001E-3</v>
      </c>
      <c r="Q1661" t="s">
        <v>9462</v>
      </c>
    </row>
    <row r="1662" spans="1:17" x14ac:dyDescent="0.2">
      <c r="A1662" t="s">
        <v>2201</v>
      </c>
      <c r="B1662" s="6" t="s">
        <v>2199</v>
      </c>
      <c r="C1662">
        <v>2</v>
      </c>
      <c r="D1662" s="6" t="s">
        <v>2200</v>
      </c>
      <c r="E1662" t="s">
        <v>2289</v>
      </c>
      <c r="F1662" s="6" t="s">
        <v>1538</v>
      </c>
      <c r="H1662">
        <v>1E-3</v>
      </c>
      <c r="Q1662" t="s">
        <v>9466</v>
      </c>
    </row>
    <row r="1663" spans="1:17" x14ac:dyDescent="0.2">
      <c r="A1663" t="s">
        <v>2201</v>
      </c>
      <c r="B1663" s="6" t="s">
        <v>2199</v>
      </c>
      <c r="C1663">
        <v>2</v>
      </c>
      <c r="D1663" s="6" t="s">
        <v>2200</v>
      </c>
      <c r="E1663" t="s">
        <v>2290</v>
      </c>
      <c r="F1663" s="6" t="s">
        <v>1538</v>
      </c>
      <c r="G1663">
        <v>1</v>
      </c>
      <c r="Q1663" t="s">
        <v>9467</v>
      </c>
    </row>
    <row r="1664" spans="1:17" x14ac:dyDescent="0.2">
      <c r="A1664" t="s">
        <v>2201</v>
      </c>
      <c r="B1664" s="6" t="s">
        <v>2199</v>
      </c>
      <c r="C1664">
        <v>2</v>
      </c>
      <c r="D1664" s="6" t="s">
        <v>2200</v>
      </c>
      <c r="E1664" t="s">
        <v>2291</v>
      </c>
      <c r="F1664" s="6" t="s">
        <v>1538</v>
      </c>
      <c r="H1664">
        <v>1E-3</v>
      </c>
      <c r="Q1664" t="s">
        <v>9468</v>
      </c>
    </row>
    <row r="1665" spans="1:17" x14ac:dyDescent="0.2">
      <c r="A1665" t="s">
        <v>2201</v>
      </c>
      <c r="B1665" s="6" t="s">
        <v>2199</v>
      </c>
      <c r="C1665">
        <v>2</v>
      </c>
      <c r="D1665" s="6" t="s">
        <v>2200</v>
      </c>
      <c r="E1665" t="s">
        <v>2292</v>
      </c>
      <c r="F1665" s="6" t="s">
        <v>1538</v>
      </c>
      <c r="H1665">
        <v>0.105</v>
      </c>
      <c r="M1665">
        <v>5</v>
      </c>
    </row>
    <row r="1666" spans="1:17" x14ac:dyDescent="0.2">
      <c r="A1666" t="s">
        <v>2201</v>
      </c>
      <c r="B1666" s="6" t="s">
        <v>2199</v>
      </c>
      <c r="C1666">
        <v>2</v>
      </c>
      <c r="D1666" s="6" t="s">
        <v>2200</v>
      </c>
      <c r="E1666" s="8" t="s">
        <v>2293</v>
      </c>
      <c r="F1666" s="6" t="s">
        <v>1538</v>
      </c>
      <c r="H1666">
        <v>0.01</v>
      </c>
      <c r="M1666">
        <v>3</v>
      </c>
    </row>
    <row r="1667" spans="1:17" x14ac:dyDescent="0.2">
      <c r="A1667" t="s">
        <v>2201</v>
      </c>
      <c r="B1667" s="6" t="s">
        <v>2199</v>
      </c>
      <c r="C1667">
        <v>2</v>
      </c>
      <c r="D1667" s="6" t="s">
        <v>2200</v>
      </c>
      <c r="E1667" t="s">
        <v>2294</v>
      </c>
      <c r="F1667" s="6" t="s">
        <v>1538</v>
      </c>
      <c r="H1667">
        <v>0.40699999999999997</v>
      </c>
    </row>
    <row r="1668" spans="1:17" x14ac:dyDescent="0.2">
      <c r="A1668" t="s">
        <v>2201</v>
      </c>
      <c r="B1668" s="6" t="s">
        <v>2199</v>
      </c>
      <c r="C1668">
        <v>2</v>
      </c>
      <c r="D1668" s="6" t="s">
        <v>2200</v>
      </c>
      <c r="E1668" t="s">
        <v>2295</v>
      </c>
      <c r="F1668" s="6" t="s">
        <v>1311</v>
      </c>
      <c r="H1668">
        <v>4.0000000000000001E-3</v>
      </c>
      <c r="Q1668" t="s">
        <v>9470</v>
      </c>
    </row>
    <row r="1669" spans="1:17" x14ac:dyDescent="0.2">
      <c r="A1669" t="s">
        <v>2201</v>
      </c>
      <c r="B1669" s="6" t="s">
        <v>2199</v>
      </c>
      <c r="C1669">
        <v>2</v>
      </c>
      <c r="D1669" s="6" t="s">
        <v>2200</v>
      </c>
      <c r="E1669" t="s">
        <v>9469</v>
      </c>
      <c r="F1669" s="6" t="s">
        <v>1311</v>
      </c>
      <c r="H1669">
        <v>3.0000000000000001E-3</v>
      </c>
      <c r="Q1669" t="s">
        <v>9471</v>
      </c>
    </row>
    <row r="1670" spans="1:17" x14ac:dyDescent="0.2">
      <c r="A1670" t="s">
        <v>2201</v>
      </c>
      <c r="B1670" s="6" t="s">
        <v>2199</v>
      </c>
      <c r="C1670">
        <v>2</v>
      </c>
      <c r="D1670" s="6" t="s">
        <v>2200</v>
      </c>
      <c r="E1670" t="s">
        <v>2296</v>
      </c>
      <c r="F1670" s="6" t="s">
        <v>1311</v>
      </c>
      <c r="H1670">
        <v>3.0000000000000001E-3</v>
      </c>
      <c r="Q1670" t="s">
        <v>9472</v>
      </c>
    </row>
    <row r="1671" spans="1:17" x14ac:dyDescent="0.2">
      <c r="A1671" t="s">
        <v>2201</v>
      </c>
      <c r="B1671" s="6" t="s">
        <v>2199</v>
      </c>
      <c r="C1671">
        <v>2</v>
      </c>
      <c r="D1671" s="6" t="s">
        <v>2200</v>
      </c>
      <c r="E1671" t="s">
        <v>2297</v>
      </c>
      <c r="F1671" s="6" t="s">
        <v>1311</v>
      </c>
      <c r="H1671">
        <v>3.0000000000000001E-3</v>
      </c>
      <c r="Q1671" t="s">
        <v>9473</v>
      </c>
    </row>
    <row r="1672" spans="1:17" x14ac:dyDescent="0.2">
      <c r="A1672" t="s">
        <v>2201</v>
      </c>
      <c r="B1672" s="6" t="s">
        <v>2199</v>
      </c>
      <c r="C1672">
        <v>2</v>
      </c>
      <c r="D1672" s="6" t="s">
        <v>2200</v>
      </c>
      <c r="E1672" t="s">
        <v>2298</v>
      </c>
      <c r="F1672" s="6" t="s">
        <v>1311</v>
      </c>
      <c r="H1672">
        <v>2E-3</v>
      </c>
      <c r="Q1672" t="s">
        <v>9474</v>
      </c>
    </row>
    <row r="1673" spans="1:17" x14ac:dyDescent="0.2">
      <c r="A1673" t="s">
        <v>2201</v>
      </c>
      <c r="B1673" s="6" t="s">
        <v>2199</v>
      </c>
      <c r="C1673">
        <v>2</v>
      </c>
      <c r="D1673" s="6" t="s">
        <v>2200</v>
      </c>
      <c r="E1673" t="s">
        <v>2299</v>
      </c>
      <c r="F1673" s="6" t="s">
        <v>7337</v>
      </c>
      <c r="H1673">
        <v>2.4E-2</v>
      </c>
      <c r="Q1673" t="s">
        <v>9475</v>
      </c>
    </row>
    <row r="1674" spans="1:17" x14ac:dyDescent="0.2">
      <c r="A1674" t="s">
        <v>2201</v>
      </c>
      <c r="B1674" s="6" t="s">
        <v>2199</v>
      </c>
      <c r="C1674">
        <v>2</v>
      </c>
      <c r="D1674" s="6" t="s">
        <v>2200</v>
      </c>
      <c r="E1674" t="s">
        <v>2300</v>
      </c>
      <c r="F1674" s="6" t="s">
        <v>6231</v>
      </c>
      <c r="H1674">
        <v>1.7999999999999999E-2</v>
      </c>
      <c r="Q1674" t="s">
        <v>9476</v>
      </c>
    </row>
    <row r="1675" spans="1:17" x14ac:dyDescent="0.2">
      <c r="A1675" t="s">
        <v>2201</v>
      </c>
      <c r="B1675" s="6" t="s">
        <v>2199</v>
      </c>
      <c r="C1675">
        <v>2</v>
      </c>
      <c r="D1675" s="6" t="s">
        <v>2200</v>
      </c>
      <c r="E1675" t="s">
        <v>2301</v>
      </c>
      <c r="F1675" s="6" t="s">
        <v>9060</v>
      </c>
      <c r="H1675">
        <v>4.3999999999999997E-2</v>
      </c>
      <c r="O1675" t="s">
        <v>2209</v>
      </c>
      <c r="Q1675" t="s">
        <v>9477</v>
      </c>
    </row>
    <row r="1676" spans="1:17" x14ac:dyDescent="0.2">
      <c r="A1676" t="s">
        <v>2201</v>
      </c>
      <c r="B1676" s="6" t="s">
        <v>2199</v>
      </c>
      <c r="C1676">
        <v>2</v>
      </c>
      <c r="D1676" s="6" t="s">
        <v>2200</v>
      </c>
      <c r="E1676" t="s">
        <v>2302</v>
      </c>
      <c r="F1676" s="6" t="s">
        <v>9060</v>
      </c>
      <c r="H1676">
        <v>1.7000000000000001E-2</v>
      </c>
      <c r="Q1676" t="s">
        <v>9478</v>
      </c>
    </row>
    <row r="1677" spans="1:17" x14ac:dyDescent="0.2">
      <c r="A1677" t="s">
        <v>2201</v>
      </c>
      <c r="B1677" s="6" t="s">
        <v>2199</v>
      </c>
      <c r="C1677">
        <v>2</v>
      </c>
      <c r="D1677" s="6" t="s">
        <v>2200</v>
      </c>
      <c r="E1677" t="s">
        <v>2303</v>
      </c>
      <c r="F1677" s="6" t="s">
        <v>9043</v>
      </c>
      <c r="H1677">
        <v>8.0000000000000002E-3</v>
      </c>
      <c r="Q1677" t="s">
        <v>9479</v>
      </c>
    </row>
    <row r="1678" spans="1:17" x14ac:dyDescent="0.2">
      <c r="A1678" t="s">
        <v>2201</v>
      </c>
      <c r="B1678" s="6" t="s">
        <v>2199</v>
      </c>
      <c r="C1678">
        <v>2</v>
      </c>
      <c r="D1678" s="6" t="s">
        <v>2200</v>
      </c>
      <c r="E1678" t="s">
        <v>2304</v>
      </c>
      <c r="F1678" t="s">
        <v>6978</v>
      </c>
      <c r="G1678" t="s">
        <v>114</v>
      </c>
      <c r="Q1678" t="s">
        <v>6023</v>
      </c>
    </row>
    <row r="1679" spans="1:17" x14ac:dyDescent="0.2">
      <c r="A1679" t="s">
        <v>2201</v>
      </c>
      <c r="B1679" s="6" t="s">
        <v>2199</v>
      </c>
      <c r="C1679">
        <v>2</v>
      </c>
      <c r="D1679" s="6" t="s">
        <v>2200</v>
      </c>
      <c r="E1679" t="s">
        <v>2305</v>
      </c>
      <c r="F1679" s="6" t="s">
        <v>6239</v>
      </c>
      <c r="G1679" t="s">
        <v>114</v>
      </c>
      <c r="Q1679" t="s">
        <v>9492</v>
      </c>
    </row>
    <row r="1680" spans="1:17" x14ac:dyDescent="0.2">
      <c r="A1680" t="s">
        <v>2201</v>
      </c>
      <c r="B1680" s="6" t="s">
        <v>2199</v>
      </c>
      <c r="C1680">
        <v>2</v>
      </c>
      <c r="D1680" s="6" t="s">
        <v>2200</v>
      </c>
      <c r="E1680" t="s">
        <v>2306</v>
      </c>
      <c r="F1680" s="6" t="s">
        <v>1389</v>
      </c>
      <c r="H1680">
        <v>6.0000000000000001E-3</v>
      </c>
      <c r="Q1680" t="s">
        <v>9486</v>
      </c>
    </row>
    <row r="1681" spans="1:17" x14ac:dyDescent="0.2">
      <c r="A1681" t="s">
        <v>2201</v>
      </c>
      <c r="B1681" s="6" t="s">
        <v>2199</v>
      </c>
      <c r="C1681">
        <v>2</v>
      </c>
      <c r="D1681" s="6" t="s">
        <v>2200</v>
      </c>
      <c r="E1681" t="s">
        <v>2307</v>
      </c>
      <c r="F1681" s="6" t="s">
        <v>1389</v>
      </c>
      <c r="H1681">
        <v>7.0000000000000001E-3</v>
      </c>
      <c r="Q1681" t="s">
        <v>9487</v>
      </c>
    </row>
    <row r="1682" spans="1:17" x14ac:dyDescent="0.2">
      <c r="A1682" t="s">
        <v>2201</v>
      </c>
      <c r="B1682" s="6" t="s">
        <v>2199</v>
      </c>
      <c r="C1682">
        <v>2</v>
      </c>
      <c r="D1682" s="6" t="s">
        <v>2200</v>
      </c>
      <c r="E1682" t="s">
        <v>2308</v>
      </c>
      <c r="F1682" s="6" t="s">
        <v>1389</v>
      </c>
      <c r="H1682">
        <v>5.0000000000000001E-3</v>
      </c>
      <c r="Q1682" t="s">
        <v>9488</v>
      </c>
    </row>
    <row r="1683" spans="1:17" x14ac:dyDescent="0.2">
      <c r="A1683" t="s">
        <v>2201</v>
      </c>
      <c r="B1683" s="6" t="s">
        <v>2199</v>
      </c>
      <c r="C1683">
        <v>2</v>
      </c>
      <c r="D1683" s="6" t="s">
        <v>2200</v>
      </c>
      <c r="E1683" t="s">
        <v>2309</v>
      </c>
      <c r="F1683" s="6" t="s">
        <v>1389</v>
      </c>
      <c r="H1683">
        <v>6.0000000000000001E-3</v>
      </c>
      <c r="Q1683" t="s">
        <v>9485</v>
      </c>
    </row>
    <row r="1684" spans="1:17" x14ac:dyDescent="0.2">
      <c r="A1684" t="s">
        <v>2201</v>
      </c>
      <c r="B1684" s="6" t="s">
        <v>2199</v>
      </c>
      <c r="C1684">
        <v>2</v>
      </c>
      <c r="D1684" s="6" t="s">
        <v>2200</v>
      </c>
      <c r="E1684" t="s">
        <v>2310</v>
      </c>
      <c r="F1684" s="6" t="s">
        <v>1389</v>
      </c>
      <c r="H1684">
        <v>6.0000000000000001E-3</v>
      </c>
      <c r="Q1684" t="s">
        <v>9489</v>
      </c>
    </row>
    <row r="1685" spans="1:17" x14ac:dyDescent="0.2">
      <c r="A1685" t="s">
        <v>2201</v>
      </c>
      <c r="B1685" s="6" t="s">
        <v>2199</v>
      </c>
      <c r="C1685">
        <v>2</v>
      </c>
      <c r="D1685" s="6" t="s">
        <v>2200</v>
      </c>
      <c r="E1685" t="s">
        <v>2311</v>
      </c>
      <c r="F1685" s="6" t="s">
        <v>1389</v>
      </c>
      <c r="H1685">
        <v>2E-3</v>
      </c>
      <c r="Q1685" t="s">
        <v>9490</v>
      </c>
    </row>
    <row r="1686" spans="1:17" x14ac:dyDescent="0.2">
      <c r="A1686" t="s">
        <v>2201</v>
      </c>
      <c r="B1686" s="6" t="s">
        <v>2199</v>
      </c>
      <c r="C1686">
        <v>2</v>
      </c>
      <c r="D1686" s="6" t="s">
        <v>2200</v>
      </c>
      <c r="E1686" t="s">
        <v>2312</v>
      </c>
      <c r="F1686" s="6" t="s">
        <v>1425</v>
      </c>
      <c r="H1686">
        <v>5.0000000000000001E-3</v>
      </c>
      <c r="Q1686" t="s">
        <v>9480</v>
      </c>
    </row>
    <row r="1687" spans="1:17" x14ac:dyDescent="0.2">
      <c r="A1687" t="s">
        <v>2201</v>
      </c>
      <c r="B1687" s="6" t="s">
        <v>2199</v>
      </c>
      <c r="C1687">
        <v>2</v>
      </c>
      <c r="D1687" s="6" t="s">
        <v>2200</v>
      </c>
      <c r="E1687" t="s">
        <v>2313</v>
      </c>
      <c r="F1687" s="6" t="s">
        <v>1425</v>
      </c>
      <c r="H1687">
        <v>5.0000000000000001E-3</v>
      </c>
      <c r="Q1687" t="s">
        <v>9481</v>
      </c>
    </row>
    <row r="1688" spans="1:17" x14ac:dyDescent="0.2">
      <c r="A1688" t="s">
        <v>2201</v>
      </c>
      <c r="B1688" s="6" t="s">
        <v>2199</v>
      </c>
      <c r="C1688">
        <v>2</v>
      </c>
      <c r="D1688" s="6" t="s">
        <v>2200</v>
      </c>
      <c r="E1688" t="s">
        <v>2288</v>
      </c>
      <c r="F1688" s="6" t="s">
        <v>1425</v>
      </c>
      <c r="H1688">
        <v>5.0000000000000001E-3</v>
      </c>
      <c r="Q1688" t="s">
        <v>9482</v>
      </c>
    </row>
    <row r="1689" spans="1:17" x14ac:dyDescent="0.2">
      <c r="A1689" t="s">
        <v>2201</v>
      </c>
      <c r="B1689" s="6" t="s">
        <v>2199</v>
      </c>
      <c r="C1689">
        <v>2</v>
      </c>
      <c r="D1689" s="6" t="s">
        <v>2200</v>
      </c>
      <c r="E1689" t="s">
        <v>2314</v>
      </c>
      <c r="F1689" s="6" t="s">
        <v>1425</v>
      </c>
      <c r="H1689">
        <v>3.0000000000000001E-3</v>
      </c>
      <c r="Q1689" t="s">
        <v>9483</v>
      </c>
    </row>
    <row r="1690" spans="1:17" x14ac:dyDescent="0.2">
      <c r="A1690" t="s">
        <v>2201</v>
      </c>
      <c r="B1690" s="6" t="s">
        <v>2199</v>
      </c>
      <c r="C1690">
        <v>2</v>
      </c>
      <c r="D1690" s="6" t="s">
        <v>2200</v>
      </c>
      <c r="E1690" t="s">
        <v>2315</v>
      </c>
      <c r="F1690" s="6" t="s">
        <v>1425</v>
      </c>
      <c r="H1690">
        <v>6.0000000000000001E-3</v>
      </c>
      <c r="Q1690" t="s">
        <v>9484</v>
      </c>
    </row>
    <row r="1691" spans="1:17" x14ac:dyDescent="0.2">
      <c r="A1691" t="s">
        <v>2201</v>
      </c>
      <c r="B1691" s="6" t="s">
        <v>2199</v>
      </c>
      <c r="C1691">
        <v>2</v>
      </c>
      <c r="D1691" s="6" t="s">
        <v>2200</v>
      </c>
      <c r="E1691" t="s">
        <v>2316</v>
      </c>
      <c r="F1691" s="6" t="s">
        <v>1425</v>
      </c>
      <c r="H1691">
        <v>3.0000000000000001E-3</v>
      </c>
      <c r="Q1691" t="s">
        <v>9491</v>
      </c>
    </row>
    <row r="1692" spans="1:17" x14ac:dyDescent="0.2">
      <c r="A1692" t="s">
        <v>2201</v>
      </c>
      <c r="B1692" s="6" t="s">
        <v>2199</v>
      </c>
      <c r="C1692">
        <v>3</v>
      </c>
      <c r="D1692" s="6" t="s">
        <v>2200</v>
      </c>
      <c r="E1692" s="8" t="s">
        <v>2317</v>
      </c>
      <c r="F1692" s="6" t="s">
        <v>1264</v>
      </c>
      <c r="H1692">
        <f>4.7-0.311</f>
        <v>4.3890000000000002</v>
      </c>
      <c r="O1692" t="s">
        <v>2208</v>
      </c>
    </row>
    <row r="1693" spans="1:17" x14ac:dyDescent="0.2">
      <c r="A1693" t="s">
        <v>2201</v>
      </c>
      <c r="B1693" s="6" t="s">
        <v>2199</v>
      </c>
      <c r="C1693">
        <v>3</v>
      </c>
      <c r="D1693" s="6" t="s">
        <v>2200</v>
      </c>
      <c r="E1693" s="8" t="s">
        <v>2318</v>
      </c>
      <c r="F1693" s="6" t="s">
        <v>504</v>
      </c>
      <c r="H1693">
        <f>2.4-0.427</f>
        <v>1.9729999999999999</v>
      </c>
      <c r="O1693" t="s">
        <v>2207</v>
      </c>
    </row>
    <row r="1694" spans="1:17" x14ac:dyDescent="0.2">
      <c r="A1694" t="s">
        <v>2201</v>
      </c>
      <c r="B1694" s="6" t="s">
        <v>2199</v>
      </c>
      <c r="C1694">
        <v>3</v>
      </c>
      <c r="D1694" s="6" t="s">
        <v>2200</v>
      </c>
      <c r="E1694" s="8" t="s">
        <v>2319</v>
      </c>
      <c r="F1694" s="6" t="s">
        <v>1425</v>
      </c>
      <c r="H1694">
        <v>5.0000000000000001E-3</v>
      </c>
      <c r="Q1694" t="s">
        <v>9493</v>
      </c>
    </row>
    <row r="1695" spans="1:17" x14ac:dyDescent="0.2">
      <c r="A1695" t="s">
        <v>2201</v>
      </c>
      <c r="B1695" s="6" t="s">
        <v>2199</v>
      </c>
      <c r="C1695">
        <v>3</v>
      </c>
      <c r="D1695" s="6" t="s">
        <v>2200</v>
      </c>
      <c r="E1695" s="8" t="s">
        <v>2320</v>
      </c>
      <c r="F1695" s="6" t="s">
        <v>1425</v>
      </c>
      <c r="H1695">
        <v>3.0000000000000001E-3</v>
      </c>
      <c r="Q1695" t="s">
        <v>9494</v>
      </c>
    </row>
    <row r="1696" spans="1:17" x14ac:dyDescent="0.2">
      <c r="A1696" t="s">
        <v>2201</v>
      </c>
      <c r="B1696" s="6" t="s">
        <v>2199</v>
      </c>
      <c r="C1696">
        <v>3</v>
      </c>
      <c r="D1696" s="6" t="s">
        <v>2200</v>
      </c>
      <c r="E1696" s="8" t="s">
        <v>2321</v>
      </c>
      <c r="F1696" s="6" t="s">
        <v>1425</v>
      </c>
      <c r="H1696">
        <v>4.0000000000000001E-3</v>
      </c>
      <c r="Q1696" t="s">
        <v>9495</v>
      </c>
    </row>
    <row r="1697" spans="1:17" x14ac:dyDescent="0.2">
      <c r="A1697" t="s">
        <v>2201</v>
      </c>
      <c r="B1697" s="6" t="s">
        <v>2199</v>
      </c>
      <c r="C1697">
        <v>3</v>
      </c>
      <c r="D1697" s="6" t="s">
        <v>2200</v>
      </c>
      <c r="E1697" s="8" t="s">
        <v>2322</v>
      </c>
      <c r="F1697" s="6" t="s">
        <v>1425</v>
      </c>
      <c r="H1697">
        <v>3.0000000000000001E-3</v>
      </c>
      <c r="Q1697" t="s">
        <v>9496</v>
      </c>
    </row>
    <row r="1698" spans="1:17" x14ac:dyDescent="0.2">
      <c r="A1698" t="s">
        <v>2201</v>
      </c>
      <c r="B1698" s="6" t="s">
        <v>2199</v>
      </c>
      <c r="C1698">
        <v>3</v>
      </c>
      <c r="D1698" s="6" t="s">
        <v>2200</v>
      </c>
      <c r="E1698" s="8" t="s">
        <v>2323</v>
      </c>
      <c r="F1698" s="6" t="s">
        <v>1425</v>
      </c>
      <c r="H1698">
        <v>5.0000000000000001E-3</v>
      </c>
      <c r="Q1698" t="s">
        <v>9497</v>
      </c>
    </row>
    <row r="1699" spans="1:17" x14ac:dyDescent="0.2">
      <c r="A1699" t="s">
        <v>2201</v>
      </c>
      <c r="B1699" s="6" t="s">
        <v>2199</v>
      </c>
      <c r="C1699">
        <v>3</v>
      </c>
      <c r="D1699" s="6" t="s">
        <v>2200</v>
      </c>
      <c r="E1699" t="s">
        <v>2324</v>
      </c>
      <c r="F1699" s="6" t="s">
        <v>1425</v>
      </c>
      <c r="H1699">
        <v>1.9E-2</v>
      </c>
      <c r="M1699">
        <v>5</v>
      </c>
    </row>
    <row r="1700" spans="1:17" x14ac:dyDescent="0.2">
      <c r="A1700" t="s">
        <v>2201</v>
      </c>
      <c r="B1700" s="6" t="s">
        <v>2199</v>
      </c>
      <c r="C1700">
        <v>3</v>
      </c>
      <c r="D1700" s="6" t="s">
        <v>2200</v>
      </c>
      <c r="E1700" s="8" t="s">
        <v>2325</v>
      </c>
      <c r="F1700" s="6" t="s">
        <v>1538</v>
      </c>
      <c r="G1700" s="6" t="s">
        <v>114</v>
      </c>
      <c r="Q1700" t="s">
        <v>9498</v>
      </c>
    </row>
    <row r="1701" spans="1:17" x14ac:dyDescent="0.2">
      <c r="A1701" t="s">
        <v>2201</v>
      </c>
      <c r="B1701" s="6" t="s">
        <v>2199</v>
      </c>
      <c r="C1701">
        <v>3</v>
      </c>
      <c r="D1701" s="6" t="s">
        <v>2200</v>
      </c>
      <c r="E1701" s="8" t="s">
        <v>2326</v>
      </c>
      <c r="F1701" s="6" t="s">
        <v>1538</v>
      </c>
      <c r="H1701">
        <v>3.0000000000000001E-3</v>
      </c>
      <c r="Q1701" t="s">
        <v>9499</v>
      </c>
    </row>
    <row r="1702" spans="1:17" x14ac:dyDescent="0.2">
      <c r="A1702" t="s">
        <v>2201</v>
      </c>
      <c r="B1702" s="6" t="s">
        <v>2199</v>
      </c>
      <c r="C1702">
        <v>3</v>
      </c>
      <c r="D1702" s="6" t="s">
        <v>2200</v>
      </c>
      <c r="E1702" t="s">
        <v>2327</v>
      </c>
      <c r="F1702" s="6" t="s">
        <v>1538</v>
      </c>
      <c r="H1702">
        <v>1E-3</v>
      </c>
      <c r="Q1702" t="s">
        <v>9500</v>
      </c>
    </row>
    <row r="1703" spans="1:17" x14ac:dyDescent="0.2">
      <c r="A1703" t="s">
        <v>2201</v>
      </c>
      <c r="B1703" s="6" t="s">
        <v>2199</v>
      </c>
      <c r="C1703">
        <v>3</v>
      </c>
      <c r="D1703" s="6" t="s">
        <v>2200</v>
      </c>
      <c r="E1703" t="s">
        <v>2328</v>
      </c>
      <c r="F1703" s="6" t="s">
        <v>1538</v>
      </c>
      <c r="H1703">
        <v>3.0000000000000001E-3</v>
      </c>
      <c r="Q1703" t="s">
        <v>9501</v>
      </c>
    </row>
    <row r="1704" spans="1:17" x14ac:dyDescent="0.2">
      <c r="A1704" t="s">
        <v>2201</v>
      </c>
      <c r="B1704" s="6" t="s">
        <v>2199</v>
      </c>
      <c r="C1704">
        <v>3</v>
      </c>
      <c r="D1704" s="6" t="s">
        <v>2200</v>
      </c>
      <c r="E1704" t="s">
        <v>2329</v>
      </c>
      <c r="F1704" s="6" t="s">
        <v>1538</v>
      </c>
      <c r="H1704">
        <v>4.0000000000000001E-3</v>
      </c>
      <c r="Q1704" t="s">
        <v>9502</v>
      </c>
    </row>
    <row r="1705" spans="1:17" x14ac:dyDescent="0.2">
      <c r="A1705" t="s">
        <v>2201</v>
      </c>
      <c r="B1705" s="6" t="s">
        <v>2199</v>
      </c>
      <c r="C1705">
        <v>3</v>
      </c>
      <c r="D1705" s="6" t="s">
        <v>2200</v>
      </c>
      <c r="E1705" t="s">
        <v>2330</v>
      </c>
      <c r="F1705" s="6" t="s">
        <v>1538</v>
      </c>
      <c r="H1705">
        <v>8.0000000000000002E-3</v>
      </c>
      <c r="M1705">
        <v>6</v>
      </c>
    </row>
    <row r="1706" spans="1:17" x14ac:dyDescent="0.2">
      <c r="A1706" t="s">
        <v>2201</v>
      </c>
      <c r="B1706" s="6" t="s">
        <v>2199</v>
      </c>
      <c r="C1706">
        <v>3</v>
      </c>
      <c r="D1706" s="6" t="s">
        <v>2200</v>
      </c>
      <c r="E1706" t="s">
        <v>2331</v>
      </c>
      <c r="F1706" s="6" t="s">
        <v>1538</v>
      </c>
      <c r="H1706">
        <v>3.0000000000000001E-3</v>
      </c>
    </row>
    <row r="1707" spans="1:17" x14ac:dyDescent="0.2">
      <c r="A1707" t="s">
        <v>2201</v>
      </c>
      <c r="B1707" s="6" t="s">
        <v>2199</v>
      </c>
      <c r="C1707">
        <v>3</v>
      </c>
      <c r="D1707" s="6" t="s">
        <v>2200</v>
      </c>
      <c r="E1707" t="s">
        <v>2332</v>
      </c>
      <c r="F1707" s="6" t="s">
        <v>5639</v>
      </c>
      <c r="H1707">
        <v>6.0999999999999999E-2</v>
      </c>
      <c r="Q1707" t="s">
        <v>9503</v>
      </c>
    </row>
    <row r="1708" spans="1:17" x14ac:dyDescent="0.2">
      <c r="A1708" t="s">
        <v>2201</v>
      </c>
      <c r="B1708" s="6" t="s">
        <v>2199</v>
      </c>
      <c r="C1708">
        <v>3</v>
      </c>
      <c r="D1708" s="6" t="s">
        <v>2200</v>
      </c>
      <c r="E1708" t="s">
        <v>2333</v>
      </c>
      <c r="F1708" s="6" t="s">
        <v>5639</v>
      </c>
      <c r="H1708">
        <v>6.4000000000000001E-2</v>
      </c>
      <c r="Q1708" t="s">
        <v>9504</v>
      </c>
    </row>
    <row r="1709" spans="1:17" x14ac:dyDescent="0.2">
      <c r="A1709" t="s">
        <v>2201</v>
      </c>
      <c r="B1709" s="6" t="s">
        <v>2199</v>
      </c>
      <c r="C1709">
        <v>3</v>
      </c>
      <c r="D1709" s="6" t="s">
        <v>2200</v>
      </c>
      <c r="E1709" t="s">
        <v>2334</v>
      </c>
      <c r="F1709" s="6" t="s">
        <v>5639</v>
      </c>
      <c r="H1709">
        <v>4.2000000000000003E-2</v>
      </c>
      <c r="Q1709" t="s">
        <v>9505</v>
      </c>
    </row>
    <row r="1710" spans="1:17" x14ac:dyDescent="0.2">
      <c r="A1710" t="s">
        <v>2201</v>
      </c>
      <c r="B1710" s="6" t="s">
        <v>2199</v>
      </c>
      <c r="C1710">
        <v>3</v>
      </c>
      <c r="D1710" s="6" t="s">
        <v>2200</v>
      </c>
      <c r="E1710" t="s">
        <v>2335</v>
      </c>
      <c r="F1710" s="6" t="s">
        <v>5639</v>
      </c>
      <c r="H1710">
        <v>4.9000000000000002E-2</v>
      </c>
      <c r="Q1710" t="s">
        <v>9506</v>
      </c>
    </row>
    <row r="1711" spans="1:17" x14ac:dyDescent="0.2">
      <c r="A1711" t="s">
        <v>2201</v>
      </c>
      <c r="B1711" s="6" t="s">
        <v>2199</v>
      </c>
      <c r="C1711">
        <v>3</v>
      </c>
      <c r="D1711" s="6" t="s">
        <v>2200</v>
      </c>
      <c r="E1711" t="s">
        <v>2336</v>
      </c>
      <c r="F1711" s="6" t="s">
        <v>5639</v>
      </c>
      <c r="H1711">
        <v>5.8999999999999997E-2</v>
      </c>
      <c r="Q1711" t="s">
        <v>9507</v>
      </c>
    </row>
    <row r="1712" spans="1:17" x14ac:dyDescent="0.2">
      <c r="A1712" t="s">
        <v>2201</v>
      </c>
      <c r="B1712" s="6" t="s">
        <v>2199</v>
      </c>
      <c r="C1712">
        <v>3</v>
      </c>
      <c r="D1712" s="6" t="s">
        <v>2200</v>
      </c>
      <c r="E1712" t="s">
        <v>2337</v>
      </c>
      <c r="F1712" s="6" t="s">
        <v>6231</v>
      </c>
      <c r="H1712">
        <v>1.7999999999999999E-2</v>
      </c>
      <c r="Q1712" t="s">
        <v>9508</v>
      </c>
    </row>
    <row r="1713" spans="1:17" x14ac:dyDescent="0.2">
      <c r="A1713" t="s">
        <v>2201</v>
      </c>
      <c r="B1713" s="6" t="s">
        <v>2199</v>
      </c>
      <c r="C1713">
        <v>3</v>
      </c>
      <c r="D1713" s="6" t="s">
        <v>2200</v>
      </c>
      <c r="E1713" t="s">
        <v>2338</v>
      </c>
      <c r="F1713" s="6" t="s">
        <v>9060</v>
      </c>
      <c r="H1713">
        <v>1.2999999999999999E-2</v>
      </c>
      <c r="Q1713" t="s">
        <v>9509</v>
      </c>
    </row>
    <row r="1714" spans="1:17" x14ac:dyDescent="0.2">
      <c r="A1714" t="s">
        <v>2201</v>
      </c>
      <c r="B1714" s="6" t="s">
        <v>2199</v>
      </c>
      <c r="C1714">
        <v>3</v>
      </c>
      <c r="D1714" s="6" t="s">
        <v>2200</v>
      </c>
      <c r="E1714" t="s">
        <v>2339</v>
      </c>
      <c r="F1714" s="6" t="s">
        <v>7990</v>
      </c>
      <c r="H1714">
        <v>1.4999999999999999E-2</v>
      </c>
      <c r="Q1714" t="s">
        <v>9510</v>
      </c>
    </row>
    <row r="1715" spans="1:17" x14ac:dyDescent="0.2">
      <c r="A1715" t="s">
        <v>2201</v>
      </c>
      <c r="B1715" s="6" t="s">
        <v>2199</v>
      </c>
      <c r="C1715">
        <v>3</v>
      </c>
      <c r="D1715" s="6" t="s">
        <v>2200</v>
      </c>
      <c r="E1715" t="s">
        <v>2340</v>
      </c>
      <c r="F1715" s="6" t="s">
        <v>7138</v>
      </c>
      <c r="H1715">
        <v>4.3999999999999997E-2</v>
      </c>
      <c r="M1715" t="s">
        <v>802</v>
      </c>
      <c r="Q1715" t="s">
        <v>9511</v>
      </c>
    </row>
    <row r="1716" spans="1:17" x14ac:dyDescent="0.2">
      <c r="A1716" t="s">
        <v>2201</v>
      </c>
      <c r="B1716" s="6" t="s">
        <v>2199</v>
      </c>
      <c r="C1716">
        <v>3</v>
      </c>
      <c r="D1716" s="6" t="s">
        <v>2200</v>
      </c>
      <c r="E1716" t="s">
        <v>2341</v>
      </c>
      <c r="F1716" s="6" t="s">
        <v>1458</v>
      </c>
      <c r="H1716">
        <v>2.4E-2</v>
      </c>
      <c r="O1716" t="s">
        <v>2210</v>
      </c>
    </row>
    <row r="1717" spans="1:17" x14ac:dyDescent="0.2">
      <c r="A1717" t="s">
        <v>2201</v>
      </c>
      <c r="B1717" s="6" t="s">
        <v>2199</v>
      </c>
      <c r="C1717">
        <v>3</v>
      </c>
      <c r="D1717" s="6" t="s">
        <v>2200</v>
      </c>
      <c r="E1717" t="s">
        <v>2342</v>
      </c>
      <c r="F1717" s="6" t="s">
        <v>1459</v>
      </c>
      <c r="H1717">
        <v>1E-3</v>
      </c>
      <c r="O1717" t="s">
        <v>2211</v>
      </c>
    </row>
    <row r="1718" spans="1:17" x14ac:dyDescent="0.2">
      <c r="A1718" t="s">
        <v>2201</v>
      </c>
      <c r="B1718" s="6" t="s">
        <v>2199</v>
      </c>
      <c r="C1718">
        <v>3</v>
      </c>
      <c r="D1718" s="6" t="s">
        <v>2200</v>
      </c>
      <c r="E1718" t="s">
        <v>2343</v>
      </c>
      <c r="F1718" s="6" t="s">
        <v>1311</v>
      </c>
      <c r="H1718">
        <v>4.0000000000000001E-3</v>
      </c>
      <c r="Q1718" t="s">
        <v>9512</v>
      </c>
    </row>
    <row r="1719" spans="1:17" x14ac:dyDescent="0.2">
      <c r="A1719" t="s">
        <v>2201</v>
      </c>
      <c r="B1719" s="6" t="s">
        <v>2199</v>
      </c>
      <c r="C1719">
        <v>3</v>
      </c>
      <c r="D1719" s="6" t="s">
        <v>2200</v>
      </c>
      <c r="E1719" t="s">
        <v>2344</v>
      </c>
      <c r="F1719" s="6" t="s">
        <v>1311</v>
      </c>
      <c r="H1719">
        <v>3.0000000000000001E-3</v>
      </c>
      <c r="Q1719" t="s">
        <v>9513</v>
      </c>
    </row>
    <row r="1720" spans="1:17" x14ac:dyDescent="0.2">
      <c r="A1720" t="s">
        <v>2201</v>
      </c>
      <c r="B1720" s="6" t="s">
        <v>2199</v>
      </c>
      <c r="C1720">
        <v>3</v>
      </c>
      <c r="D1720" s="6" t="s">
        <v>2200</v>
      </c>
      <c r="E1720" t="s">
        <v>2345</v>
      </c>
      <c r="F1720" s="6" t="s">
        <v>1311</v>
      </c>
      <c r="H1720">
        <v>4.0000000000000001E-3</v>
      </c>
      <c r="Q1720" t="s">
        <v>9514</v>
      </c>
    </row>
    <row r="1721" spans="1:17" x14ac:dyDescent="0.2">
      <c r="A1721" t="s">
        <v>2201</v>
      </c>
      <c r="B1721" s="6" t="s">
        <v>2199</v>
      </c>
      <c r="C1721">
        <v>3</v>
      </c>
      <c r="D1721" s="6" t="s">
        <v>2200</v>
      </c>
      <c r="E1721" t="s">
        <v>2346</v>
      </c>
      <c r="F1721" s="6" t="s">
        <v>1311</v>
      </c>
      <c r="H1721">
        <v>4.0000000000000001E-3</v>
      </c>
      <c r="Q1721" t="s">
        <v>9515</v>
      </c>
    </row>
    <row r="1722" spans="1:17" x14ac:dyDescent="0.2">
      <c r="A1722" t="s">
        <v>2201</v>
      </c>
      <c r="B1722" s="6" t="s">
        <v>2199</v>
      </c>
      <c r="C1722">
        <v>3</v>
      </c>
      <c r="D1722" s="6" t="s">
        <v>2200</v>
      </c>
      <c r="E1722" t="s">
        <v>2347</v>
      </c>
      <c r="F1722" s="6" t="s">
        <v>1311</v>
      </c>
      <c r="H1722">
        <v>2E-3</v>
      </c>
      <c r="Q1722" t="s">
        <v>9516</v>
      </c>
    </row>
    <row r="1723" spans="1:17" x14ac:dyDescent="0.2">
      <c r="A1723" t="s">
        <v>2201</v>
      </c>
      <c r="B1723" s="6" t="s">
        <v>2199</v>
      </c>
      <c r="C1723">
        <v>3</v>
      </c>
      <c r="D1723" s="6" t="s">
        <v>2200</v>
      </c>
      <c r="E1723" t="s">
        <v>2348</v>
      </c>
      <c r="F1723" s="6" t="s">
        <v>1311</v>
      </c>
      <c r="H1723">
        <v>1.6E-2</v>
      </c>
      <c r="M1723">
        <v>5</v>
      </c>
    </row>
    <row r="1724" spans="1:17" x14ac:dyDescent="0.2">
      <c r="A1724" t="s">
        <v>2201</v>
      </c>
      <c r="B1724" s="6" t="s">
        <v>2199</v>
      </c>
      <c r="C1724">
        <v>3</v>
      </c>
      <c r="D1724" s="6" t="s">
        <v>2200</v>
      </c>
      <c r="E1724" t="s">
        <v>2331</v>
      </c>
      <c r="F1724" s="6" t="s">
        <v>1311</v>
      </c>
      <c r="H1724">
        <v>0.01</v>
      </c>
    </row>
    <row r="1725" spans="1:17" x14ac:dyDescent="0.2">
      <c r="A1725" t="s">
        <v>2201</v>
      </c>
      <c r="B1725" s="6" t="s">
        <v>2199</v>
      </c>
      <c r="C1725">
        <v>3</v>
      </c>
      <c r="D1725" s="6" t="s">
        <v>2200</v>
      </c>
      <c r="E1725" t="s">
        <v>2349</v>
      </c>
      <c r="F1725" s="6" t="s">
        <v>1389</v>
      </c>
      <c r="H1725">
        <v>1.2E-2</v>
      </c>
      <c r="Q1725" t="s">
        <v>9517</v>
      </c>
    </row>
    <row r="1726" spans="1:17" x14ac:dyDescent="0.2">
      <c r="A1726" t="s">
        <v>2201</v>
      </c>
      <c r="B1726" s="6" t="s">
        <v>2199</v>
      </c>
      <c r="C1726">
        <v>3</v>
      </c>
      <c r="D1726" s="6" t="s">
        <v>2200</v>
      </c>
      <c r="E1726" t="s">
        <v>2350</v>
      </c>
      <c r="F1726" s="6" t="s">
        <v>1389</v>
      </c>
      <c r="H1726">
        <v>2E-3</v>
      </c>
      <c r="Q1726" t="s">
        <v>9518</v>
      </c>
    </row>
    <row r="1727" spans="1:17" x14ac:dyDescent="0.2">
      <c r="A1727" t="s">
        <v>2201</v>
      </c>
      <c r="B1727" s="6" t="s">
        <v>2199</v>
      </c>
      <c r="C1727">
        <v>3</v>
      </c>
      <c r="D1727" s="6" t="s">
        <v>2200</v>
      </c>
      <c r="E1727" t="s">
        <v>2351</v>
      </c>
      <c r="F1727" s="6" t="s">
        <v>1389</v>
      </c>
      <c r="H1727">
        <v>6.0000000000000001E-3</v>
      </c>
      <c r="Q1727" t="s">
        <v>9519</v>
      </c>
    </row>
    <row r="1728" spans="1:17" x14ac:dyDescent="0.2">
      <c r="A1728" t="s">
        <v>2201</v>
      </c>
      <c r="B1728" s="6" t="s">
        <v>2199</v>
      </c>
      <c r="C1728">
        <v>3</v>
      </c>
      <c r="D1728" s="6" t="s">
        <v>2200</v>
      </c>
      <c r="E1728" t="s">
        <v>2352</v>
      </c>
      <c r="F1728" s="6" t="s">
        <v>1389</v>
      </c>
      <c r="H1728">
        <v>4.0000000000000001E-3</v>
      </c>
      <c r="Q1728" t="s">
        <v>9520</v>
      </c>
    </row>
    <row r="1729" spans="1:17" x14ac:dyDescent="0.2">
      <c r="A1729" t="s">
        <v>2201</v>
      </c>
      <c r="B1729" s="6" t="s">
        <v>2199</v>
      </c>
      <c r="C1729">
        <v>3</v>
      </c>
      <c r="D1729" s="6" t="s">
        <v>2200</v>
      </c>
      <c r="E1729" t="s">
        <v>2353</v>
      </c>
      <c r="F1729" s="6" t="s">
        <v>1389</v>
      </c>
      <c r="H1729">
        <v>6.0000000000000001E-3</v>
      </c>
      <c r="Q1729" t="s">
        <v>9521</v>
      </c>
    </row>
    <row r="1730" spans="1:17" x14ac:dyDescent="0.2">
      <c r="A1730" t="s">
        <v>2201</v>
      </c>
      <c r="B1730" s="6" t="s">
        <v>2199</v>
      </c>
      <c r="C1730">
        <v>3</v>
      </c>
      <c r="D1730" s="6" t="s">
        <v>2200</v>
      </c>
      <c r="E1730" t="s">
        <v>2354</v>
      </c>
      <c r="F1730" s="6" t="s">
        <v>1389</v>
      </c>
      <c r="H1730">
        <v>2.5000000000000001E-2</v>
      </c>
      <c r="M1730">
        <v>5</v>
      </c>
    </row>
    <row r="1731" spans="1:17" x14ac:dyDescent="0.2">
      <c r="A1731" t="s">
        <v>2201</v>
      </c>
      <c r="B1731" s="6" t="s">
        <v>2199</v>
      </c>
      <c r="C1731">
        <v>3</v>
      </c>
      <c r="D1731" s="6" t="s">
        <v>2200</v>
      </c>
      <c r="E1731" t="s">
        <v>2331</v>
      </c>
      <c r="F1731" s="6" t="s">
        <v>1389</v>
      </c>
      <c r="H1731">
        <v>6.5000000000000002E-2</v>
      </c>
    </row>
    <row r="1732" spans="1:17" x14ac:dyDescent="0.2">
      <c r="A1732" t="s">
        <v>2201</v>
      </c>
      <c r="B1732" s="6" t="s">
        <v>2199</v>
      </c>
      <c r="C1732">
        <v>3</v>
      </c>
      <c r="D1732" s="6" t="s">
        <v>2200</v>
      </c>
      <c r="E1732" t="s">
        <v>2355</v>
      </c>
      <c r="F1732" s="6" t="s">
        <v>1425</v>
      </c>
      <c r="H1732">
        <v>1.4E-2</v>
      </c>
      <c r="Q1732" t="s">
        <v>9522</v>
      </c>
    </row>
    <row r="1733" spans="1:17" x14ac:dyDescent="0.2">
      <c r="A1733" t="s">
        <v>2201</v>
      </c>
      <c r="B1733" s="6" t="s">
        <v>2199</v>
      </c>
      <c r="C1733">
        <v>3</v>
      </c>
      <c r="D1733" s="6" t="s">
        <v>2200</v>
      </c>
      <c r="E1733" t="s">
        <v>2356</v>
      </c>
      <c r="F1733" s="6" t="s">
        <v>1425</v>
      </c>
      <c r="H1733">
        <v>3.0000000000000001E-3</v>
      </c>
      <c r="Q1733" t="s">
        <v>9523</v>
      </c>
    </row>
    <row r="1734" spans="1:17" x14ac:dyDescent="0.2">
      <c r="A1734" t="s">
        <v>2201</v>
      </c>
      <c r="B1734" s="6" t="s">
        <v>2199</v>
      </c>
      <c r="C1734">
        <v>3</v>
      </c>
      <c r="D1734" s="6" t="s">
        <v>2200</v>
      </c>
      <c r="E1734" t="s">
        <v>2357</v>
      </c>
      <c r="F1734" s="6" t="s">
        <v>1425</v>
      </c>
      <c r="H1734">
        <v>4.0000000000000001E-3</v>
      </c>
      <c r="Q1734" t="s">
        <v>9524</v>
      </c>
    </row>
    <row r="1735" spans="1:17" x14ac:dyDescent="0.2">
      <c r="A1735" t="s">
        <v>2201</v>
      </c>
      <c r="B1735" s="6" t="s">
        <v>2199</v>
      </c>
      <c r="C1735">
        <v>3</v>
      </c>
      <c r="D1735" s="6" t="s">
        <v>2200</v>
      </c>
      <c r="E1735" t="s">
        <v>2358</v>
      </c>
      <c r="F1735" s="6" t="s">
        <v>1425</v>
      </c>
      <c r="H1735">
        <v>1.2E-2</v>
      </c>
      <c r="Q1735" t="s">
        <v>9525</v>
      </c>
    </row>
    <row r="1736" spans="1:17" x14ac:dyDescent="0.2">
      <c r="A1736" t="s">
        <v>2201</v>
      </c>
      <c r="B1736" s="6" t="s">
        <v>2199</v>
      </c>
      <c r="C1736">
        <v>3</v>
      </c>
      <c r="D1736" s="6" t="s">
        <v>2200</v>
      </c>
      <c r="E1736" t="s">
        <v>2359</v>
      </c>
      <c r="F1736" s="6" t="s">
        <v>1425</v>
      </c>
      <c r="H1736">
        <v>5.0000000000000001E-3</v>
      </c>
      <c r="Q1736" t="s">
        <v>9526</v>
      </c>
    </row>
    <row r="1737" spans="1:17" x14ac:dyDescent="0.2">
      <c r="A1737" t="s">
        <v>2201</v>
      </c>
      <c r="B1737" s="6" t="s">
        <v>2199</v>
      </c>
      <c r="C1737">
        <v>3</v>
      </c>
      <c r="D1737" s="6" t="s">
        <v>2200</v>
      </c>
      <c r="E1737" t="s">
        <v>2360</v>
      </c>
      <c r="F1737" s="6" t="s">
        <v>1425</v>
      </c>
      <c r="H1737">
        <v>2.9000000000000001E-2</v>
      </c>
      <c r="M1737">
        <v>5</v>
      </c>
    </row>
    <row r="1738" spans="1:17" x14ac:dyDescent="0.2">
      <c r="A1738" t="s">
        <v>2201</v>
      </c>
      <c r="B1738" s="6" t="s">
        <v>2199</v>
      </c>
      <c r="C1738">
        <v>3</v>
      </c>
      <c r="D1738" s="6" t="s">
        <v>2200</v>
      </c>
      <c r="E1738" t="s">
        <v>2331</v>
      </c>
      <c r="F1738" s="6" t="s">
        <v>1425</v>
      </c>
      <c r="H1738">
        <v>0.122</v>
      </c>
    </row>
    <row r="1739" spans="1:17" x14ac:dyDescent="0.2">
      <c r="A1739" t="s">
        <v>2201</v>
      </c>
      <c r="B1739" s="6" t="s">
        <v>2199</v>
      </c>
      <c r="C1739">
        <v>3</v>
      </c>
      <c r="D1739" s="6" t="s">
        <v>2200</v>
      </c>
      <c r="E1739" t="s">
        <v>2361</v>
      </c>
      <c r="F1739" s="6" t="s">
        <v>1538</v>
      </c>
      <c r="H1739">
        <v>4.3999999999999997E-2</v>
      </c>
      <c r="Q1739" t="s">
        <v>9527</v>
      </c>
    </row>
    <row r="1740" spans="1:17" x14ac:dyDescent="0.2">
      <c r="A1740" t="s">
        <v>2201</v>
      </c>
      <c r="B1740" s="6" t="s">
        <v>2199</v>
      </c>
      <c r="C1740">
        <v>3</v>
      </c>
      <c r="D1740" s="6" t="s">
        <v>2200</v>
      </c>
      <c r="E1740" t="s">
        <v>2362</v>
      </c>
      <c r="F1740" s="6" t="s">
        <v>1538</v>
      </c>
      <c r="H1740">
        <v>2.7E-2</v>
      </c>
      <c r="Q1740" t="s">
        <v>9528</v>
      </c>
    </row>
    <row r="1741" spans="1:17" x14ac:dyDescent="0.2">
      <c r="A1741" t="s">
        <v>2201</v>
      </c>
      <c r="B1741" s="6" t="s">
        <v>2199</v>
      </c>
      <c r="C1741">
        <v>3</v>
      </c>
      <c r="D1741" s="6" t="s">
        <v>2200</v>
      </c>
      <c r="E1741" t="s">
        <v>2363</v>
      </c>
      <c r="F1741" s="6" t="s">
        <v>1538</v>
      </c>
      <c r="H1741">
        <v>1.4999999999999999E-2</v>
      </c>
      <c r="Q1741" t="s">
        <v>9529</v>
      </c>
    </row>
    <row r="1742" spans="1:17" x14ac:dyDescent="0.2">
      <c r="A1742" t="s">
        <v>2201</v>
      </c>
      <c r="B1742" s="6" t="s">
        <v>2199</v>
      </c>
      <c r="C1742">
        <v>3</v>
      </c>
      <c r="D1742" s="6" t="s">
        <v>2200</v>
      </c>
      <c r="E1742" t="s">
        <v>2364</v>
      </c>
      <c r="F1742" s="6" t="s">
        <v>1538</v>
      </c>
      <c r="H1742">
        <v>1.2999999999999999E-2</v>
      </c>
      <c r="Q1742" t="s">
        <v>9530</v>
      </c>
    </row>
    <row r="1743" spans="1:17" x14ac:dyDescent="0.2">
      <c r="A1743" t="s">
        <v>2201</v>
      </c>
      <c r="B1743" s="6" t="s">
        <v>2199</v>
      </c>
      <c r="C1743">
        <v>3</v>
      </c>
      <c r="D1743" s="6" t="s">
        <v>2200</v>
      </c>
      <c r="E1743" t="s">
        <v>2365</v>
      </c>
      <c r="F1743" s="6" t="s">
        <v>1538</v>
      </c>
      <c r="H1743">
        <v>3.4000000000000002E-2</v>
      </c>
      <c r="Q1743" t="s">
        <v>9531</v>
      </c>
    </row>
    <row r="1744" spans="1:17" x14ac:dyDescent="0.2">
      <c r="A1744" t="s">
        <v>2201</v>
      </c>
      <c r="B1744" s="6" t="s">
        <v>2199</v>
      </c>
      <c r="C1744">
        <v>3</v>
      </c>
      <c r="D1744" s="6" t="s">
        <v>2200</v>
      </c>
      <c r="E1744" t="s">
        <v>2366</v>
      </c>
      <c r="F1744" s="6" t="s">
        <v>1538</v>
      </c>
      <c r="H1744">
        <v>0.14000000000000001</v>
      </c>
      <c r="M1744">
        <v>5</v>
      </c>
    </row>
    <row r="1745" spans="1:17" x14ac:dyDescent="0.2">
      <c r="A1745" t="s">
        <v>2201</v>
      </c>
      <c r="B1745" s="6" t="s">
        <v>2199</v>
      </c>
      <c r="C1745">
        <v>3</v>
      </c>
      <c r="D1745" s="6" t="s">
        <v>2200</v>
      </c>
      <c r="E1745" t="s">
        <v>2367</v>
      </c>
      <c r="F1745" s="6" t="s">
        <v>1538</v>
      </c>
      <c r="H1745">
        <v>1E-3</v>
      </c>
      <c r="Q1745" t="s">
        <v>9532</v>
      </c>
    </row>
    <row r="1746" spans="1:17" x14ac:dyDescent="0.2">
      <c r="A1746" t="s">
        <v>2201</v>
      </c>
      <c r="B1746" s="6" t="s">
        <v>2199</v>
      </c>
      <c r="C1746">
        <v>3</v>
      </c>
      <c r="D1746" s="6" t="s">
        <v>2200</v>
      </c>
      <c r="E1746" t="s">
        <v>2368</v>
      </c>
      <c r="F1746" s="6" t="s">
        <v>1538</v>
      </c>
      <c r="H1746">
        <v>4.0000000000000001E-3</v>
      </c>
      <c r="Q1746" t="s">
        <v>9533</v>
      </c>
    </row>
    <row r="1747" spans="1:17" x14ac:dyDescent="0.2">
      <c r="A1747" t="s">
        <v>2201</v>
      </c>
      <c r="B1747" s="6" t="s">
        <v>2199</v>
      </c>
      <c r="C1747">
        <v>3</v>
      </c>
      <c r="D1747" s="6" t="s">
        <v>2200</v>
      </c>
      <c r="E1747" t="s">
        <v>2369</v>
      </c>
      <c r="F1747" s="6" t="s">
        <v>1538</v>
      </c>
      <c r="H1747">
        <v>7.0000000000000001E-3</v>
      </c>
      <c r="Q1747" t="s">
        <v>9534</v>
      </c>
    </row>
    <row r="1748" spans="1:17" x14ac:dyDescent="0.2">
      <c r="A1748" t="s">
        <v>2201</v>
      </c>
      <c r="B1748" s="6" t="s">
        <v>2199</v>
      </c>
      <c r="C1748">
        <v>3</v>
      </c>
      <c r="D1748" s="6" t="s">
        <v>2200</v>
      </c>
      <c r="E1748" t="s">
        <v>2370</v>
      </c>
      <c r="F1748" s="6" t="s">
        <v>1538</v>
      </c>
      <c r="H1748">
        <v>5.0000000000000001E-3</v>
      </c>
      <c r="Q1748" t="s">
        <v>9535</v>
      </c>
    </row>
    <row r="1749" spans="1:17" x14ac:dyDescent="0.2">
      <c r="A1749" t="s">
        <v>2201</v>
      </c>
      <c r="B1749" s="6" t="s">
        <v>2199</v>
      </c>
      <c r="C1749">
        <v>3</v>
      </c>
      <c r="D1749" s="6" t="s">
        <v>2200</v>
      </c>
      <c r="E1749" t="s">
        <v>2371</v>
      </c>
      <c r="F1749" s="6" t="s">
        <v>1538</v>
      </c>
      <c r="H1749">
        <v>2E-3</v>
      </c>
      <c r="Q1749" t="s">
        <v>9536</v>
      </c>
    </row>
    <row r="1750" spans="1:17" x14ac:dyDescent="0.2">
      <c r="A1750" t="s">
        <v>2201</v>
      </c>
      <c r="B1750" s="6" t="s">
        <v>2199</v>
      </c>
      <c r="C1750">
        <v>3</v>
      </c>
      <c r="D1750" s="6" t="s">
        <v>2200</v>
      </c>
      <c r="E1750" t="s">
        <v>2372</v>
      </c>
      <c r="F1750" s="6" t="s">
        <v>1538</v>
      </c>
      <c r="H1750">
        <v>0.02</v>
      </c>
      <c r="M1750">
        <v>5</v>
      </c>
    </row>
    <row r="1751" spans="1:17" x14ac:dyDescent="0.2">
      <c r="A1751" t="s">
        <v>2201</v>
      </c>
      <c r="B1751" s="6" t="s">
        <v>2199</v>
      </c>
      <c r="C1751">
        <v>3</v>
      </c>
      <c r="D1751" s="6" t="s">
        <v>2200</v>
      </c>
      <c r="E1751" t="s">
        <v>2331</v>
      </c>
      <c r="F1751" s="6" t="s">
        <v>1538</v>
      </c>
      <c r="H1751">
        <v>1.4E-2</v>
      </c>
    </row>
    <row r="1752" spans="1:17" x14ac:dyDescent="0.2">
      <c r="A1752" t="s">
        <v>2201</v>
      </c>
      <c r="B1752" s="6" t="s">
        <v>2199</v>
      </c>
      <c r="C1752">
        <v>3</v>
      </c>
      <c r="D1752" s="6" t="s">
        <v>2200</v>
      </c>
      <c r="E1752" t="s">
        <v>2331</v>
      </c>
      <c r="F1752" s="6" t="s">
        <v>1538</v>
      </c>
      <c r="H1752">
        <f>0.548-0.344</f>
        <v>0.20400000000000007</v>
      </c>
    </row>
    <row r="1753" spans="1:17" x14ac:dyDescent="0.2">
      <c r="A1753" t="s">
        <v>2201</v>
      </c>
      <c r="B1753" s="6" t="s">
        <v>2199</v>
      </c>
      <c r="C1753">
        <v>4</v>
      </c>
      <c r="D1753" s="6" t="s">
        <v>2200</v>
      </c>
      <c r="E1753" s="8" t="s">
        <v>2373</v>
      </c>
      <c r="F1753" s="6" t="s">
        <v>505</v>
      </c>
      <c r="H1753">
        <f>1.033-0.295</f>
        <v>0.73799999999999999</v>
      </c>
      <c r="M1753" t="s">
        <v>802</v>
      </c>
      <c r="O1753" t="s">
        <v>2213</v>
      </c>
    </row>
    <row r="1754" spans="1:17" x14ac:dyDescent="0.2">
      <c r="A1754" t="s">
        <v>2201</v>
      </c>
      <c r="B1754" s="6" t="s">
        <v>2199</v>
      </c>
      <c r="C1754">
        <v>4</v>
      </c>
      <c r="D1754" s="6" t="s">
        <v>2200</v>
      </c>
      <c r="E1754" s="8" t="s">
        <v>2374</v>
      </c>
      <c r="F1754" s="6" t="s">
        <v>2215</v>
      </c>
      <c r="H1754">
        <f>1.041-0.357</f>
        <v>0.68399999999999994</v>
      </c>
      <c r="M1754" t="s">
        <v>802</v>
      </c>
      <c r="O1754" t="s">
        <v>2212</v>
      </c>
    </row>
    <row r="1755" spans="1:17" x14ac:dyDescent="0.2">
      <c r="A1755" t="s">
        <v>2201</v>
      </c>
      <c r="B1755" s="6" t="s">
        <v>2199</v>
      </c>
      <c r="C1755">
        <v>4</v>
      </c>
      <c r="D1755" s="6" t="s">
        <v>2200</v>
      </c>
      <c r="E1755" s="8" t="s">
        <v>2375</v>
      </c>
      <c r="F1755" s="6" t="s">
        <v>1389</v>
      </c>
      <c r="H1755">
        <v>2.3E-2</v>
      </c>
      <c r="M1755" t="s">
        <v>802</v>
      </c>
      <c r="Q1755" t="s">
        <v>9537</v>
      </c>
    </row>
    <row r="1756" spans="1:17" x14ac:dyDescent="0.2">
      <c r="A1756" t="s">
        <v>2201</v>
      </c>
      <c r="B1756" s="6" t="s">
        <v>2199</v>
      </c>
      <c r="C1756">
        <v>4</v>
      </c>
      <c r="D1756" s="6" t="s">
        <v>2200</v>
      </c>
      <c r="E1756" s="8" t="s">
        <v>2376</v>
      </c>
      <c r="F1756" s="6" t="s">
        <v>1389</v>
      </c>
      <c r="H1756">
        <v>5.0000000000000001E-3</v>
      </c>
      <c r="Q1756" t="s">
        <v>9538</v>
      </c>
    </row>
    <row r="1757" spans="1:17" x14ac:dyDescent="0.2">
      <c r="A1757" t="s">
        <v>2201</v>
      </c>
      <c r="B1757" s="6" t="s">
        <v>2199</v>
      </c>
      <c r="C1757">
        <v>4</v>
      </c>
      <c r="D1757" s="6" t="s">
        <v>2200</v>
      </c>
      <c r="E1757" s="8" t="s">
        <v>2377</v>
      </c>
      <c r="F1757" s="6" t="s">
        <v>1389</v>
      </c>
      <c r="H1757">
        <v>1E-3</v>
      </c>
      <c r="Q1757" t="s">
        <v>9539</v>
      </c>
    </row>
    <row r="1758" spans="1:17" x14ac:dyDescent="0.2">
      <c r="A1758" t="s">
        <v>2201</v>
      </c>
      <c r="B1758" s="6" t="s">
        <v>2199</v>
      </c>
      <c r="C1758">
        <v>4</v>
      </c>
      <c r="D1758" s="6" t="s">
        <v>2200</v>
      </c>
      <c r="E1758" s="8" t="s">
        <v>2378</v>
      </c>
      <c r="F1758" s="6" t="s">
        <v>1389</v>
      </c>
      <c r="H1758">
        <v>4.0000000000000001E-3</v>
      </c>
      <c r="Q1758" t="s">
        <v>9540</v>
      </c>
    </row>
    <row r="1759" spans="1:17" x14ac:dyDescent="0.2">
      <c r="A1759" t="s">
        <v>2201</v>
      </c>
      <c r="B1759" s="6" t="s">
        <v>2199</v>
      </c>
      <c r="C1759">
        <v>4</v>
      </c>
      <c r="D1759" s="6" t="s">
        <v>2200</v>
      </c>
      <c r="E1759" s="8" t="s">
        <v>2379</v>
      </c>
      <c r="F1759" s="6" t="s">
        <v>1389</v>
      </c>
      <c r="G1759" s="6" t="s">
        <v>114</v>
      </c>
      <c r="O1759" t="s">
        <v>2214</v>
      </c>
      <c r="Q1759" t="s">
        <v>9541</v>
      </c>
    </row>
    <row r="1760" spans="1:17" x14ac:dyDescent="0.2">
      <c r="A1760" t="s">
        <v>2201</v>
      </c>
      <c r="B1760" s="6" t="s">
        <v>2199</v>
      </c>
      <c r="C1760">
        <v>4</v>
      </c>
      <c r="D1760" s="6" t="s">
        <v>2200</v>
      </c>
      <c r="E1760" s="8" t="s">
        <v>2380</v>
      </c>
      <c r="F1760" s="6" t="s">
        <v>1389</v>
      </c>
      <c r="H1760">
        <v>0.02</v>
      </c>
      <c r="M1760">
        <v>5</v>
      </c>
      <c r="O1760" t="s">
        <v>2214</v>
      </c>
    </row>
    <row r="1761" spans="1:17" x14ac:dyDescent="0.2">
      <c r="A1761" t="s">
        <v>2201</v>
      </c>
      <c r="B1761" s="6" t="s">
        <v>2199</v>
      </c>
      <c r="C1761">
        <v>4</v>
      </c>
      <c r="D1761" s="6" t="s">
        <v>2200</v>
      </c>
      <c r="E1761" t="s">
        <v>2381</v>
      </c>
      <c r="F1761" s="6" t="s">
        <v>1389</v>
      </c>
      <c r="H1761">
        <f>0.536-0.4</f>
        <v>0.13600000000000001</v>
      </c>
      <c r="O1761" t="s">
        <v>2214</v>
      </c>
    </row>
    <row r="1762" spans="1:17" x14ac:dyDescent="0.2">
      <c r="A1762" t="s">
        <v>2201</v>
      </c>
      <c r="B1762" s="6" t="s">
        <v>2199</v>
      </c>
      <c r="C1762">
        <v>4</v>
      </c>
      <c r="D1762" s="6" t="s">
        <v>2200</v>
      </c>
      <c r="E1762" t="s">
        <v>2382</v>
      </c>
      <c r="F1762" s="6" t="s">
        <v>1425</v>
      </c>
      <c r="H1762">
        <v>0.03</v>
      </c>
      <c r="O1762" t="s">
        <v>2214</v>
      </c>
      <c r="Q1762" t="s">
        <v>9542</v>
      </c>
    </row>
    <row r="1763" spans="1:17" x14ac:dyDescent="0.2">
      <c r="A1763" t="s">
        <v>2201</v>
      </c>
      <c r="B1763" s="6" t="s">
        <v>2199</v>
      </c>
      <c r="C1763">
        <v>4</v>
      </c>
      <c r="D1763" s="6" t="s">
        <v>2200</v>
      </c>
      <c r="E1763" t="s">
        <v>2383</v>
      </c>
      <c r="F1763" s="6" t="s">
        <v>1425</v>
      </c>
      <c r="H1763">
        <v>2.5000000000000001E-2</v>
      </c>
      <c r="Q1763" t="s">
        <v>9543</v>
      </c>
    </row>
    <row r="1764" spans="1:17" x14ac:dyDescent="0.2">
      <c r="A1764" t="s">
        <v>2201</v>
      </c>
      <c r="B1764" s="6" t="s">
        <v>2199</v>
      </c>
      <c r="C1764">
        <v>4</v>
      </c>
      <c r="D1764" s="6" t="s">
        <v>2200</v>
      </c>
      <c r="E1764" t="s">
        <v>2384</v>
      </c>
      <c r="F1764" s="6" t="s">
        <v>1425</v>
      </c>
      <c r="H1764">
        <v>3.5999999999999997E-2</v>
      </c>
      <c r="Q1764" t="s">
        <v>9544</v>
      </c>
    </row>
    <row r="1765" spans="1:17" x14ac:dyDescent="0.2">
      <c r="A1765" t="s">
        <v>2201</v>
      </c>
      <c r="B1765" s="6" t="s">
        <v>2199</v>
      </c>
      <c r="C1765">
        <v>4</v>
      </c>
      <c r="D1765" s="6" t="s">
        <v>2200</v>
      </c>
      <c r="E1765" t="s">
        <v>2385</v>
      </c>
      <c r="F1765" s="6" t="s">
        <v>1425</v>
      </c>
      <c r="H1765">
        <v>3.4000000000000002E-2</v>
      </c>
      <c r="Q1765" t="s">
        <v>9545</v>
      </c>
    </row>
    <row r="1766" spans="1:17" x14ac:dyDescent="0.2">
      <c r="A1766" t="s">
        <v>2201</v>
      </c>
      <c r="B1766" s="6" t="s">
        <v>2199</v>
      </c>
      <c r="C1766">
        <v>4</v>
      </c>
      <c r="D1766" s="6" t="s">
        <v>2200</v>
      </c>
      <c r="E1766" t="s">
        <v>2386</v>
      </c>
      <c r="F1766" s="6" t="s">
        <v>1425</v>
      </c>
      <c r="H1766">
        <v>1.4999999999999999E-2</v>
      </c>
      <c r="Q1766" t="s">
        <v>9546</v>
      </c>
    </row>
    <row r="1767" spans="1:17" x14ac:dyDescent="0.2">
      <c r="A1767" t="s">
        <v>2201</v>
      </c>
      <c r="B1767" s="6" t="s">
        <v>2199</v>
      </c>
      <c r="C1767">
        <v>4</v>
      </c>
      <c r="D1767" s="6" t="s">
        <v>2200</v>
      </c>
      <c r="E1767" t="s">
        <v>2387</v>
      </c>
      <c r="F1767" s="6" t="s">
        <v>1425</v>
      </c>
      <c r="H1767">
        <v>7.0000000000000001E-3</v>
      </c>
      <c r="Q1767" t="s">
        <v>9547</v>
      </c>
    </row>
    <row r="1768" spans="1:17" x14ac:dyDescent="0.2">
      <c r="A1768" t="s">
        <v>2201</v>
      </c>
      <c r="B1768" s="6" t="s">
        <v>2199</v>
      </c>
      <c r="C1768">
        <v>4</v>
      </c>
      <c r="D1768" s="6" t="s">
        <v>2200</v>
      </c>
      <c r="E1768" t="s">
        <v>2388</v>
      </c>
      <c r="F1768" s="6" t="s">
        <v>1425</v>
      </c>
      <c r="H1768">
        <v>5.0000000000000001E-3</v>
      </c>
      <c r="Q1768" t="s">
        <v>9548</v>
      </c>
    </row>
    <row r="1769" spans="1:17" x14ac:dyDescent="0.2">
      <c r="A1769" t="s">
        <v>2201</v>
      </c>
      <c r="B1769" s="6" t="s">
        <v>2199</v>
      </c>
      <c r="C1769">
        <v>4</v>
      </c>
      <c r="D1769" s="6" t="s">
        <v>2200</v>
      </c>
      <c r="E1769" t="s">
        <v>2389</v>
      </c>
      <c r="F1769" s="6" t="s">
        <v>1425</v>
      </c>
      <c r="H1769">
        <v>4.0000000000000001E-3</v>
      </c>
      <c r="Q1769" t="s">
        <v>9549</v>
      </c>
    </row>
    <row r="1770" spans="1:17" x14ac:dyDescent="0.2">
      <c r="A1770" t="s">
        <v>2201</v>
      </c>
      <c r="B1770" s="6" t="s">
        <v>2199</v>
      </c>
      <c r="C1770">
        <v>4</v>
      </c>
      <c r="D1770" s="6" t="s">
        <v>2200</v>
      </c>
      <c r="E1770" t="s">
        <v>2390</v>
      </c>
      <c r="F1770" s="6" t="s">
        <v>1425</v>
      </c>
      <c r="H1770">
        <v>7.0000000000000001E-3</v>
      </c>
      <c r="Q1770" t="s">
        <v>9550</v>
      </c>
    </row>
    <row r="1771" spans="1:17" x14ac:dyDescent="0.2">
      <c r="A1771" t="s">
        <v>2201</v>
      </c>
      <c r="B1771" s="6" t="s">
        <v>2199</v>
      </c>
      <c r="C1771">
        <v>4</v>
      </c>
      <c r="D1771" s="6" t="s">
        <v>2200</v>
      </c>
      <c r="E1771" t="s">
        <v>2391</v>
      </c>
      <c r="F1771" s="6" t="s">
        <v>1311</v>
      </c>
      <c r="H1771">
        <v>3.0000000000000001E-3</v>
      </c>
      <c r="Q1771" t="s">
        <v>9551</v>
      </c>
    </row>
    <row r="1772" spans="1:17" x14ac:dyDescent="0.2">
      <c r="A1772" t="s">
        <v>2201</v>
      </c>
      <c r="B1772" s="6" t="s">
        <v>2199</v>
      </c>
      <c r="C1772">
        <v>4</v>
      </c>
      <c r="D1772" s="6" t="s">
        <v>2200</v>
      </c>
      <c r="E1772" t="s">
        <v>2392</v>
      </c>
      <c r="F1772" s="6" t="s">
        <v>1559</v>
      </c>
      <c r="H1772">
        <v>2E-3</v>
      </c>
      <c r="Q1772" t="s">
        <v>9552</v>
      </c>
    </row>
    <row r="1773" spans="1:17" x14ac:dyDescent="0.2">
      <c r="A1773" t="s">
        <v>2201</v>
      </c>
      <c r="B1773" s="6" t="s">
        <v>2199</v>
      </c>
      <c r="C1773">
        <v>4</v>
      </c>
      <c r="D1773" s="6" t="s">
        <v>2200</v>
      </c>
      <c r="E1773" t="s">
        <v>2393</v>
      </c>
      <c r="F1773" s="6" t="s">
        <v>1559</v>
      </c>
      <c r="H1773">
        <v>2E-3</v>
      </c>
      <c r="Q1773" t="s">
        <v>9553</v>
      </c>
    </row>
    <row r="1774" spans="1:17" x14ac:dyDescent="0.2">
      <c r="A1774" t="s">
        <v>2201</v>
      </c>
      <c r="B1774" s="6" t="s">
        <v>2199</v>
      </c>
      <c r="C1774">
        <v>4</v>
      </c>
      <c r="D1774" s="6" t="s">
        <v>2200</v>
      </c>
      <c r="E1774" t="s">
        <v>2394</v>
      </c>
      <c r="F1774" s="6" t="s">
        <v>7138</v>
      </c>
      <c r="H1774">
        <v>2E-3</v>
      </c>
    </row>
    <row r="1775" spans="1:17" x14ac:dyDescent="0.2">
      <c r="A1775" t="s">
        <v>2201</v>
      </c>
      <c r="B1775" s="6" t="s">
        <v>2199</v>
      </c>
      <c r="C1775">
        <v>4</v>
      </c>
      <c r="D1775" s="6" t="s">
        <v>2200</v>
      </c>
      <c r="E1775" t="s">
        <v>2395</v>
      </c>
      <c r="F1775" s="6" t="s">
        <v>1344</v>
      </c>
      <c r="H1775">
        <v>1.4E-2</v>
      </c>
    </row>
    <row r="1776" spans="1:17" x14ac:dyDescent="0.2">
      <c r="A1776" t="s">
        <v>2201</v>
      </c>
      <c r="B1776" s="6" t="s">
        <v>2199</v>
      </c>
      <c r="C1776">
        <v>4</v>
      </c>
      <c r="D1776" s="6" t="s">
        <v>2200</v>
      </c>
      <c r="E1776" t="s">
        <v>2396</v>
      </c>
      <c r="F1776" t="s">
        <v>9043</v>
      </c>
      <c r="H1776">
        <v>2E-3</v>
      </c>
      <c r="P1776" t="s">
        <v>5999</v>
      </c>
      <c r="Q1776" t="s">
        <v>6022</v>
      </c>
    </row>
    <row r="1777" spans="1:17" x14ac:dyDescent="0.2">
      <c r="A1777" t="s">
        <v>2201</v>
      </c>
      <c r="B1777" s="6" t="s">
        <v>2199</v>
      </c>
      <c r="C1777">
        <v>4</v>
      </c>
      <c r="D1777" s="6" t="s">
        <v>2200</v>
      </c>
      <c r="E1777" t="s">
        <v>2397</v>
      </c>
      <c r="F1777" s="6" t="s">
        <v>6978</v>
      </c>
      <c r="G1777" t="s">
        <v>114</v>
      </c>
      <c r="Q1777" t="s">
        <v>6021</v>
      </c>
    </row>
    <row r="1778" spans="1:17" x14ac:dyDescent="0.2">
      <c r="A1778" t="s">
        <v>2201</v>
      </c>
      <c r="B1778" s="6" t="s">
        <v>2199</v>
      </c>
      <c r="C1778">
        <v>4</v>
      </c>
      <c r="D1778" s="6" t="s">
        <v>2200</v>
      </c>
      <c r="E1778" t="s">
        <v>2398</v>
      </c>
      <c r="F1778" s="6" t="s">
        <v>6978</v>
      </c>
      <c r="G1778" t="s">
        <v>114</v>
      </c>
      <c r="P1778" t="s">
        <v>5999</v>
      </c>
      <c r="Q1778" t="s">
        <v>6019</v>
      </c>
    </row>
    <row r="1779" spans="1:17" x14ac:dyDescent="0.2">
      <c r="A1779" t="s">
        <v>2201</v>
      </c>
      <c r="B1779" s="6" t="s">
        <v>2199</v>
      </c>
      <c r="C1779">
        <v>4</v>
      </c>
      <c r="D1779" s="6" t="s">
        <v>2200</v>
      </c>
      <c r="E1779" t="s">
        <v>2399</v>
      </c>
      <c r="F1779" s="6" t="s">
        <v>6978</v>
      </c>
      <c r="G1779" t="s">
        <v>114</v>
      </c>
      <c r="Q1779" t="s">
        <v>6020</v>
      </c>
    </row>
    <row r="1780" spans="1:17" x14ac:dyDescent="0.2">
      <c r="A1780" t="s">
        <v>2201</v>
      </c>
      <c r="B1780" s="6" t="s">
        <v>2199</v>
      </c>
      <c r="C1780">
        <v>4</v>
      </c>
      <c r="D1780" s="6" t="s">
        <v>2200</v>
      </c>
      <c r="E1780" t="s">
        <v>2400</v>
      </c>
      <c r="F1780" s="6" t="s">
        <v>6978</v>
      </c>
      <c r="G1780" t="s">
        <v>114</v>
      </c>
      <c r="P1780" t="s">
        <v>5999</v>
      </c>
      <c r="Q1780" t="s">
        <v>6018</v>
      </c>
    </row>
    <row r="1781" spans="1:17" x14ac:dyDescent="0.2">
      <c r="A1781" t="s">
        <v>2201</v>
      </c>
      <c r="B1781" s="6" t="s">
        <v>2199</v>
      </c>
      <c r="C1781">
        <v>4</v>
      </c>
      <c r="D1781" s="6" t="s">
        <v>2200</v>
      </c>
      <c r="E1781" t="s">
        <v>2401</v>
      </c>
      <c r="F1781" s="6" t="s">
        <v>6978</v>
      </c>
      <c r="H1781">
        <v>1E-3</v>
      </c>
      <c r="M1781">
        <v>3</v>
      </c>
    </row>
    <row r="1782" spans="1:17" x14ac:dyDescent="0.2">
      <c r="A1782" t="s">
        <v>2201</v>
      </c>
      <c r="B1782" s="6" t="s">
        <v>2199</v>
      </c>
      <c r="C1782">
        <v>5</v>
      </c>
      <c r="D1782" s="6" t="s">
        <v>2200</v>
      </c>
      <c r="E1782" s="8" t="s">
        <v>2402</v>
      </c>
      <c r="F1782" s="6" t="s">
        <v>1264</v>
      </c>
      <c r="H1782">
        <f>1.511-0.345</f>
        <v>1.1659999999999999</v>
      </c>
      <c r="M1782" t="s">
        <v>802</v>
      </c>
      <c r="O1782" t="s">
        <v>2216</v>
      </c>
    </row>
    <row r="1783" spans="1:17" x14ac:dyDescent="0.2">
      <c r="A1783" t="s">
        <v>2201</v>
      </c>
      <c r="B1783" s="6" t="s">
        <v>2199</v>
      </c>
      <c r="C1783">
        <v>5</v>
      </c>
      <c r="D1783" s="6" t="s">
        <v>2200</v>
      </c>
      <c r="E1783" s="8" t="s">
        <v>2403</v>
      </c>
      <c r="F1783" s="6" t="s">
        <v>504</v>
      </c>
      <c r="H1783">
        <f>1.965-0.311</f>
        <v>1.6540000000000001</v>
      </c>
      <c r="M1783" t="s">
        <v>802</v>
      </c>
      <c r="O1783" t="s">
        <v>2217</v>
      </c>
    </row>
    <row r="1784" spans="1:17" x14ac:dyDescent="0.2">
      <c r="A1784" t="s">
        <v>2201</v>
      </c>
      <c r="B1784" s="6" t="s">
        <v>2199</v>
      </c>
      <c r="C1784">
        <v>5</v>
      </c>
      <c r="D1784" s="6" t="s">
        <v>2200</v>
      </c>
      <c r="E1784" s="8" t="s">
        <v>2404</v>
      </c>
      <c r="F1784" s="6" t="s">
        <v>1389</v>
      </c>
      <c r="H1784">
        <v>1.0999999999999999E-2</v>
      </c>
      <c r="Q1784" t="s">
        <v>9554</v>
      </c>
    </row>
    <row r="1785" spans="1:17" x14ac:dyDescent="0.2">
      <c r="A1785" t="s">
        <v>2201</v>
      </c>
      <c r="B1785" s="6" t="s">
        <v>2199</v>
      </c>
      <c r="C1785">
        <v>5</v>
      </c>
      <c r="D1785" s="6" t="s">
        <v>2200</v>
      </c>
      <c r="E1785" t="s">
        <v>2405</v>
      </c>
      <c r="F1785" s="6" t="s">
        <v>121</v>
      </c>
      <c r="H1785">
        <v>6.0000000000000001E-3</v>
      </c>
    </row>
    <row r="1786" spans="1:17" x14ac:dyDescent="0.2">
      <c r="A1786" t="s">
        <v>2201</v>
      </c>
      <c r="B1786" s="6" t="s">
        <v>2199</v>
      </c>
      <c r="C1786">
        <v>5</v>
      </c>
      <c r="D1786" s="6" t="s">
        <v>2200</v>
      </c>
      <c r="E1786" s="8" t="s">
        <v>2406</v>
      </c>
      <c r="F1786" s="6" t="s">
        <v>1389</v>
      </c>
      <c r="H1786">
        <v>6.0000000000000001E-3</v>
      </c>
      <c r="Q1786" t="s">
        <v>9555</v>
      </c>
    </row>
    <row r="1787" spans="1:17" x14ac:dyDescent="0.2">
      <c r="A1787" t="s">
        <v>2201</v>
      </c>
      <c r="B1787" s="6" t="s">
        <v>2199</v>
      </c>
      <c r="C1787">
        <v>5</v>
      </c>
      <c r="D1787" s="6" t="s">
        <v>2200</v>
      </c>
      <c r="E1787" s="8" t="s">
        <v>2407</v>
      </c>
      <c r="F1787" s="6" t="s">
        <v>1389</v>
      </c>
      <c r="H1787">
        <v>1.2999999999999999E-2</v>
      </c>
      <c r="Q1787" t="s">
        <v>9556</v>
      </c>
    </row>
    <row r="1788" spans="1:17" x14ac:dyDescent="0.2">
      <c r="A1788" t="s">
        <v>2201</v>
      </c>
      <c r="B1788" s="6" t="s">
        <v>2199</v>
      </c>
      <c r="C1788">
        <v>5</v>
      </c>
      <c r="D1788" s="6" t="s">
        <v>2200</v>
      </c>
      <c r="E1788" s="8" t="s">
        <v>2408</v>
      </c>
      <c r="F1788" s="6" t="s">
        <v>1389</v>
      </c>
      <c r="H1788">
        <v>2E-3</v>
      </c>
      <c r="Q1788" t="s">
        <v>9557</v>
      </c>
    </row>
    <row r="1789" spans="1:17" x14ac:dyDescent="0.2">
      <c r="A1789" t="s">
        <v>2201</v>
      </c>
      <c r="B1789" s="6" t="s">
        <v>2199</v>
      </c>
      <c r="C1789">
        <v>5</v>
      </c>
      <c r="D1789" s="6" t="s">
        <v>2200</v>
      </c>
      <c r="E1789" s="8" t="s">
        <v>2409</v>
      </c>
      <c r="F1789" s="6" t="s">
        <v>1389</v>
      </c>
      <c r="H1789">
        <v>4.0000000000000001E-3</v>
      </c>
      <c r="Q1789" t="s">
        <v>9558</v>
      </c>
    </row>
    <row r="1790" spans="1:17" x14ac:dyDescent="0.2">
      <c r="A1790" t="s">
        <v>2201</v>
      </c>
      <c r="B1790" s="6" t="s">
        <v>2199</v>
      </c>
      <c r="C1790">
        <v>5</v>
      </c>
      <c r="D1790" s="6" t="s">
        <v>2200</v>
      </c>
      <c r="E1790" t="s">
        <v>2410</v>
      </c>
      <c r="F1790" s="6" t="s">
        <v>1389</v>
      </c>
      <c r="H1790">
        <v>0.21</v>
      </c>
      <c r="M1790">
        <v>5</v>
      </c>
    </row>
    <row r="1791" spans="1:17" x14ac:dyDescent="0.2">
      <c r="A1791" t="s">
        <v>2201</v>
      </c>
      <c r="B1791" s="6" t="s">
        <v>2199</v>
      </c>
      <c r="C1791">
        <v>5</v>
      </c>
      <c r="D1791" s="6" t="s">
        <v>2200</v>
      </c>
      <c r="E1791" s="8" t="s">
        <v>2411</v>
      </c>
      <c r="F1791" s="6" t="s">
        <v>1425</v>
      </c>
      <c r="H1791">
        <v>6.0000000000000001E-3</v>
      </c>
      <c r="Q1791" t="s">
        <v>9559</v>
      </c>
    </row>
    <row r="1792" spans="1:17" x14ac:dyDescent="0.2">
      <c r="A1792" t="s">
        <v>2201</v>
      </c>
      <c r="B1792" s="6" t="s">
        <v>2199</v>
      </c>
      <c r="C1792">
        <v>5</v>
      </c>
      <c r="D1792" s="6" t="s">
        <v>2200</v>
      </c>
      <c r="E1792" s="8" t="s">
        <v>2412</v>
      </c>
      <c r="F1792" s="6" t="s">
        <v>1425</v>
      </c>
      <c r="H1792">
        <v>4.0000000000000001E-3</v>
      </c>
      <c r="Q1792" t="s">
        <v>9560</v>
      </c>
    </row>
    <row r="1793" spans="1:17" x14ac:dyDescent="0.2">
      <c r="A1793" t="s">
        <v>2201</v>
      </c>
      <c r="B1793" s="6" t="s">
        <v>2199</v>
      </c>
      <c r="C1793">
        <v>5</v>
      </c>
      <c r="D1793" s="6" t="s">
        <v>2200</v>
      </c>
      <c r="E1793" t="s">
        <v>2413</v>
      </c>
      <c r="F1793" s="6" t="s">
        <v>1425</v>
      </c>
      <c r="H1793">
        <v>3.3000000000000002E-2</v>
      </c>
      <c r="Q1793" t="s">
        <v>9561</v>
      </c>
    </row>
    <row r="1794" spans="1:17" x14ac:dyDescent="0.2">
      <c r="A1794" t="s">
        <v>2201</v>
      </c>
      <c r="B1794" s="6" t="s">
        <v>2199</v>
      </c>
      <c r="C1794">
        <v>5</v>
      </c>
      <c r="D1794" s="6" t="s">
        <v>2200</v>
      </c>
      <c r="E1794" t="s">
        <v>2414</v>
      </c>
      <c r="F1794" s="6" t="s">
        <v>9043</v>
      </c>
      <c r="H1794">
        <v>1.0999999999999999E-2</v>
      </c>
      <c r="P1794" s="6" t="s">
        <v>6013</v>
      </c>
      <c r="Q1794" t="s">
        <v>6017</v>
      </c>
    </row>
    <row r="1795" spans="1:17" x14ac:dyDescent="0.2">
      <c r="A1795" t="s">
        <v>2201</v>
      </c>
      <c r="B1795" s="6" t="s">
        <v>2199</v>
      </c>
      <c r="C1795">
        <v>5</v>
      </c>
      <c r="D1795" s="6" t="s">
        <v>2200</v>
      </c>
      <c r="E1795" t="s">
        <v>2415</v>
      </c>
      <c r="F1795" s="6" t="s">
        <v>1559</v>
      </c>
      <c r="H1795">
        <v>1E-3</v>
      </c>
      <c r="Q1795" t="s">
        <v>9562</v>
      </c>
    </row>
    <row r="1796" spans="1:17" x14ac:dyDescent="0.2">
      <c r="A1796" t="s">
        <v>2201</v>
      </c>
      <c r="B1796" s="6" t="s">
        <v>2199</v>
      </c>
      <c r="C1796">
        <v>5</v>
      </c>
      <c r="D1796" s="6" t="s">
        <v>2200</v>
      </c>
      <c r="E1796" t="s">
        <v>2416</v>
      </c>
      <c r="F1796" s="6" t="s">
        <v>1559</v>
      </c>
      <c r="H1796">
        <v>2E-3</v>
      </c>
      <c r="Q1796" t="s">
        <v>9563</v>
      </c>
    </row>
    <row r="1797" spans="1:17" x14ac:dyDescent="0.2">
      <c r="A1797" t="s">
        <v>2201</v>
      </c>
      <c r="B1797" s="6" t="s">
        <v>2199</v>
      </c>
      <c r="C1797">
        <v>5</v>
      </c>
      <c r="D1797" s="6" t="s">
        <v>2200</v>
      </c>
      <c r="E1797" t="s">
        <v>2417</v>
      </c>
      <c r="F1797" s="6" t="s">
        <v>1559</v>
      </c>
      <c r="H1797">
        <v>2E-3</v>
      </c>
      <c r="Q1797" t="s">
        <v>9564</v>
      </c>
    </row>
    <row r="1798" spans="1:17" x14ac:dyDescent="0.2">
      <c r="A1798" t="s">
        <v>2201</v>
      </c>
      <c r="B1798" s="6" t="s">
        <v>2199</v>
      </c>
      <c r="C1798">
        <v>5</v>
      </c>
      <c r="D1798" s="6" t="s">
        <v>2200</v>
      </c>
      <c r="E1798" t="s">
        <v>2418</v>
      </c>
      <c r="F1798" s="6" t="s">
        <v>1559</v>
      </c>
      <c r="H1798">
        <v>2E-3</v>
      </c>
      <c r="Q1798" t="s">
        <v>9565</v>
      </c>
    </row>
    <row r="1799" spans="1:17" x14ac:dyDescent="0.2">
      <c r="A1799" t="s">
        <v>2201</v>
      </c>
      <c r="B1799" s="6" t="s">
        <v>2199</v>
      </c>
      <c r="C1799">
        <v>5</v>
      </c>
      <c r="D1799" s="6" t="s">
        <v>2200</v>
      </c>
      <c r="E1799" t="s">
        <v>2419</v>
      </c>
      <c r="F1799" s="6" t="s">
        <v>1538</v>
      </c>
      <c r="H1799">
        <v>7.0000000000000001E-3</v>
      </c>
      <c r="Q1799" t="s">
        <v>9566</v>
      </c>
    </row>
    <row r="1800" spans="1:17" x14ac:dyDescent="0.2">
      <c r="A1800" t="s">
        <v>2201</v>
      </c>
      <c r="B1800" s="6" t="s">
        <v>2199</v>
      </c>
      <c r="C1800">
        <v>5</v>
      </c>
      <c r="D1800" s="6" t="s">
        <v>2200</v>
      </c>
      <c r="E1800" t="s">
        <v>2420</v>
      </c>
      <c r="F1800" s="6" t="s">
        <v>7138</v>
      </c>
      <c r="H1800">
        <v>3.0000000000000001E-3</v>
      </c>
      <c r="Q1800" t="s">
        <v>9567</v>
      </c>
    </row>
    <row r="1801" spans="1:17" x14ac:dyDescent="0.2">
      <c r="A1801" t="s">
        <v>2201</v>
      </c>
      <c r="B1801" s="6" t="s">
        <v>2199</v>
      </c>
      <c r="C1801">
        <v>5</v>
      </c>
      <c r="D1801" s="6" t="s">
        <v>2200</v>
      </c>
      <c r="E1801" t="s">
        <v>2421</v>
      </c>
      <c r="F1801" s="6" t="s">
        <v>1311</v>
      </c>
      <c r="H1801">
        <v>3.0000000000000001E-3</v>
      </c>
      <c r="Q1801" t="s">
        <v>9568</v>
      </c>
    </row>
    <row r="1802" spans="1:17" x14ac:dyDescent="0.2">
      <c r="A1802" t="s">
        <v>2201</v>
      </c>
      <c r="B1802" s="6" t="s">
        <v>2199</v>
      </c>
      <c r="C1802">
        <v>6</v>
      </c>
      <c r="D1802" s="6" t="s">
        <v>2200</v>
      </c>
      <c r="E1802" s="8" t="s">
        <v>2422</v>
      </c>
      <c r="F1802" s="6" t="s">
        <v>511</v>
      </c>
      <c r="H1802">
        <v>1.9E-2</v>
      </c>
      <c r="M1802" t="s">
        <v>802</v>
      </c>
    </row>
    <row r="1803" spans="1:17" x14ac:dyDescent="0.2">
      <c r="A1803" t="s">
        <v>2201</v>
      </c>
      <c r="B1803" s="6" t="s">
        <v>2199</v>
      </c>
      <c r="C1803">
        <v>6</v>
      </c>
      <c r="D1803" s="6" t="s">
        <v>2200</v>
      </c>
      <c r="E1803" s="8" t="s">
        <v>2423</v>
      </c>
      <c r="F1803" s="6" t="s">
        <v>2218</v>
      </c>
      <c r="H1803">
        <v>3.9E-2</v>
      </c>
      <c r="M1803" t="s">
        <v>802</v>
      </c>
    </row>
    <row r="1804" spans="1:17" x14ac:dyDescent="0.2">
      <c r="A1804" t="s">
        <v>2201</v>
      </c>
      <c r="B1804" s="6" t="s">
        <v>2199</v>
      </c>
      <c r="C1804">
        <v>6</v>
      </c>
      <c r="D1804" s="6" t="s">
        <v>2200</v>
      </c>
      <c r="E1804" s="8" t="s">
        <v>2424</v>
      </c>
      <c r="F1804" s="6" t="s">
        <v>112</v>
      </c>
      <c r="H1804">
        <f>0.552-0.4</f>
        <v>0.15200000000000002</v>
      </c>
      <c r="M1804">
        <v>9</v>
      </c>
      <c r="Q1804" t="s">
        <v>9569</v>
      </c>
    </row>
    <row r="1805" spans="1:17" x14ac:dyDescent="0.2">
      <c r="A1805" t="s">
        <v>2201</v>
      </c>
      <c r="B1805" s="6" t="s">
        <v>2199</v>
      </c>
      <c r="C1805">
        <v>6</v>
      </c>
      <c r="D1805" s="6" t="s">
        <v>2200</v>
      </c>
      <c r="E1805" s="8" t="s">
        <v>2425</v>
      </c>
      <c r="F1805" s="6" t="s">
        <v>2184</v>
      </c>
      <c r="H1805">
        <v>3.0000000000000001E-3</v>
      </c>
      <c r="M1805">
        <v>2</v>
      </c>
    </row>
    <row r="1806" spans="1:17" x14ac:dyDescent="0.2">
      <c r="A1806" t="s">
        <v>2201</v>
      </c>
      <c r="B1806" s="6" t="s">
        <v>2199</v>
      </c>
      <c r="C1806">
        <v>6</v>
      </c>
      <c r="D1806" s="6" t="s">
        <v>2200</v>
      </c>
      <c r="E1806" s="8" t="s">
        <v>2426</v>
      </c>
      <c r="F1806" s="6" t="s">
        <v>9043</v>
      </c>
      <c r="H1806">
        <v>1.2E-2</v>
      </c>
      <c r="P1806" s="6" t="s">
        <v>6013</v>
      </c>
      <c r="Q1806" t="s">
        <v>6012</v>
      </c>
    </row>
    <row r="1807" spans="1:17" x14ac:dyDescent="0.2">
      <c r="A1807" t="s">
        <v>2201</v>
      </c>
      <c r="B1807" s="6" t="s">
        <v>2199</v>
      </c>
      <c r="C1807">
        <v>6</v>
      </c>
      <c r="D1807" s="6" t="s">
        <v>2200</v>
      </c>
      <c r="E1807" s="8" t="s">
        <v>2427</v>
      </c>
      <c r="F1807" s="6" t="s">
        <v>9043</v>
      </c>
      <c r="H1807">
        <v>5.0000000000000001E-3</v>
      </c>
      <c r="Q1807" t="s">
        <v>6011</v>
      </c>
    </row>
    <row r="1808" spans="1:17" x14ac:dyDescent="0.2">
      <c r="A1808" t="s">
        <v>2201</v>
      </c>
      <c r="B1808" s="6" t="s">
        <v>2199</v>
      </c>
      <c r="C1808">
        <v>6</v>
      </c>
      <c r="D1808" s="6" t="s">
        <v>2200</v>
      </c>
      <c r="E1808" s="8" t="s">
        <v>2428</v>
      </c>
      <c r="F1808" s="6" t="s">
        <v>6978</v>
      </c>
      <c r="H1808">
        <v>1E-3</v>
      </c>
      <c r="P1808" s="6" t="s">
        <v>6013</v>
      </c>
      <c r="Q1808" t="s">
        <v>6014</v>
      </c>
    </row>
    <row r="1809" spans="1:17" x14ac:dyDescent="0.2">
      <c r="A1809" t="s">
        <v>2201</v>
      </c>
      <c r="B1809" s="6" t="s">
        <v>2199</v>
      </c>
      <c r="C1809">
        <v>6</v>
      </c>
      <c r="D1809" s="6" t="s">
        <v>2200</v>
      </c>
      <c r="E1809" t="s">
        <v>2429</v>
      </c>
      <c r="F1809" s="6" t="s">
        <v>6978</v>
      </c>
      <c r="G1809" t="s">
        <v>114</v>
      </c>
      <c r="Q1809" t="s">
        <v>6015</v>
      </c>
    </row>
    <row r="1810" spans="1:17" x14ac:dyDescent="0.2">
      <c r="A1810" t="s">
        <v>2201</v>
      </c>
      <c r="B1810" s="6" t="s">
        <v>2199</v>
      </c>
      <c r="C1810">
        <v>6</v>
      </c>
      <c r="D1810" s="6" t="s">
        <v>2200</v>
      </c>
      <c r="E1810" t="s">
        <v>2430</v>
      </c>
      <c r="F1810" s="6" t="s">
        <v>6978</v>
      </c>
      <c r="G1810" t="s">
        <v>114</v>
      </c>
      <c r="Q1810" t="s">
        <v>6016</v>
      </c>
    </row>
    <row r="1811" spans="1:17" x14ac:dyDescent="0.2">
      <c r="A1811" t="s">
        <v>2201</v>
      </c>
      <c r="B1811" s="6" t="s">
        <v>2199</v>
      </c>
      <c r="C1811">
        <v>6</v>
      </c>
      <c r="D1811" s="6" t="s">
        <v>2200</v>
      </c>
      <c r="E1811" t="s">
        <v>2431</v>
      </c>
      <c r="F1811" s="6" t="s">
        <v>6978</v>
      </c>
      <c r="H1811">
        <v>1.4E-2</v>
      </c>
      <c r="M1811">
        <v>5</v>
      </c>
    </row>
    <row r="1812" spans="1:17" x14ac:dyDescent="0.2">
      <c r="A1812" t="s">
        <v>2201</v>
      </c>
      <c r="B1812" s="6" t="s">
        <v>2199</v>
      </c>
      <c r="C1812">
        <v>6</v>
      </c>
      <c r="D1812" s="6" t="s">
        <v>2200</v>
      </c>
      <c r="E1812" s="8" t="s">
        <v>2432</v>
      </c>
      <c r="F1812" s="6" t="s">
        <v>504</v>
      </c>
      <c r="H1812">
        <f>18.2-1.8</f>
        <v>16.399999999999999</v>
      </c>
      <c r="M1812" t="s">
        <v>802</v>
      </c>
      <c r="O1812" t="s">
        <v>2219</v>
      </c>
    </row>
    <row r="1813" spans="1:17" x14ac:dyDescent="0.2">
      <c r="A1813" t="s">
        <v>2201</v>
      </c>
      <c r="B1813" s="6" t="s">
        <v>2199</v>
      </c>
      <c r="C1813">
        <v>6</v>
      </c>
      <c r="D1813" s="6" t="s">
        <v>2200</v>
      </c>
      <c r="E1813" s="8" t="s">
        <v>2433</v>
      </c>
      <c r="F1813" s="6" t="s">
        <v>1264</v>
      </c>
      <c r="H1813">
        <f>6-0.587</f>
        <v>5.4130000000000003</v>
      </c>
      <c r="M1813" t="s">
        <v>802</v>
      </c>
      <c r="O1813" t="s">
        <v>2220</v>
      </c>
    </row>
    <row r="1814" spans="1:17" x14ac:dyDescent="0.2">
      <c r="A1814" t="s">
        <v>2201</v>
      </c>
      <c r="B1814" s="6" t="s">
        <v>2199</v>
      </c>
      <c r="C1814">
        <v>6</v>
      </c>
      <c r="D1814" s="6" t="s">
        <v>2200</v>
      </c>
      <c r="E1814" t="s">
        <v>2434</v>
      </c>
      <c r="F1814" s="6" t="s">
        <v>5995</v>
      </c>
      <c r="H1814">
        <v>7.0000000000000001E-3</v>
      </c>
    </row>
    <row r="1815" spans="1:17" x14ac:dyDescent="0.2">
      <c r="A1815" t="s">
        <v>2201</v>
      </c>
      <c r="B1815" s="6" t="s">
        <v>2199</v>
      </c>
      <c r="C1815">
        <v>6</v>
      </c>
      <c r="D1815" s="6" t="s">
        <v>2200</v>
      </c>
      <c r="E1815" t="s">
        <v>2435</v>
      </c>
      <c r="F1815" s="6" t="s">
        <v>6231</v>
      </c>
      <c r="H1815">
        <v>2.5999999999999999E-2</v>
      </c>
      <c r="Q1815" t="s">
        <v>9570</v>
      </c>
    </row>
    <row r="1816" spans="1:17" x14ac:dyDescent="0.2">
      <c r="A1816" t="s">
        <v>2201</v>
      </c>
      <c r="B1816" s="6" t="s">
        <v>2199</v>
      </c>
      <c r="C1816">
        <v>6</v>
      </c>
      <c r="D1816" s="6" t="s">
        <v>2200</v>
      </c>
      <c r="E1816" t="s">
        <v>2436</v>
      </c>
      <c r="F1816" s="6" t="s">
        <v>7337</v>
      </c>
      <c r="H1816">
        <v>5.0000000000000001E-3</v>
      </c>
      <c r="Q1816" t="s">
        <v>9571</v>
      </c>
    </row>
    <row r="1817" spans="1:17" x14ac:dyDescent="0.2">
      <c r="A1817" t="s">
        <v>2201</v>
      </c>
      <c r="B1817" s="6" t="s">
        <v>2199</v>
      </c>
      <c r="C1817">
        <v>6</v>
      </c>
      <c r="D1817" s="6" t="s">
        <v>2200</v>
      </c>
      <c r="E1817" t="s">
        <v>2437</v>
      </c>
      <c r="F1817" s="6" t="s">
        <v>6239</v>
      </c>
      <c r="G1817" t="s">
        <v>114</v>
      </c>
      <c r="M1817">
        <v>2</v>
      </c>
      <c r="Q1817" t="s">
        <v>9572</v>
      </c>
    </row>
    <row r="1818" spans="1:17" x14ac:dyDescent="0.2">
      <c r="A1818" t="s">
        <v>2201</v>
      </c>
      <c r="B1818" s="6" t="s">
        <v>2199</v>
      </c>
      <c r="C1818">
        <v>6</v>
      </c>
      <c r="D1818" s="6" t="s">
        <v>2200</v>
      </c>
      <c r="E1818" t="s">
        <v>2438</v>
      </c>
      <c r="F1818" s="6" t="s">
        <v>2221</v>
      </c>
      <c r="H1818">
        <v>2E-3</v>
      </c>
    </row>
    <row r="1819" spans="1:17" x14ac:dyDescent="0.2">
      <c r="A1819" t="s">
        <v>2201</v>
      </c>
      <c r="B1819" s="6" t="s">
        <v>2199</v>
      </c>
      <c r="C1819">
        <v>6</v>
      </c>
      <c r="D1819" s="6" t="s">
        <v>2200</v>
      </c>
      <c r="E1819" t="s">
        <v>2439</v>
      </c>
      <c r="F1819" s="6" t="s">
        <v>1538</v>
      </c>
      <c r="G1819">
        <v>1</v>
      </c>
      <c r="Q1819" t="s">
        <v>9573</v>
      </c>
    </row>
    <row r="1820" spans="1:17" x14ac:dyDescent="0.2">
      <c r="A1820" t="s">
        <v>2201</v>
      </c>
      <c r="B1820" s="6" t="s">
        <v>2199</v>
      </c>
      <c r="C1820">
        <v>6</v>
      </c>
      <c r="D1820" s="6" t="s">
        <v>2200</v>
      </c>
      <c r="E1820" t="s">
        <v>2440</v>
      </c>
      <c r="F1820" s="6" t="s">
        <v>1311</v>
      </c>
      <c r="H1820">
        <v>3.0000000000000001E-3</v>
      </c>
      <c r="Q1820" t="s">
        <v>9576</v>
      </c>
    </row>
    <row r="1821" spans="1:17" x14ac:dyDescent="0.2">
      <c r="A1821" t="s">
        <v>2201</v>
      </c>
      <c r="B1821" s="6" t="s">
        <v>2199</v>
      </c>
      <c r="C1821">
        <v>6</v>
      </c>
      <c r="D1821" s="6" t="s">
        <v>2200</v>
      </c>
      <c r="E1821" t="s">
        <v>2441</v>
      </c>
      <c r="F1821" s="6" t="s">
        <v>1311</v>
      </c>
      <c r="H1821">
        <v>3.0000000000000001E-3</v>
      </c>
      <c r="Q1821" t="s">
        <v>9577</v>
      </c>
    </row>
    <row r="1822" spans="1:17" x14ac:dyDescent="0.2">
      <c r="A1822" t="s">
        <v>2201</v>
      </c>
      <c r="B1822" s="6" t="s">
        <v>2199</v>
      </c>
      <c r="C1822">
        <v>6</v>
      </c>
      <c r="D1822" s="6" t="s">
        <v>2200</v>
      </c>
      <c r="E1822" t="s">
        <v>2442</v>
      </c>
      <c r="F1822" s="6" t="s">
        <v>1559</v>
      </c>
      <c r="H1822">
        <v>2E-3</v>
      </c>
      <c r="Q1822" t="s">
        <v>9578</v>
      </c>
    </row>
    <row r="1823" spans="1:17" x14ac:dyDescent="0.2">
      <c r="A1823" t="s">
        <v>2201</v>
      </c>
      <c r="B1823" s="6" t="s">
        <v>2199</v>
      </c>
      <c r="C1823">
        <v>6</v>
      </c>
      <c r="D1823" s="6" t="s">
        <v>2200</v>
      </c>
      <c r="E1823" t="s">
        <v>2443</v>
      </c>
      <c r="F1823" s="6" t="s">
        <v>1559</v>
      </c>
      <c r="G1823">
        <v>1</v>
      </c>
      <c r="Q1823" t="s">
        <v>9579</v>
      </c>
    </row>
    <row r="1824" spans="1:17" x14ac:dyDescent="0.2">
      <c r="A1824" t="s">
        <v>2201</v>
      </c>
      <c r="B1824" s="6" t="s">
        <v>2199</v>
      </c>
      <c r="C1824">
        <v>6</v>
      </c>
      <c r="D1824" s="6" t="s">
        <v>2200</v>
      </c>
      <c r="E1824" t="s">
        <v>2444</v>
      </c>
      <c r="F1824" s="6" t="s">
        <v>9060</v>
      </c>
      <c r="H1824">
        <v>5.0000000000000001E-3</v>
      </c>
      <c r="Q1824" t="s">
        <v>9580</v>
      </c>
    </row>
    <row r="1825" spans="1:17" x14ac:dyDescent="0.2">
      <c r="A1825" t="s">
        <v>2201</v>
      </c>
      <c r="B1825" s="6" t="s">
        <v>2199</v>
      </c>
      <c r="C1825">
        <v>6</v>
      </c>
      <c r="D1825" s="6" t="s">
        <v>2200</v>
      </c>
      <c r="E1825" t="s">
        <v>2445</v>
      </c>
      <c r="F1825" s="6" t="s">
        <v>9060</v>
      </c>
      <c r="H1825">
        <v>4.0000000000000001E-3</v>
      </c>
      <c r="Q1825" t="s">
        <v>9581</v>
      </c>
    </row>
    <row r="1826" spans="1:17" x14ac:dyDescent="0.2">
      <c r="A1826" t="s">
        <v>2201</v>
      </c>
      <c r="B1826" s="6" t="s">
        <v>2199</v>
      </c>
      <c r="C1826">
        <v>6</v>
      </c>
      <c r="D1826" s="6" t="s">
        <v>2200</v>
      </c>
      <c r="E1826" t="s">
        <v>2446</v>
      </c>
      <c r="F1826" s="6" t="s">
        <v>1538</v>
      </c>
      <c r="H1826">
        <v>2.1999999999999999E-2</v>
      </c>
      <c r="Q1826" t="s">
        <v>9582</v>
      </c>
    </row>
    <row r="1827" spans="1:17" x14ac:dyDescent="0.2">
      <c r="A1827" t="s">
        <v>2201</v>
      </c>
      <c r="B1827" s="6" t="s">
        <v>2199</v>
      </c>
      <c r="C1827">
        <v>6</v>
      </c>
      <c r="D1827" s="6" t="s">
        <v>2200</v>
      </c>
      <c r="E1827" t="s">
        <v>2447</v>
      </c>
      <c r="F1827" s="6" t="s">
        <v>1538</v>
      </c>
      <c r="H1827">
        <v>1.2999999999999999E-2</v>
      </c>
      <c r="Q1827" t="s">
        <v>9583</v>
      </c>
    </row>
    <row r="1828" spans="1:17" x14ac:dyDescent="0.2">
      <c r="A1828" t="s">
        <v>2201</v>
      </c>
      <c r="B1828" s="6" t="s">
        <v>2199</v>
      </c>
      <c r="C1828">
        <v>6</v>
      </c>
      <c r="D1828" s="6" t="s">
        <v>2200</v>
      </c>
      <c r="E1828" t="s">
        <v>2448</v>
      </c>
      <c r="F1828" s="6" t="s">
        <v>1538</v>
      </c>
      <c r="H1828">
        <v>5.0000000000000001E-3</v>
      </c>
      <c r="Q1828" t="s">
        <v>9589</v>
      </c>
    </row>
    <row r="1829" spans="1:17" x14ac:dyDescent="0.2">
      <c r="A1829" t="s">
        <v>2201</v>
      </c>
      <c r="B1829" s="6" t="s">
        <v>2199</v>
      </c>
      <c r="C1829">
        <v>6</v>
      </c>
      <c r="D1829" s="6" t="s">
        <v>2200</v>
      </c>
      <c r="E1829" t="s">
        <v>2449</v>
      </c>
      <c r="F1829" s="6" t="s">
        <v>1389</v>
      </c>
      <c r="H1829">
        <v>3.0000000000000001E-3</v>
      </c>
      <c r="Q1829" t="s">
        <v>9590</v>
      </c>
    </row>
    <row r="1830" spans="1:17" x14ac:dyDescent="0.2">
      <c r="A1830" t="s">
        <v>2201</v>
      </c>
      <c r="B1830" s="6" t="s">
        <v>2199</v>
      </c>
      <c r="C1830">
        <v>6</v>
      </c>
      <c r="D1830" s="6" t="s">
        <v>2200</v>
      </c>
      <c r="E1830" t="s">
        <v>2450</v>
      </c>
      <c r="F1830" s="6" t="s">
        <v>1389</v>
      </c>
      <c r="H1830">
        <v>1E-3</v>
      </c>
      <c r="Q1830" t="s">
        <v>9574</v>
      </c>
    </row>
    <row r="1831" spans="1:17" x14ac:dyDescent="0.2">
      <c r="A1831" t="s">
        <v>2201</v>
      </c>
      <c r="B1831" s="6" t="s">
        <v>2199</v>
      </c>
      <c r="C1831">
        <v>6</v>
      </c>
      <c r="D1831" s="6" t="s">
        <v>2200</v>
      </c>
      <c r="E1831" t="s">
        <v>2451</v>
      </c>
      <c r="F1831" s="6" t="s">
        <v>1389</v>
      </c>
      <c r="H1831">
        <v>3.0000000000000001E-3</v>
      </c>
      <c r="Q1831" t="s">
        <v>9575</v>
      </c>
    </row>
    <row r="1832" spans="1:17" x14ac:dyDescent="0.2">
      <c r="A1832" t="s">
        <v>2201</v>
      </c>
      <c r="B1832" s="6" t="s">
        <v>2199</v>
      </c>
      <c r="C1832">
        <v>6</v>
      </c>
      <c r="D1832" s="6" t="s">
        <v>2200</v>
      </c>
      <c r="E1832" t="s">
        <v>2452</v>
      </c>
      <c r="F1832" s="6" t="s">
        <v>6239</v>
      </c>
      <c r="G1832">
        <v>1</v>
      </c>
      <c r="Q1832" t="s">
        <v>9584</v>
      </c>
    </row>
    <row r="1833" spans="1:17" x14ac:dyDescent="0.2">
      <c r="A1833" t="s">
        <v>2201</v>
      </c>
      <c r="B1833" s="6" t="s">
        <v>2199</v>
      </c>
      <c r="C1833">
        <v>6</v>
      </c>
      <c r="D1833" s="6" t="s">
        <v>2200</v>
      </c>
      <c r="E1833" t="s">
        <v>2453</v>
      </c>
      <c r="F1833" s="6" t="s">
        <v>6239</v>
      </c>
      <c r="G1833">
        <v>1</v>
      </c>
      <c r="Q1833" t="s">
        <v>9585</v>
      </c>
    </row>
    <row r="1834" spans="1:17" x14ac:dyDescent="0.2">
      <c r="A1834" t="s">
        <v>2201</v>
      </c>
      <c r="B1834" s="6" t="s">
        <v>2199</v>
      </c>
      <c r="C1834">
        <v>6</v>
      </c>
      <c r="D1834" s="6" t="s">
        <v>2200</v>
      </c>
      <c r="E1834" t="s">
        <v>2454</v>
      </c>
      <c r="F1834" s="6" t="s">
        <v>1538</v>
      </c>
      <c r="G1834">
        <v>1</v>
      </c>
      <c r="Q1834" t="s">
        <v>9586</v>
      </c>
    </row>
    <row r="1835" spans="1:17" x14ac:dyDescent="0.2">
      <c r="A1835" t="s">
        <v>2201</v>
      </c>
      <c r="B1835" s="6" t="s">
        <v>2199</v>
      </c>
      <c r="C1835">
        <v>6</v>
      </c>
      <c r="D1835" s="6" t="s">
        <v>2200</v>
      </c>
      <c r="E1835" t="s">
        <v>2455</v>
      </c>
      <c r="F1835" s="6" t="s">
        <v>1538</v>
      </c>
      <c r="G1835">
        <v>1</v>
      </c>
      <c r="Q1835" t="s">
        <v>9587</v>
      </c>
    </row>
    <row r="1836" spans="1:17" x14ac:dyDescent="0.2">
      <c r="A1836" t="s">
        <v>2201</v>
      </c>
      <c r="B1836" s="6" t="s">
        <v>2199</v>
      </c>
      <c r="C1836">
        <v>6</v>
      </c>
      <c r="D1836" s="6" t="s">
        <v>2200</v>
      </c>
      <c r="E1836" t="s">
        <v>2456</v>
      </c>
      <c r="F1836" s="6" t="s">
        <v>6239</v>
      </c>
      <c r="G1836">
        <v>1</v>
      </c>
      <c r="Q1836" t="s">
        <v>9588</v>
      </c>
    </row>
    <row r="1837" spans="1:17" x14ac:dyDescent="0.2">
      <c r="A1837" t="s">
        <v>2201</v>
      </c>
      <c r="B1837" s="6" t="s">
        <v>2199</v>
      </c>
      <c r="C1837">
        <v>6</v>
      </c>
      <c r="D1837" s="6" t="s">
        <v>2200</v>
      </c>
      <c r="E1837" t="s">
        <v>2457</v>
      </c>
      <c r="F1837" s="6" t="s">
        <v>6239</v>
      </c>
      <c r="H1837">
        <v>7.0000000000000001E-3</v>
      </c>
      <c r="M1837">
        <v>7</v>
      </c>
    </row>
    <row r="1838" spans="1:17" x14ac:dyDescent="0.2">
      <c r="A1838" t="s">
        <v>2201</v>
      </c>
      <c r="B1838" s="6" t="s">
        <v>2199</v>
      </c>
      <c r="C1838">
        <v>6</v>
      </c>
      <c r="D1838" s="6" t="s">
        <v>2200</v>
      </c>
      <c r="E1838" t="s">
        <v>2458</v>
      </c>
      <c r="F1838" s="6" t="s">
        <v>1538</v>
      </c>
      <c r="G1838" t="s">
        <v>114</v>
      </c>
    </row>
    <row r="1839" spans="1:17" x14ac:dyDescent="0.2">
      <c r="A1839" t="s">
        <v>2201</v>
      </c>
      <c r="B1839" s="6" t="s">
        <v>2199</v>
      </c>
      <c r="C1839">
        <v>6</v>
      </c>
      <c r="D1839" s="6" t="s">
        <v>2200</v>
      </c>
      <c r="E1839" t="s">
        <v>2459</v>
      </c>
      <c r="F1839" s="6" t="s">
        <v>1538</v>
      </c>
      <c r="G1839">
        <v>1</v>
      </c>
    </row>
    <row r="1840" spans="1:17" x14ac:dyDescent="0.2">
      <c r="A1840" t="s">
        <v>2201</v>
      </c>
      <c r="B1840" s="6" t="s">
        <v>2199</v>
      </c>
      <c r="C1840">
        <v>6</v>
      </c>
      <c r="D1840" s="6" t="s">
        <v>2200</v>
      </c>
      <c r="E1840" t="s">
        <v>2460</v>
      </c>
      <c r="F1840" s="6" t="s">
        <v>6239</v>
      </c>
      <c r="G1840" t="s">
        <v>114</v>
      </c>
    </row>
    <row r="1841" spans="1:17" x14ac:dyDescent="0.2">
      <c r="A1841" t="s">
        <v>2201</v>
      </c>
      <c r="B1841" s="6" t="s">
        <v>2199</v>
      </c>
      <c r="C1841">
        <v>1</v>
      </c>
      <c r="D1841" s="6" t="s">
        <v>2200</v>
      </c>
      <c r="E1841" t="s">
        <v>2461</v>
      </c>
      <c r="F1841" s="6" t="s">
        <v>1264</v>
      </c>
      <c r="H1841">
        <f>13.5-1.8</f>
        <v>11.7</v>
      </c>
      <c r="M1841" t="s">
        <v>802</v>
      </c>
    </row>
    <row r="1842" spans="1:17" x14ac:dyDescent="0.2">
      <c r="A1842" t="s">
        <v>2201</v>
      </c>
      <c r="B1842" s="6" t="s">
        <v>2199</v>
      </c>
      <c r="C1842">
        <v>1</v>
      </c>
      <c r="D1842" s="6" t="s">
        <v>2200</v>
      </c>
      <c r="E1842" t="s">
        <v>2461</v>
      </c>
      <c r="F1842" s="6" t="s">
        <v>2222</v>
      </c>
      <c r="H1842">
        <f>2.616-0.345</f>
        <v>2.2709999999999999</v>
      </c>
      <c r="M1842" t="s">
        <v>802</v>
      </c>
    </row>
    <row r="1843" spans="1:17" x14ac:dyDescent="0.2">
      <c r="A1843" t="s">
        <v>2201</v>
      </c>
      <c r="B1843" s="6" t="s">
        <v>2199</v>
      </c>
      <c r="C1843">
        <v>1</v>
      </c>
      <c r="D1843" s="6" t="s">
        <v>2200</v>
      </c>
      <c r="E1843" s="8" t="s">
        <v>2462</v>
      </c>
      <c r="F1843" s="6" t="s">
        <v>998</v>
      </c>
      <c r="H1843">
        <f>2.2-0.295</f>
        <v>1.9050000000000002</v>
      </c>
      <c r="M1843" t="s">
        <v>802</v>
      </c>
    </row>
    <row r="1844" spans="1:17" x14ac:dyDescent="0.2">
      <c r="A1844" t="s">
        <v>2201</v>
      </c>
      <c r="B1844" s="6" t="s">
        <v>2199</v>
      </c>
      <c r="C1844">
        <v>1</v>
      </c>
      <c r="D1844" s="6" t="s">
        <v>2200</v>
      </c>
      <c r="E1844" s="8" t="s">
        <v>2463</v>
      </c>
      <c r="F1844" s="6" t="s">
        <v>9591</v>
      </c>
      <c r="H1844">
        <f>0.555-0.285</f>
        <v>0.27000000000000007</v>
      </c>
      <c r="M1844" t="s">
        <v>802</v>
      </c>
      <c r="Q1844" t="s">
        <v>9592</v>
      </c>
    </row>
    <row r="1845" spans="1:17" x14ac:dyDescent="0.2">
      <c r="A1845" t="s">
        <v>2484</v>
      </c>
      <c r="B1845" s="6" t="s">
        <v>2485</v>
      </c>
      <c r="C1845">
        <v>2</v>
      </c>
      <c r="D1845" s="6" t="s">
        <v>2200</v>
      </c>
      <c r="E1845" s="8" t="s">
        <v>2487</v>
      </c>
      <c r="F1845" s="6" t="s">
        <v>2488</v>
      </c>
      <c r="H1845">
        <f>3.5-0.44</f>
        <v>3.06</v>
      </c>
      <c r="O1845" t="s">
        <v>2489</v>
      </c>
    </row>
    <row r="1846" spans="1:17" x14ac:dyDescent="0.2">
      <c r="A1846" t="s">
        <v>2484</v>
      </c>
      <c r="B1846" s="6" t="s">
        <v>2485</v>
      </c>
      <c r="C1846">
        <v>2</v>
      </c>
      <c r="D1846" s="6" t="s">
        <v>2200</v>
      </c>
      <c r="E1846" s="8" t="s">
        <v>2490</v>
      </c>
      <c r="F1846" s="6" t="s">
        <v>1264</v>
      </c>
      <c r="H1846">
        <f>8.2-0.261</f>
        <v>7.9389999999999992</v>
      </c>
      <c r="O1846" t="s">
        <v>2519</v>
      </c>
    </row>
    <row r="1847" spans="1:17" x14ac:dyDescent="0.2">
      <c r="A1847" t="s">
        <v>2484</v>
      </c>
      <c r="B1847" s="6" t="s">
        <v>2485</v>
      </c>
      <c r="C1847">
        <v>2</v>
      </c>
      <c r="D1847" s="6" t="s">
        <v>2200</v>
      </c>
      <c r="E1847" s="8" t="s">
        <v>2491</v>
      </c>
      <c r="F1847" s="6" t="s">
        <v>1264</v>
      </c>
      <c r="H1847">
        <f>0.792-0.311</f>
        <v>0.48100000000000004</v>
      </c>
    </row>
    <row r="1848" spans="1:17" x14ac:dyDescent="0.2">
      <c r="A1848" t="s">
        <v>2484</v>
      </c>
      <c r="B1848" s="6" t="s">
        <v>2485</v>
      </c>
      <c r="C1848">
        <v>2</v>
      </c>
      <c r="D1848" s="6" t="s">
        <v>2200</v>
      </c>
      <c r="E1848" s="8" t="s">
        <v>2493</v>
      </c>
      <c r="F1848" s="6" t="s">
        <v>1538</v>
      </c>
      <c r="G1848" t="s">
        <v>114</v>
      </c>
      <c r="Q1848" t="s">
        <v>9594</v>
      </c>
    </row>
    <row r="1849" spans="1:17" x14ac:dyDescent="0.2">
      <c r="A1849" t="s">
        <v>2484</v>
      </c>
      <c r="B1849" s="6" t="s">
        <v>2485</v>
      </c>
      <c r="C1849">
        <v>2</v>
      </c>
      <c r="D1849" s="6" t="s">
        <v>2200</v>
      </c>
      <c r="E1849" s="8" t="s">
        <v>2494</v>
      </c>
      <c r="F1849" s="6" t="s">
        <v>1538</v>
      </c>
      <c r="H1849">
        <v>0.19</v>
      </c>
      <c r="Q1849" t="s">
        <v>9595</v>
      </c>
    </row>
    <row r="1850" spans="1:17" x14ac:dyDescent="0.2">
      <c r="A1850" t="s">
        <v>2484</v>
      </c>
      <c r="B1850" s="6" t="s">
        <v>2485</v>
      </c>
      <c r="C1850">
        <v>2</v>
      </c>
      <c r="D1850" s="6" t="s">
        <v>2200</v>
      </c>
      <c r="E1850" s="8" t="s">
        <v>2495</v>
      </c>
      <c r="F1850" s="6" t="s">
        <v>1538</v>
      </c>
      <c r="H1850">
        <v>6.0000000000000001E-3</v>
      </c>
      <c r="Q1850" t="s">
        <v>9596</v>
      </c>
    </row>
    <row r="1851" spans="1:17" x14ac:dyDescent="0.2">
      <c r="A1851" t="s">
        <v>2484</v>
      </c>
      <c r="B1851" s="6" t="s">
        <v>2485</v>
      </c>
      <c r="C1851">
        <v>2</v>
      </c>
      <c r="D1851" s="6" t="s">
        <v>2200</v>
      </c>
      <c r="E1851" s="8" t="s">
        <v>2496</v>
      </c>
      <c r="F1851" s="6" t="s">
        <v>1538</v>
      </c>
      <c r="H1851">
        <v>2.1000000000000001E-2</v>
      </c>
      <c r="Q1851" t="s">
        <v>9597</v>
      </c>
    </row>
    <row r="1852" spans="1:17" x14ac:dyDescent="0.2">
      <c r="A1852" t="s">
        <v>2484</v>
      </c>
      <c r="B1852" s="6" t="s">
        <v>2485</v>
      </c>
      <c r="C1852">
        <v>2</v>
      </c>
      <c r="D1852" s="6" t="s">
        <v>2200</v>
      </c>
      <c r="E1852" s="8" t="s">
        <v>2498</v>
      </c>
      <c r="F1852" s="6" t="s">
        <v>1538</v>
      </c>
      <c r="H1852">
        <v>6.0999999999999999E-2</v>
      </c>
      <c r="Q1852" t="s">
        <v>9593</v>
      </c>
    </row>
    <row r="1853" spans="1:17" x14ac:dyDescent="0.2">
      <c r="A1853" t="s">
        <v>2484</v>
      </c>
      <c r="B1853" s="6" t="s">
        <v>2485</v>
      </c>
      <c r="C1853">
        <v>2</v>
      </c>
      <c r="D1853" s="6" t="s">
        <v>2200</v>
      </c>
      <c r="E1853" s="8" t="s">
        <v>2497</v>
      </c>
      <c r="F1853" s="6" t="s">
        <v>1538</v>
      </c>
      <c r="H1853">
        <v>0.115</v>
      </c>
      <c r="M1853">
        <v>5</v>
      </c>
    </row>
    <row r="1854" spans="1:17" x14ac:dyDescent="0.2">
      <c r="A1854" t="s">
        <v>2484</v>
      </c>
      <c r="B1854" s="6" t="s">
        <v>2485</v>
      </c>
      <c r="C1854">
        <v>2</v>
      </c>
      <c r="D1854" s="6" t="s">
        <v>2200</v>
      </c>
      <c r="E1854" t="s">
        <v>2499</v>
      </c>
      <c r="F1854" s="6" t="s">
        <v>1538</v>
      </c>
      <c r="H1854">
        <f>0.593-0.357</f>
        <v>0.23599999999999999</v>
      </c>
    </row>
    <row r="1855" spans="1:17" x14ac:dyDescent="0.2">
      <c r="A1855" t="s">
        <v>2484</v>
      </c>
      <c r="B1855" s="6" t="s">
        <v>2485</v>
      </c>
      <c r="C1855">
        <v>2</v>
      </c>
      <c r="D1855" s="6" t="s">
        <v>2200</v>
      </c>
      <c r="E1855" s="8" t="s">
        <v>2500</v>
      </c>
      <c r="F1855" s="6" t="s">
        <v>1389</v>
      </c>
      <c r="H1855">
        <v>8.9999999999999993E-3</v>
      </c>
      <c r="Q1855" t="s">
        <v>9598</v>
      </c>
    </row>
    <row r="1856" spans="1:17" x14ac:dyDescent="0.2">
      <c r="A1856" t="s">
        <v>2484</v>
      </c>
      <c r="B1856" s="6" t="s">
        <v>2485</v>
      </c>
      <c r="C1856">
        <v>2</v>
      </c>
      <c r="D1856" s="6" t="s">
        <v>2200</v>
      </c>
      <c r="E1856" s="8" t="s">
        <v>2501</v>
      </c>
      <c r="F1856" s="6" t="s">
        <v>1389</v>
      </c>
      <c r="H1856">
        <v>2E-3</v>
      </c>
      <c r="Q1856" t="s">
        <v>9599</v>
      </c>
    </row>
    <row r="1857" spans="1:17" x14ac:dyDescent="0.2">
      <c r="A1857" t="s">
        <v>2484</v>
      </c>
      <c r="B1857" s="6" t="s">
        <v>2485</v>
      </c>
      <c r="C1857">
        <v>2</v>
      </c>
      <c r="D1857" s="6" t="s">
        <v>2200</v>
      </c>
      <c r="E1857" s="8" t="s">
        <v>2503</v>
      </c>
      <c r="F1857" s="6" t="s">
        <v>1389</v>
      </c>
      <c r="H1857">
        <v>4.0000000000000001E-3</v>
      </c>
      <c r="Q1857" t="s">
        <v>9601</v>
      </c>
    </row>
    <row r="1858" spans="1:17" x14ac:dyDescent="0.2">
      <c r="A1858" t="s">
        <v>2484</v>
      </c>
      <c r="B1858" s="6" t="s">
        <v>2485</v>
      </c>
      <c r="C1858">
        <v>2</v>
      </c>
      <c r="D1858" s="6" t="s">
        <v>2200</v>
      </c>
      <c r="E1858" s="8" t="s">
        <v>2504</v>
      </c>
      <c r="F1858" s="6" t="s">
        <v>1389</v>
      </c>
      <c r="H1858">
        <v>6.0000000000000001E-3</v>
      </c>
      <c r="Q1858" t="s">
        <v>9602</v>
      </c>
    </row>
    <row r="1859" spans="1:17" x14ac:dyDescent="0.2">
      <c r="A1859" t="s">
        <v>2484</v>
      </c>
      <c r="B1859" s="6" t="s">
        <v>2485</v>
      </c>
      <c r="C1859">
        <v>2</v>
      </c>
      <c r="D1859" s="6" t="s">
        <v>2200</v>
      </c>
      <c r="E1859" s="8" t="s">
        <v>2502</v>
      </c>
      <c r="F1859" s="6" t="s">
        <v>1389</v>
      </c>
      <c r="H1859">
        <v>5.0000000000000001E-3</v>
      </c>
      <c r="Q1859" t="s">
        <v>9600</v>
      </c>
    </row>
    <row r="1860" spans="1:17" x14ac:dyDescent="0.2">
      <c r="A1860" t="s">
        <v>2484</v>
      </c>
      <c r="B1860" s="6" t="s">
        <v>2485</v>
      </c>
      <c r="C1860">
        <v>2</v>
      </c>
      <c r="D1860" s="6" t="s">
        <v>2200</v>
      </c>
      <c r="E1860" s="8" t="s">
        <v>2505</v>
      </c>
      <c r="F1860" s="6" t="s">
        <v>1389</v>
      </c>
      <c r="H1860">
        <v>0.03</v>
      </c>
      <c r="M1860">
        <v>5</v>
      </c>
    </row>
    <row r="1861" spans="1:17" x14ac:dyDescent="0.2">
      <c r="A1861" t="s">
        <v>2484</v>
      </c>
      <c r="B1861" s="6" t="s">
        <v>2485</v>
      </c>
      <c r="C1861">
        <v>2</v>
      </c>
      <c r="D1861" s="6" t="s">
        <v>2200</v>
      </c>
      <c r="E1861" t="s">
        <v>2499</v>
      </c>
      <c r="F1861" s="6" t="s">
        <v>1389</v>
      </c>
      <c r="H1861">
        <v>2.4E-2</v>
      </c>
    </row>
    <row r="1862" spans="1:17" x14ac:dyDescent="0.2">
      <c r="A1862" t="s">
        <v>2484</v>
      </c>
      <c r="B1862" s="6" t="s">
        <v>2485</v>
      </c>
      <c r="C1862">
        <v>2</v>
      </c>
      <c r="D1862" s="6" t="s">
        <v>2200</v>
      </c>
      <c r="E1862" s="8" t="s">
        <v>2506</v>
      </c>
      <c r="F1862" s="6" t="s">
        <v>1311</v>
      </c>
      <c r="H1862">
        <v>1.4E-2</v>
      </c>
      <c r="Q1862" t="s">
        <v>9612</v>
      </c>
    </row>
    <row r="1863" spans="1:17" x14ac:dyDescent="0.2">
      <c r="A1863" t="s">
        <v>2484</v>
      </c>
      <c r="B1863" s="6" t="s">
        <v>2485</v>
      </c>
      <c r="C1863">
        <v>2</v>
      </c>
      <c r="D1863" s="6" t="s">
        <v>2200</v>
      </c>
      <c r="E1863" s="8" t="s">
        <v>2492</v>
      </c>
      <c r="F1863" s="6" t="s">
        <v>1311</v>
      </c>
      <c r="H1863">
        <v>3.0000000000000001E-3</v>
      </c>
      <c r="Q1863" t="s">
        <v>9608</v>
      </c>
    </row>
    <row r="1864" spans="1:17" x14ac:dyDescent="0.2">
      <c r="A1864" t="s">
        <v>2484</v>
      </c>
      <c r="B1864" s="6" t="s">
        <v>2485</v>
      </c>
      <c r="C1864">
        <v>2</v>
      </c>
      <c r="D1864" s="6" t="s">
        <v>2200</v>
      </c>
      <c r="E1864" s="8" t="s">
        <v>2507</v>
      </c>
      <c r="F1864" s="6" t="s">
        <v>1311</v>
      </c>
      <c r="H1864">
        <v>3.0000000000000001E-3</v>
      </c>
      <c r="Q1864" t="s">
        <v>9609</v>
      </c>
    </row>
    <row r="1865" spans="1:17" x14ac:dyDescent="0.2">
      <c r="A1865" t="s">
        <v>2484</v>
      </c>
      <c r="B1865" s="6" t="s">
        <v>2485</v>
      </c>
      <c r="C1865">
        <v>2</v>
      </c>
      <c r="D1865" s="6" t="s">
        <v>2200</v>
      </c>
      <c r="E1865" s="8" t="s">
        <v>2508</v>
      </c>
      <c r="F1865" s="6" t="s">
        <v>1311</v>
      </c>
      <c r="H1865">
        <v>1E-3</v>
      </c>
      <c r="Q1865" t="s">
        <v>9610</v>
      </c>
    </row>
    <row r="1866" spans="1:17" x14ac:dyDescent="0.2">
      <c r="A1866" t="s">
        <v>2484</v>
      </c>
      <c r="B1866" s="6" t="s">
        <v>2485</v>
      </c>
      <c r="C1866">
        <v>2</v>
      </c>
      <c r="D1866" s="6" t="s">
        <v>2200</v>
      </c>
      <c r="E1866" s="8" t="s">
        <v>2509</v>
      </c>
      <c r="F1866" s="6" t="s">
        <v>1311</v>
      </c>
      <c r="H1866">
        <v>2E-3</v>
      </c>
      <c r="Q1866" t="s">
        <v>9611</v>
      </c>
    </row>
    <row r="1867" spans="1:17" x14ac:dyDescent="0.2">
      <c r="A1867" t="s">
        <v>2484</v>
      </c>
      <c r="B1867" s="6" t="s">
        <v>2485</v>
      </c>
      <c r="C1867">
        <v>2</v>
      </c>
      <c r="D1867" s="6" t="s">
        <v>2200</v>
      </c>
      <c r="E1867" s="8" t="s">
        <v>2511</v>
      </c>
      <c r="F1867" s="6" t="s">
        <v>1425</v>
      </c>
      <c r="H1867">
        <v>4.0000000000000001E-3</v>
      </c>
      <c r="Q1867" t="s">
        <v>9605</v>
      </c>
    </row>
    <row r="1868" spans="1:17" x14ac:dyDescent="0.2">
      <c r="A1868" t="s">
        <v>2484</v>
      </c>
      <c r="B1868" s="6" t="s">
        <v>2485</v>
      </c>
      <c r="C1868">
        <v>2</v>
      </c>
      <c r="D1868" s="6" t="s">
        <v>2200</v>
      </c>
      <c r="E1868" s="8" t="s">
        <v>2512</v>
      </c>
      <c r="F1868" s="6" t="s">
        <v>1425</v>
      </c>
      <c r="H1868">
        <v>6.0000000000000001E-3</v>
      </c>
      <c r="Q1868" t="s">
        <v>9606</v>
      </c>
    </row>
    <row r="1869" spans="1:17" x14ac:dyDescent="0.2">
      <c r="A1869" t="s">
        <v>2484</v>
      </c>
      <c r="B1869" s="6" t="s">
        <v>2485</v>
      </c>
      <c r="C1869">
        <v>2</v>
      </c>
      <c r="D1869" s="6" t="s">
        <v>2200</v>
      </c>
      <c r="E1869" s="8" t="s">
        <v>2514</v>
      </c>
      <c r="F1869" s="6" t="s">
        <v>1425</v>
      </c>
      <c r="H1869">
        <v>6.0000000000000001E-3</v>
      </c>
      <c r="Q1869" t="s">
        <v>9604</v>
      </c>
    </row>
    <row r="1870" spans="1:17" x14ac:dyDescent="0.2">
      <c r="A1870" t="s">
        <v>2484</v>
      </c>
      <c r="B1870" s="6" t="s">
        <v>2485</v>
      </c>
      <c r="C1870">
        <v>2</v>
      </c>
      <c r="D1870" s="6" t="s">
        <v>2200</v>
      </c>
      <c r="E1870" s="8" t="s">
        <v>2510</v>
      </c>
      <c r="F1870" s="6" t="s">
        <v>1425</v>
      </c>
      <c r="H1870">
        <v>8.0000000000000002E-3</v>
      </c>
      <c r="Q1870" t="s">
        <v>9603</v>
      </c>
    </row>
    <row r="1871" spans="1:17" x14ac:dyDescent="0.2">
      <c r="A1871" t="s">
        <v>2484</v>
      </c>
      <c r="B1871" s="6" t="s">
        <v>2485</v>
      </c>
      <c r="C1871">
        <v>2</v>
      </c>
      <c r="D1871" s="6" t="s">
        <v>2200</v>
      </c>
      <c r="E1871" s="8" t="s">
        <v>2513</v>
      </c>
      <c r="F1871" s="6" t="s">
        <v>1425</v>
      </c>
      <c r="H1871">
        <v>7.0000000000000001E-3</v>
      </c>
      <c r="Q1871" t="s">
        <v>9607</v>
      </c>
    </row>
    <row r="1872" spans="1:17" x14ac:dyDescent="0.2">
      <c r="A1872" t="s">
        <v>2484</v>
      </c>
      <c r="B1872" s="6" t="s">
        <v>2485</v>
      </c>
      <c r="C1872">
        <v>2</v>
      </c>
      <c r="D1872" s="6" t="s">
        <v>2200</v>
      </c>
      <c r="E1872" s="8" t="s">
        <v>2515</v>
      </c>
      <c r="F1872" s="6" t="s">
        <v>1425</v>
      </c>
      <c r="H1872">
        <v>4.4999999999999998E-2</v>
      </c>
      <c r="M1872">
        <v>7</v>
      </c>
    </row>
    <row r="1873" spans="1:17" x14ac:dyDescent="0.2">
      <c r="A1873" t="s">
        <v>2484</v>
      </c>
      <c r="B1873" s="6" t="s">
        <v>2485</v>
      </c>
      <c r="C1873">
        <v>2</v>
      </c>
      <c r="D1873" s="6" t="s">
        <v>2200</v>
      </c>
      <c r="E1873" s="8" t="s">
        <v>2516</v>
      </c>
      <c r="F1873" s="6" t="s">
        <v>5639</v>
      </c>
      <c r="H1873">
        <v>8.5999999999999993E-2</v>
      </c>
      <c r="Q1873" t="s">
        <v>9613</v>
      </c>
    </row>
    <row r="1874" spans="1:17" x14ac:dyDescent="0.2">
      <c r="A1874" t="s">
        <v>2484</v>
      </c>
      <c r="B1874" s="6" t="s">
        <v>2485</v>
      </c>
      <c r="C1874">
        <v>2</v>
      </c>
      <c r="D1874" s="6" t="s">
        <v>2200</v>
      </c>
      <c r="E1874" s="8" t="s">
        <v>2518</v>
      </c>
      <c r="F1874" t="s">
        <v>2561</v>
      </c>
      <c r="H1874">
        <v>5.3999999999999999E-2</v>
      </c>
      <c r="Q1874" t="s">
        <v>9614</v>
      </c>
    </row>
    <row r="1875" spans="1:17" x14ac:dyDescent="0.2">
      <c r="A1875" t="s">
        <v>2484</v>
      </c>
      <c r="B1875" s="6" t="s">
        <v>2485</v>
      </c>
      <c r="C1875">
        <v>2</v>
      </c>
      <c r="D1875" s="6" t="s">
        <v>2200</v>
      </c>
      <c r="E1875" s="8" t="s">
        <v>2517</v>
      </c>
      <c r="F1875" t="s">
        <v>5930</v>
      </c>
      <c r="H1875">
        <v>4.9000000000000002E-2</v>
      </c>
      <c r="Q1875" t="s">
        <v>6003</v>
      </c>
    </row>
    <row r="1876" spans="1:17" x14ac:dyDescent="0.2">
      <c r="A1876" t="s">
        <v>2484</v>
      </c>
      <c r="B1876" s="6" t="s">
        <v>2485</v>
      </c>
      <c r="C1876">
        <v>2</v>
      </c>
      <c r="D1876" s="6" t="s">
        <v>2200</v>
      </c>
      <c r="E1876" s="8" t="s">
        <v>2521</v>
      </c>
      <c r="F1876" s="6" t="s">
        <v>6978</v>
      </c>
      <c r="H1876">
        <v>2E-3</v>
      </c>
      <c r="P1876" s="6" t="s">
        <v>5996</v>
      </c>
      <c r="Q1876" t="s">
        <v>6004</v>
      </c>
    </row>
    <row r="1877" spans="1:17" x14ac:dyDescent="0.2">
      <c r="A1877" t="s">
        <v>2484</v>
      </c>
      <c r="B1877" s="6" t="s">
        <v>2485</v>
      </c>
      <c r="C1877">
        <v>2</v>
      </c>
      <c r="D1877" s="6" t="s">
        <v>2200</v>
      </c>
      <c r="E1877" s="8" t="s">
        <v>2522</v>
      </c>
      <c r="F1877" s="6" t="s">
        <v>6978</v>
      </c>
      <c r="H1877">
        <v>1E-3</v>
      </c>
      <c r="Q1877" t="s">
        <v>6006</v>
      </c>
    </row>
    <row r="1878" spans="1:17" x14ac:dyDescent="0.2">
      <c r="A1878" t="s">
        <v>2484</v>
      </c>
      <c r="B1878" s="6" t="s">
        <v>2485</v>
      </c>
      <c r="C1878">
        <v>2</v>
      </c>
      <c r="D1878" s="6" t="s">
        <v>2200</v>
      </c>
      <c r="E1878" s="8" t="s">
        <v>2525</v>
      </c>
      <c r="F1878" s="6" t="s">
        <v>6978</v>
      </c>
      <c r="H1878">
        <v>1E-3</v>
      </c>
      <c r="Q1878" t="s">
        <v>6008</v>
      </c>
    </row>
    <row r="1879" spans="1:17" x14ac:dyDescent="0.2">
      <c r="A1879" t="s">
        <v>2484</v>
      </c>
      <c r="B1879" s="6" t="s">
        <v>2485</v>
      </c>
      <c r="C1879">
        <v>2</v>
      </c>
      <c r="D1879" s="6" t="s">
        <v>2200</v>
      </c>
      <c r="E1879" s="8" t="s">
        <v>2523</v>
      </c>
      <c r="F1879" s="6" t="s">
        <v>6978</v>
      </c>
      <c r="H1879">
        <v>1E-3</v>
      </c>
      <c r="Q1879" t="s">
        <v>6007</v>
      </c>
    </row>
    <row r="1880" spans="1:17" x14ac:dyDescent="0.2">
      <c r="A1880" t="s">
        <v>2484</v>
      </c>
      <c r="B1880" s="6" t="s">
        <v>2485</v>
      </c>
      <c r="C1880">
        <v>2</v>
      </c>
      <c r="D1880" s="6" t="s">
        <v>2200</v>
      </c>
      <c r="E1880" s="8" t="s">
        <v>2524</v>
      </c>
      <c r="F1880" s="6" t="s">
        <v>6978</v>
      </c>
      <c r="H1880">
        <v>1E-3</v>
      </c>
      <c r="P1880" s="6" t="s">
        <v>5996</v>
      </c>
      <c r="Q1880" t="s">
        <v>6005</v>
      </c>
    </row>
    <row r="1881" spans="1:17" x14ac:dyDescent="0.2">
      <c r="A1881" t="s">
        <v>2484</v>
      </c>
      <c r="B1881" s="6" t="s">
        <v>2485</v>
      </c>
      <c r="C1881">
        <v>2</v>
      </c>
      <c r="D1881" s="6" t="s">
        <v>2200</v>
      </c>
      <c r="E1881" s="8" t="s">
        <v>2526</v>
      </c>
      <c r="F1881" s="6" t="s">
        <v>6978</v>
      </c>
      <c r="H1881">
        <v>1E-3</v>
      </c>
      <c r="Q1881" t="s">
        <v>6009</v>
      </c>
    </row>
    <row r="1882" spans="1:17" x14ac:dyDescent="0.2">
      <c r="A1882" t="s">
        <v>2484</v>
      </c>
      <c r="B1882" s="6" t="s">
        <v>2485</v>
      </c>
      <c r="C1882">
        <v>2</v>
      </c>
      <c r="D1882" s="6" t="s">
        <v>2200</v>
      </c>
      <c r="E1882" s="8" t="s">
        <v>2527</v>
      </c>
      <c r="F1882" s="6" t="s">
        <v>6978</v>
      </c>
      <c r="G1882" t="s">
        <v>114</v>
      </c>
      <c r="Q1882" t="s">
        <v>6010</v>
      </c>
    </row>
    <row r="1883" spans="1:17" x14ac:dyDescent="0.2">
      <c r="A1883" t="s">
        <v>2484</v>
      </c>
      <c r="B1883" s="6" t="s">
        <v>2485</v>
      </c>
      <c r="C1883">
        <v>2</v>
      </c>
      <c r="D1883" s="6" t="s">
        <v>2200</v>
      </c>
      <c r="E1883" s="8" t="s">
        <v>2528</v>
      </c>
      <c r="F1883" s="6" t="s">
        <v>9615</v>
      </c>
      <c r="H1883">
        <v>8.9999999999999993E-3</v>
      </c>
      <c r="M1883">
        <v>2</v>
      </c>
      <c r="Q1883" t="s">
        <v>9616</v>
      </c>
    </row>
    <row r="1884" spans="1:17" x14ac:dyDescent="0.2">
      <c r="A1884" t="s">
        <v>2484</v>
      </c>
      <c r="B1884" s="6" t="s">
        <v>2485</v>
      </c>
      <c r="C1884">
        <v>2</v>
      </c>
      <c r="D1884" s="6" t="s">
        <v>2200</v>
      </c>
      <c r="E1884" s="8" t="s">
        <v>2506</v>
      </c>
      <c r="F1884" s="6" t="s">
        <v>2552</v>
      </c>
      <c r="H1884">
        <v>1.2999999999999999E-2</v>
      </c>
    </row>
    <row r="1885" spans="1:17" x14ac:dyDescent="0.2">
      <c r="A1885" t="s">
        <v>2484</v>
      </c>
      <c r="B1885" s="6" t="s">
        <v>2485</v>
      </c>
      <c r="C1885">
        <v>2</v>
      </c>
      <c r="D1885" s="6" t="s">
        <v>2200</v>
      </c>
      <c r="E1885" s="8" t="s">
        <v>2529</v>
      </c>
      <c r="F1885" s="6" t="s">
        <v>2553</v>
      </c>
      <c r="H1885">
        <v>1E-3</v>
      </c>
      <c r="M1885">
        <v>2</v>
      </c>
    </row>
    <row r="1886" spans="1:17" x14ac:dyDescent="0.2">
      <c r="A1886" t="s">
        <v>2484</v>
      </c>
      <c r="B1886" s="6" t="s">
        <v>2485</v>
      </c>
      <c r="C1886">
        <v>3</v>
      </c>
      <c r="D1886" s="6" t="s">
        <v>2200</v>
      </c>
      <c r="E1886" s="8" t="s">
        <v>2531</v>
      </c>
      <c r="F1886" s="6" t="s">
        <v>2554</v>
      </c>
      <c r="H1886">
        <f>4.6-0.344</f>
        <v>4.2559999999999993</v>
      </c>
      <c r="O1886" t="s">
        <v>2557</v>
      </c>
    </row>
    <row r="1887" spans="1:17" x14ac:dyDescent="0.2">
      <c r="A1887" t="s">
        <v>2484</v>
      </c>
      <c r="B1887" s="6" t="s">
        <v>2485</v>
      </c>
      <c r="C1887">
        <v>3</v>
      </c>
      <c r="D1887" s="6" t="s">
        <v>2200</v>
      </c>
      <c r="E1887" s="8" t="s">
        <v>2530</v>
      </c>
      <c r="F1887" s="6" t="s">
        <v>1264</v>
      </c>
      <c r="H1887">
        <f>1.39-0.4</f>
        <v>0.98999999999999988</v>
      </c>
      <c r="O1887" t="s">
        <v>2558</v>
      </c>
    </row>
    <row r="1888" spans="1:17" x14ac:dyDescent="0.2">
      <c r="A1888" t="s">
        <v>2484</v>
      </c>
      <c r="B1888" s="6" t="s">
        <v>2485</v>
      </c>
      <c r="C1888">
        <v>3</v>
      </c>
      <c r="D1888" s="6" t="s">
        <v>2200</v>
      </c>
      <c r="E1888" s="8" t="s">
        <v>2532</v>
      </c>
      <c r="F1888" t="s">
        <v>5869</v>
      </c>
      <c r="H1888">
        <v>5.5E-2</v>
      </c>
      <c r="Q1888" t="s">
        <v>5874</v>
      </c>
    </row>
    <row r="1889" spans="1:17" x14ac:dyDescent="0.2">
      <c r="A1889" t="s">
        <v>2484</v>
      </c>
      <c r="B1889" s="6" t="s">
        <v>2485</v>
      </c>
      <c r="C1889">
        <v>3</v>
      </c>
      <c r="D1889" s="6" t="s">
        <v>2200</v>
      </c>
      <c r="E1889" s="8" t="s">
        <v>2533</v>
      </c>
      <c r="F1889" s="6" t="s">
        <v>6231</v>
      </c>
      <c r="H1889">
        <v>1.7999999999999999E-2</v>
      </c>
      <c r="Q1889" t="s">
        <v>9617</v>
      </c>
    </row>
    <row r="1890" spans="1:17" x14ac:dyDescent="0.2">
      <c r="A1890" t="s">
        <v>2484</v>
      </c>
      <c r="B1890" s="6" t="s">
        <v>2485</v>
      </c>
      <c r="C1890">
        <v>3</v>
      </c>
      <c r="D1890" s="6" t="s">
        <v>2200</v>
      </c>
      <c r="E1890" s="8" t="s">
        <v>2534</v>
      </c>
      <c r="F1890" s="6" t="s">
        <v>5930</v>
      </c>
      <c r="H1890">
        <v>0.05</v>
      </c>
      <c r="P1890" s="6" t="s">
        <v>5996</v>
      </c>
      <c r="Q1890" t="s">
        <v>6000</v>
      </c>
    </row>
    <row r="1891" spans="1:17" x14ac:dyDescent="0.2">
      <c r="A1891" t="s">
        <v>2484</v>
      </c>
      <c r="B1891" s="6" t="s">
        <v>2485</v>
      </c>
      <c r="C1891">
        <v>3</v>
      </c>
      <c r="D1891" s="6" t="s">
        <v>2200</v>
      </c>
      <c r="E1891" s="8" t="s">
        <v>2535</v>
      </c>
      <c r="F1891" s="6" t="s">
        <v>5930</v>
      </c>
      <c r="H1891">
        <v>4.8000000000000001E-2</v>
      </c>
      <c r="P1891" s="6" t="s">
        <v>5996</v>
      </c>
      <c r="Q1891" t="s">
        <v>6001</v>
      </c>
    </row>
    <row r="1892" spans="1:17" x14ac:dyDescent="0.2">
      <c r="A1892" t="s">
        <v>2484</v>
      </c>
      <c r="B1892" s="6" t="s">
        <v>2485</v>
      </c>
      <c r="C1892">
        <v>3</v>
      </c>
      <c r="D1892" s="6" t="s">
        <v>2200</v>
      </c>
      <c r="E1892" s="8" t="s">
        <v>2536</v>
      </c>
      <c r="F1892" s="6" t="s">
        <v>5930</v>
      </c>
      <c r="H1892">
        <v>1.2999999999999999E-2</v>
      </c>
      <c r="Q1892" t="s">
        <v>6002</v>
      </c>
    </row>
    <row r="1893" spans="1:17" x14ac:dyDescent="0.2">
      <c r="A1893" t="s">
        <v>2484</v>
      </c>
      <c r="B1893" s="6" t="s">
        <v>2485</v>
      </c>
      <c r="C1893">
        <v>3</v>
      </c>
      <c r="D1893" s="6" t="s">
        <v>2200</v>
      </c>
      <c r="E1893" s="8" t="s">
        <v>2537</v>
      </c>
      <c r="F1893" t="s">
        <v>9043</v>
      </c>
      <c r="H1893">
        <v>1.0999999999999999E-2</v>
      </c>
      <c r="P1893" t="s">
        <v>5999</v>
      </c>
      <c r="Q1893" t="s">
        <v>9618</v>
      </c>
    </row>
    <row r="1894" spans="1:17" x14ac:dyDescent="0.2">
      <c r="A1894" t="s">
        <v>2484</v>
      </c>
      <c r="B1894" s="6" t="s">
        <v>2485</v>
      </c>
      <c r="C1894">
        <v>3</v>
      </c>
      <c r="D1894" s="6" t="s">
        <v>2200</v>
      </c>
      <c r="E1894" s="8" t="s">
        <v>2538</v>
      </c>
      <c r="F1894" s="6" t="s">
        <v>1559</v>
      </c>
      <c r="H1894">
        <v>2E-3</v>
      </c>
      <c r="Q1894" t="s">
        <v>9619</v>
      </c>
    </row>
    <row r="1895" spans="1:17" x14ac:dyDescent="0.2">
      <c r="A1895" t="s">
        <v>2484</v>
      </c>
      <c r="B1895" s="6" t="s">
        <v>2485</v>
      </c>
      <c r="C1895">
        <v>3</v>
      </c>
      <c r="D1895" s="6" t="s">
        <v>2200</v>
      </c>
      <c r="E1895" s="8" t="s">
        <v>2539</v>
      </c>
      <c r="F1895" s="6" t="s">
        <v>2555</v>
      </c>
      <c r="H1895">
        <v>4.0000000000000001E-3</v>
      </c>
      <c r="O1895" t="s">
        <v>2559</v>
      </c>
    </row>
    <row r="1896" spans="1:17" x14ac:dyDescent="0.2">
      <c r="A1896" t="s">
        <v>2484</v>
      </c>
      <c r="B1896" s="6" t="s">
        <v>2485</v>
      </c>
      <c r="C1896">
        <v>3</v>
      </c>
      <c r="D1896" s="6" t="s">
        <v>2200</v>
      </c>
      <c r="E1896" s="8" t="s">
        <v>2541</v>
      </c>
      <c r="F1896" s="6" t="s">
        <v>1389</v>
      </c>
      <c r="H1896">
        <v>1.2999999999999999E-2</v>
      </c>
      <c r="Q1896" t="s">
        <v>9620</v>
      </c>
    </row>
    <row r="1897" spans="1:17" x14ac:dyDescent="0.2">
      <c r="A1897" t="s">
        <v>2484</v>
      </c>
      <c r="B1897" s="6" t="s">
        <v>2485</v>
      </c>
      <c r="C1897">
        <v>3</v>
      </c>
      <c r="D1897" s="6" t="s">
        <v>2200</v>
      </c>
      <c r="E1897" s="8" t="s">
        <v>2542</v>
      </c>
      <c r="F1897" s="6" t="s">
        <v>1389</v>
      </c>
      <c r="H1897">
        <v>2E-3</v>
      </c>
      <c r="Q1897" t="s">
        <v>9621</v>
      </c>
    </row>
    <row r="1898" spans="1:17" x14ac:dyDescent="0.2">
      <c r="A1898" t="s">
        <v>2484</v>
      </c>
      <c r="B1898" s="6" t="s">
        <v>2485</v>
      </c>
      <c r="C1898">
        <v>3</v>
      </c>
      <c r="D1898" s="6" t="s">
        <v>2200</v>
      </c>
      <c r="E1898" s="8" t="s">
        <v>2543</v>
      </c>
      <c r="F1898" s="6" t="s">
        <v>1389</v>
      </c>
      <c r="G1898" t="s">
        <v>114</v>
      </c>
      <c r="Q1898" t="s">
        <v>9622</v>
      </c>
    </row>
    <row r="1899" spans="1:17" x14ac:dyDescent="0.2">
      <c r="A1899" t="s">
        <v>2484</v>
      </c>
      <c r="B1899" s="6" t="s">
        <v>2485</v>
      </c>
      <c r="C1899">
        <v>3</v>
      </c>
      <c r="D1899" s="6" t="s">
        <v>2200</v>
      </c>
      <c r="E1899" s="8" t="s">
        <v>2544</v>
      </c>
      <c r="F1899" s="6" t="s">
        <v>1389</v>
      </c>
      <c r="H1899">
        <v>8.9999999999999993E-3</v>
      </c>
      <c r="Q1899" t="s">
        <v>9623</v>
      </c>
    </row>
    <row r="1900" spans="1:17" x14ac:dyDescent="0.2">
      <c r="A1900" t="s">
        <v>2484</v>
      </c>
      <c r="B1900" s="6" t="s">
        <v>2485</v>
      </c>
      <c r="C1900">
        <v>3</v>
      </c>
      <c r="D1900" s="6" t="s">
        <v>2200</v>
      </c>
      <c r="E1900" s="8" t="s">
        <v>2545</v>
      </c>
      <c r="F1900" s="6" t="s">
        <v>1389</v>
      </c>
      <c r="H1900">
        <v>5.0000000000000001E-3</v>
      </c>
      <c r="Q1900" t="s">
        <v>9624</v>
      </c>
    </row>
    <row r="1901" spans="1:17" x14ac:dyDescent="0.2">
      <c r="A1901" t="s">
        <v>2484</v>
      </c>
      <c r="B1901" s="6" t="s">
        <v>2485</v>
      </c>
      <c r="C1901">
        <v>3</v>
      </c>
      <c r="D1901" s="6" t="s">
        <v>2200</v>
      </c>
      <c r="E1901" s="8" t="s">
        <v>2546</v>
      </c>
      <c r="F1901" s="6" t="s">
        <v>1389</v>
      </c>
      <c r="H1901">
        <v>2.5999999999999999E-2</v>
      </c>
    </row>
    <row r="1902" spans="1:17" x14ac:dyDescent="0.2">
      <c r="A1902" t="s">
        <v>2484</v>
      </c>
      <c r="B1902" s="6" t="s">
        <v>2485</v>
      </c>
      <c r="C1902">
        <v>3</v>
      </c>
      <c r="D1902" s="6" t="s">
        <v>2200</v>
      </c>
      <c r="E1902" s="8" t="s">
        <v>2548</v>
      </c>
      <c r="F1902" s="6" t="s">
        <v>1389</v>
      </c>
      <c r="H1902">
        <f>0.397-0.285</f>
        <v>0.11200000000000004</v>
      </c>
    </row>
    <row r="1903" spans="1:17" x14ac:dyDescent="0.2">
      <c r="A1903" t="s">
        <v>2484</v>
      </c>
      <c r="B1903" s="6" t="s">
        <v>2485</v>
      </c>
      <c r="C1903">
        <v>3</v>
      </c>
      <c r="D1903" s="6" t="s">
        <v>2200</v>
      </c>
      <c r="E1903" s="8" t="s">
        <v>2547</v>
      </c>
      <c r="F1903" s="6" t="s">
        <v>1425</v>
      </c>
      <c r="H1903">
        <v>1.4999999999999999E-2</v>
      </c>
      <c r="Q1903" t="s">
        <v>9625</v>
      </c>
    </row>
    <row r="1904" spans="1:17" x14ac:dyDescent="0.2">
      <c r="A1904" t="s">
        <v>2484</v>
      </c>
      <c r="B1904" s="6" t="s">
        <v>2485</v>
      </c>
      <c r="C1904">
        <v>3</v>
      </c>
      <c r="D1904" s="6" t="s">
        <v>2200</v>
      </c>
      <c r="E1904" s="8" t="s">
        <v>2549</v>
      </c>
      <c r="F1904" s="6" t="s">
        <v>1425</v>
      </c>
      <c r="H1904">
        <v>4.0000000000000001E-3</v>
      </c>
      <c r="Q1904" t="s">
        <v>9626</v>
      </c>
    </row>
    <row r="1905" spans="1:17" x14ac:dyDescent="0.2">
      <c r="A1905" t="s">
        <v>2484</v>
      </c>
      <c r="B1905" s="6" t="s">
        <v>2485</v>
      </c>
      <c r="C1905">
        <v>6</v>
      </c>
      <c r="D1905" s="6" t="s">
        <v>2200</v>
      </c>
      <c r="E1905" s="8" t="s">
        <v>2551</v>
      </c>
      <c r="F1905" s="6" t="s">
        <v>2556</v>
      </c>
      <c r="H1905">
        <v>0.112</v>
      </c>
      <c r="O1905" t="s">
        <v>2560</v>
      </c>
    </row>
    <row r="1906" spans="1:17" x14ac:dyDescent="0.2">
      <c r="A1906" t="s">
        <v>2484</v>
      </c>
      <c r="B1906" s="6" t="s">
        <v>2485</v>
      </c>
      <c r="C1906">
        <v>3</v>
      </c>
      <c r="D1906" s="6" t="s">
        <v>2200</v>
      </c>
      <c r="E1906" s="8" t="s">
        <v>2550</v>
      </c>
      <c r="F1906" s="6" t="s">
        <v>1425</v>
      </c>
      <c r="H1906">
        <v>5.0000000000000001E-3</v>
      </c>
      <c r="Q1906" t="s">
        <v>9627</v>
      </c>
    </row>
    <row r="1907" spans="1:17" x14ac:dyDescent="0.2">
      <c r="A1907" t="s">
        <v>2484</v>
      </c>
      <c r="B1907" s="6" t="s">
        <v>2485</v>
      </c>
      <c r="C1907">
        <v>3</v>
      </c>
      <c r="D1907" s="6" t="s">
        <v>2200</v>
      </c>
      <c r="E1907" s="8" t="s">
        <v>2562</v>
      </c>
      <c r="F1907" s="6" t="s">
        <v>1425</v>
      </c>
      <c r="H1907">
        <v>8.0000000000000002E-3</v>
      </c>
      <c r="Q1907" t="s">
        <v>9628</v>
      </c>
    </row>
    <row r="1908" spans="1:17" x14ac:dyDescent="0.2">
      <c r="A1908" t="s">
        <v>2484</v>
      </c>
      <c r="B1908" s="6" t="s">
        <v>2485</v>
      </c>
      <c r="C1908">
        <v>3</v>
      </c>
      <c r="D1908" s="6" t="s">
        <v>2200</v>
      </c>
      <c r="E1908" s="8" t="s">
        <v>2563</v>
      </c>
      <c r="F1908" s="6" t="s">
        <v>1425</v>
      </c>
      <c r="H1908">
        <v>4.0000000000000001E-3</v>
      </c>
      <c r="Q1908" t="s">
        <v>9629</v>
      </c>
    </row>
    <row r="1909" spans="1:17" x14ac:dyDescent="0.2">
      <c r="A1909" t="s">
        <v>2484</v>
      </c>
      <c r="B1909" s="6" t="s">
        <v>2485</v>
      </c>
      <c r="C1909">
        <v>3</v>
      </c>
      <c r="D1909" s="6" t="s">
        <v>2200</v>
      </c>
      <c r="E1909" s="8" t="s">
        <v>2564</v>
      </c>
      <c r="F1909" s="6" t="s">
        <v>1425</v>
      </c>
      <c r="H1909">
        <v>3.3000000000000002E-2</v>
      </c>
      <c r="M1909">
        <v>5</v>
      </c>
    </row>
    <row r="1910" spans="1:17" x14ac:dyDescent="0.2">
      <c r="A1910" t="s">
        <v>2484</v>
      </c>
      <c r="B1910" s="6" t="s">
        <v>2485</v>
      </c>
      <c r="C1910">
        <v>3</v>
      </c>
      <c r="D1910" s="6" t="s">
        <v>2200</v>
      </c>
      <c r="E1910" s="8" t="s">
        <v>2548</v>
      </c>
      <c r="F1910" s="6" t="s">
        <v>1425</v>
      </c>
      <c r="H1910">
        <f>0.384-0.295</f>
        <v>8.9000000000000024E-2</v>
      </c>
    </row>
    <row r="1911" spans="1:17" x14ac:dyDescent="0.2">
      <c r="A1911" t="s">
        <v>2484</v>
      </c>
      <c r="B1911" s="6" t="s">
        <v>2485</v>
      </c>
      <c r="C1911">
        <v>3</v>
      </c>
      <c r="D1911" s="6" t="s">
        <v>2200</v>
      </c>
      <c r="E1911" s="8" t="s">
        <v>2540</v>
      </c>
      <c r="F1911" s="6" t="s">
        <v>1538</v>
      </c>
      <c r="H1911">
        <v>0.02</v>
      </c>
      <c r="Q1911" t="s">
        <v>9630</v>
      </c>
    </row>
    <row r="1912" spans="1:17" x14ac:dyDescent="0.2">
      <c r="A1912" t="s">
        <v>2484</v>
      </c>
      <c r="B1912" s="6" t="s">
        <v>2485</v>
      </c>
      <c r="C1912">
        <v>3</v>
      </c>
      <c r="D1912" s="6" t="s">
        <v>2200</v>
      </c>
      <c r="E1912" s="8" t="s">
        <v>2565</v>
      </c>
      <c r="F1912" s="6" t="s">
        <v>1538</v>
      </c>
      <c r="H1912">
        <v>1.0999999999999999E-2</v>
      </c>
      <c r="Q1912" t="s">
        <v>9631</v>
      </c>
    </row>
    <row r="1913" spans="1:17" x14ac:dyDescent="0.2">
      <c r="A1913" t="s">
        <v>2484</v>
      </c>
      <c r="B1913" s="6" t="s">
        <v>2485</v>
      </c>
      <c r="C1913">
        <v>3</v>
      </c>
      <c r="D1913" s="6" t="s">
        <v>2200</v>
      </c>
      <c r="E1913" s="8" t="s">
        <v>2566</v>
      </c>
      <c r="F1913" s="6" t="s">
        <v>1538</v>
      </c>
      <c r="H1913">
        <v>6.0000000000000001E-3</v>
      </c>
      <c r="Q1913" t="s">
        <v>9632</v>
      </c>
    </row>
    <row r="1914" spans="1:17" x14ac:dyDescent="0.2">
      <c r="A1914" t="s">
        <v>2484</v>
      </c>
      <c r="B1914" s="6" t="s">
        <v>2485</v>
      </c>
      <c r="C1914">
        <v>3</v>
      </c>
      <c r="D1914" s="6" t="s">
        <v>2200</v>
      </c>
      <c r="E1914" s="8" t="s">
        <v>2567</v>
      </c>
      <c r="F1914" s="6" t="s">
        <v>1538</v>
      </c>
      <c r="H1914">
        <v>3.0000000000000001E-3</v>
      </c>
      <c r="Q1914" t="s">
        <v>9633</v>
      </c>
    </row>
    <row r="1915" spans="1:17" x14ac:dyDescent="0.2">
      <c r="A1915" t="s">
        <v>2484</v>
      </c>
      <c r="B1915" s="6" t="s">
        <v>2485</v>
      </c>
      <c r="C1915">
        <v>3</v>
      </c>
      <c r="D1915" s="6" t="s">
        <v>2200</v>
      </c>
      <c r="E1915" s="8" t="s">
        <v>2568</v>
      </c>
      <c r="F1915" s="6" t="s">
        <v>1538</v>
      </c>
      <c r="H1915">
        <v>7.0000000000000001E-3</v>
      </c>
      <c r="Q1915" t="s">
        <v>9634</v>
      </c>
    </row>
    <row r="1916" spans="1:17" x14ac:dyDescent="0.2">
      <c r="A1916" t="s">
        <v>2484</v>
      </c>
      <c r="B1916" s="6" t="s">
        <v>2485</v>
      </c>
      <c r="C1916">
        <v>3</v>
      </c>
      <c r="D1916" s="6" t="s">
        <v>2200</v>
      </c>
      <c r="E1916" s="8" t="s">
        <v>2569</v>
      </c>
      <c r="F1916" s="6" t="s">
        <v>1538</v>
      </c>
      <c r="H1916">
        <v>3.1E-2</v>
      </c>
      <c r="M1916">
        <v>5</v>
      </c>
    </row>
    <row r="1917" spans="1:17" x14ac:dyDescent="0.2">
      <c r="A1917" t="s">
        <v>2484</v>
      </c>
      <c r="B1917" s="6" t="s">
        <v>2485</v>
      </c>
      <c r="C1917">
        <v>3</v>
      </c>
      <c r="D1917" s="6" t="s">
        <v>2200</v>
      </c>
      <c r="E1917" s="8" t="s">
        <v>2548</v>
      </c>
      <c r="F1917" s="6" t="s">
        <v>1538</v>
      </c>
      <c r="H1917">
        <v>2.1000000000000001E-2</v>
      </c>
    </row>
    <row r="1918" spans="1:17" x14ac:dyDescent="0.2">
      <c r="A1918" t="s">
        <v>2484</v>
      </c>
      <c r="B1918" s="6" t="s">
        <v>2485</v>
      </c>
      <c r="C1918">
        <v>3</v>
      </c>
      <c r="D1918" s="6" t="s">
        <v>2200</v>
      </c>
      <c r="E1918" s="8" t="s">
        <v>2570</v>
      </c>
      <c r="F1918" s="6" t="s">
        <v>1538</v>
      </c>
      <c r="H1918">
        <v>2E-3</v>
      </c>
      <c r="Q1918" t="s">
        <v>9635</v>
      </c>
    </row>
    <row r="1919" spans="1:17" x14ac:dyDescent="0.2">
      <c r="A1919" t="s">
        <v>2484</v>
      </c>
      <c r="B1919" s="6" t="s">
        <v>2485</v>
      </c>
      <c r="C1919">
        <v>3</v>
      </c>
      <c r="D1919" s="6" t="s">
        <v>2200</v>
      </c>
      <c r="E1919" s="8" t="s">
        <v>2571</v>
      </c>
      <c r="F1919" s="6" t="s">
        <v>1538</v>
      </c>
      <c r="H1919">
        <v>1E-3</v>
      </c>
      <c r="Q1919" t="s">
        <v>9636</v>
      </c>
    </row>
    <row r="1920" spans="1:17" x14ac:dyDescent="0.2">
      <c r="A1920" t="s">
        <v>2484</v>
      </c>
      <c r="B1920" s="6" t="s">
        <v>2485</v>
      </c>
      <c r="C1920">
        <v>3</v>
      </c>
      <c r="D1920" s="6" t="s">
        <v>2200</v>
      </c>
      <c r="E1920" s="8" t="s">
        <v>2572</v>
      </c>
      <c r="F1920" s="6" t="s">
        <v>1538</v>
      </c>
      <c r="H1920">
        <v>3.0000000000000001E-3</v>
      </c>
      <c r="Q1920" t="s">
        <v>9637</v>
      </c>
    </row>
    <row r="1921" spans="1:17" x14ac:dyDescent="0.2">
      <c r="A1921" t="s">
        <v>2484</v>
      </c>
      <c r="B1921" s="6" t="s">
        <v>2485</v>
      </c>
      <c r="C1921">
        <v>3</v>
      </c>
      <c r="D1921" s="6" t="s">
        <v>2200</v>
      </c>
      <c r="E1921" s="8" t="s">
        <v>2573</v>
      </c>
      <c r="F1921" s="6" t="s">
        <v>1538</v>
      </c>
      <c r="H1921">
        <v>2E-3</v>
      </c>
      <c r="Q1921" t="s">
        <v>9638</v>
      </c>
    </row>
    <row r="1922" spans="1:17" x14ac:dyDescent="0.2">
      <c r="A1922" t="s">
        <v>2484</v>
      </c>
      <c r="B1922" s="6" t="s">
        <v>2485</v>
      </c>
      <c r="C1922">
        <v>3</v>
      </c>
      <c r="D1922" s="6" t="s">
        <v>2200</v>
      </c>
      <c r="E1922" s="8" t="s">
        <v>2574</v>
      </c>
      <c r="F1922" s="6" t="s">
        <v>1538</v>
      </c>
      <c r="H1922">
        <v>2E-3</v>
      </c>
      <c r="Q1922" t="s">
        <v>9639</v>
      </c>
    </row>
    <row r="1923" spans="1:17" x14ac:dyDescent="0.2">
      <c r="A1923" t="s">
        <v>2484</v>
      </c>
      <c r="B1923" s="6" t="s">
        <v>2485</v>
      </c>
      <c r="C1923">
        <v>3</v>
      </c>
      <c r="D1923" s="6" t="s">
        <v>2200</v>
      </c>
      <c r="E1923" s="8" t="s">
        <v>2575</v>
      </c>
      <c r="F1923" s="6" t="s">
        <v>1538</v>
      </c>
      <c r="H1923">
        <v>4.0000000000000001E-3</v>
      </c>
      <c r="Q1923" t="s">
        <v>9640</v>
      </c>
    </row>
    <row r="1924" spans="1:17" x14ac:dyDescent="0.2">
      <c r="A1924" t="s">
        <v>2484</v>
      </c>
      <c r="B1924" s="6" t="s">
        <v>2485</v>
      </c>
      <c r="C1924">
        <v>4</v>
      </c>
      <c r="D1924" s="6" t="s">
        <v>2200</v>
      </c>
      <c r="E1924" s="8" t="s">
        <v>2576</v>
      </c>
      <c r="F1924" s="6" t="s">
        <v>2589</v>
      </c>
      <c r="H1924">
        <f>5.1-0.4</f>
        <v>4.6999999999999993</v>
      </c>
      <c r="O1924" t="s">
        <v>2591</v>
      </c>
    </row>
    <row r="1925" spans="1:17" x14ac:dyDescent="0.2">
      <c r="A1925" t="s">
        <v>2484</v>
      </c>
      <c r="B1925" s="6" t="s">
        <v>2485</v>
      </c>
      <c r="C1925">
        <v>4</v>
      </c>
      <c r="D1925" s="6" t="s">
        <v>2200</v>
      </c>
      <c r="E1925" s="8" t="s">
        <v>2579</v>
      </c>
      <c r="F1925" s="6" t="s">
        <v>2590</v>
      </c>
      <c r="H1925">
        <f>0.685-0.345</f>
        <v>0.34000000000000008</v>
      </c>
      <c r="O1925" t="s">
        <v>2592</v>
      </c>
    </row>
    <row r="1926" spans="1:17" x14ac:dyDescent="0.2">
      <c r="A1926" t="s">
        <v>2484</v>
      </c>
      <c r="B1926" s="6" t="s">
        <v>2485</v>
      </c>
      <c r="C1926">
        <v>4</v>
      </c>
      <c r="D1926" s="6" t="s">
        <v>2200</v>
      </c>
      <c r="E1926" s="8" t="s">
        <v>2577</v>
      </c>
      <c r="F1926" s="6" t="s">
        <v>5930</v>
      </c>
      <c r="H1926">
        <v>4.7E-2</v>
      </c>
      <c r="P1926" s="6" t="s">
        <v>5996</v>
      </c>
      <c r="Q1926" t="s">
        <v>5997</v>
      </c>
    </row>
    <row r="1927" spans="1:17" x14ac:dyDescent="0.2">
      <c r="A1927" t="s">
        <v>2484</v>
      </c>
      <c r="B1927" s="6" t="s">
        <v>2485</v>
      </c>
      <c r="C1927">
        <v>4</v>
      </c>
      <c r="D1927" s="6" t="s">
        <v>2200</v>
      </c>
      <c r="E1927" s="8" t="s">
        <v>2578</v>
      </c>
      <c r="F1927" s="6" t="s">
        <v>5930</v>
      </c>
      <c r="H1927">
        <v>3.3000000000000002E-2</v>
      </c>
      <c r="P1927" s="6" t="s">
        <v>5996</v>
      </c>
      <c r="Q1927" t="s">
        <v>5998</v>
      </c>
    </row>
    <row r="1928" spans="1:17" x14ac:dyDescent="0.2">
      <c r="A1928" t="s">
        <v>2484</v>
      </c>
      <c r="B1928" s="6" t="s">
        <v>2485</v>
      </c>
      <c r="C1928">
        <v>4</v>
      </c>
      <c r="D1928" s="6" t="s">
        <v>2200</v>
      </c>
      <c r="E1928" s="8" t="s">
        <v>2580</v>
      </c>
      <c r="F1928" s="6" t="s">
        <v>1559</v>
      </c>
      <c r="H1928">
        <v>1E-3</v>
      </c>
      <c r="Q1928" t="s">
        <v>9641</v>
      </c>
    </row>
    <row r="1929" spans="1:17" x14ac:dyDescent="0.2">
      <c r="A1929" t="s">
        <v>2484</v>
      </c>
      <c r="B1929" s="6" t="s">
        <v>2485</v>
      </c>
      <c r="C1929">
        <v>4</v>
      </c>
      <c r="D1929" s="6" t="s">
        <v>2200</v>
      </c>
      <c r="E1929" s="8" t="s">
        <v>2582</v>
      </c>
      <c r="F1929" s="6" t="s">
        <v>1425</v>
      </c>
      <c r="H1929">
        <v>6.0000000000000001E-3</v>
      </c>
      <c r="Q1929" t="s">
        <v>9643</v>
      </c>
    </row>
    <row r="1930" spans="1:17" x14ac:dyDescent="0.2">
      <c r="A1930" t="s">
        <v>2484</v>
      </c>
      <c r="B1930" s="6" t="s">
        <v>2485</v>
      </c>
      <c r="C1930">
        <v>4</v>
      </c>
      <c r="D1930" s="6" t="s">
        <v>2200</v>
      </c>
      <c r="E1930" s="8" t="s">
        <v>2583</v>
      </c>
      <c r="F1930" s="6" t="s">
        <v>1425</v>
      </c>
      <c r="H1930">
        <v>3.0000000000000001E-3</v>
      </c>
      <c r="Q1930" t="s">
        <v>9644</v>
      </c>
    </row>
    <row r="1931" spans="1:17" x14ac:dyDescent="0.2">
      <c r="A1931" t="s">
        <v>2484</v>
      </c>
      <c r="B1931" s="6" t="s">
        <v>2485</v>
      </c>
      <c r="C1931">
        <v>4</v>
      </c>
      <c r="D1931" s="6" t="s">
        <v>2200</v>
      </c>
      <c r="E1931" s="8" t="s">
        <v>2584</v>
      </c>
      <c r="F1931" s="6" t="s">
        <v>1425</v>
      </c>
      <c r="H1931">
        <v>5.0000000000000001E-3</v>
      </c>
      <c r="Q1931" t="s">
        <v>9645</v>
      </c>
    </row>
    <row r="1932" spans="1:17" x14ac:dyDescent="0.2">
      <c r="A1932" t="s">
        <v>2484</v>
      </c>
      <c r="B1932" s="6" t="s">
        <v>2485</v>
      </c>
      <c r="C1932">
        <v>4</v>
      </c>
      <c r="D1932" s="6" t="s">
        <v>2200</v>
      </c>
      <c r="E1932" s="8" t="s">
        <v>2581</v>
      </c>
      <c r="F1932" s="6" t="s">
        <v>1425</v>
      </c>
      <c r="H1932">
        <v>2.5999999999999999E-2</v>
      </c>
      <c r="Q1932" t="s">
        <v>9642</v>
      </c>
    </row>
    <row r="1933" spans="1:17" x14ac:dyDescent="0.2">
      <c r="A1933" t="s">
        <v>2484</v>
      </c>
      <c r="B1933" s="6" t="s">
        <v>2485</v>
      </c>
      <c r="C1933">
        <v>4</v>
      </c>
      <c r="D1933" s="6" t="s">
        <v>2200</v>
      </c>
      <c r="E1933" s="8" t="s">
        <v>2585</v>
      </c>
      <c r="F1933" s="6" t="s">
        <v>1425</v>
      </c>
      <c r="H1933">
        <v>6.0000000000000001E-3</v>
      </c>
    </row>
    <row r="1934" spans="1:17" x14ac:dyDescent="0.2">
      <c r="A1934" t="s">
        <v>2484</v>
      </c>
      <c r="B1934" s="6" t="s">
        <v>2485</v>
      </c>
      <c r="C1934">
        <v>4</v>
      </c>
      <c r="D1934" s="6" t="s">
        <v>2200</v>
      </c>
      <c r="E1934" s="8" t="s">
        <v>2586</v>
      </c>
      <c r="F1934" s="6" t="s">
        <v>1425</v>
      </c>
      <c r="H1934">
        <v>1.6E-2</v>
      </c>
      <c r="M1934">
        <v>5</v>
      </c>
    </row>
    <row r="1935" spans="1:17" x14ac:dyDescent="0.2">
      <c r="A1935" t="s">
        <v>2484</v>
      </c>
      <c r="B1935" s="6" t="s">
        <v>2485</v>
      </c>
      <c r="C1935">
        <v>4</v>
      </c>
      <c r="D1935" s="6" t="s">
        <v>2200</v>
      </c>
      <c r="E1935" s="8" t="s">
        <v>2587</v>
      </c>
      <c r="F1935" s="6" t="s">
        <v>1425</v>
      </c>
      <c r="H1935">
        <f>0.065+(0.734-0.589)</f>
        <v>0.21000000000000002</v>
      </c>
    </row>
    <row r="1936" spans="1:17" x14ac:dyDescent="0.2">
      <c r="A1936" t="s">
        <v>2484</v>
      </c>
      <c r="B1936" s="6" t="s">
        <v>2485</v>
      </c>
      <c r="C1936">
        <v>4</v>
      </c>
      <c r="D1936" s="6" t="s">
        <v>2200</v>
      </c>
      <c r="E1936" s="8" t="s">
        <v>2593</v>
      </c>
      <c r="F1936" s="6" t="s">
        <v>1389</v>
      </c>
      <c r="H1936">
        <f>0.772-0.587</f>
        <v>0.18500000000000005</v>
      </c>
    </row>
    <row r="1937" spans="1:17" x14ac:dyDescent="0.2">
      <c r="A1937" t="s">
        <v>2484</v>
      </c>
      <c r="B1937" s="6" t="s">
        <v>2485</v>
      </c>
      <c r="C1937">
        <v>4</v>
      </c>
      <c r="D1937" s="6" t="s">
        <v>2200</v>
      </c>
      <c r="E1937" s="8" t="s">
        <v>2594</v>
      </c>
      <c r="F1937" s="6" t="s">
        <v>1389</v>
      </c>
      <c r="H1937">
        <v>1.2999999999999999E-2</v>
      </c>
      <c r="Q1937" t="s">
        <v>9646</v>
      </c>
    </row>
    <row r="1938" spans="1:17" x14ac:dyDescent="0.2">
      <c r="A1938" t="s">
        <v>2484</v>
      </c>
      <c r="B1938" s="6" t="s">
        <v>2485</v>
      </c>
      <c r="C1938">
        <v>4</v>
      </c>
      <c r="D1938" s="6" t="s">
        <v>2200</v>
      </c>
      <c r="E1938" s="8" t="s">
        <v>2595</v>
      </c>
      <c r="F1938" s="6" t="s">
        <v>1389</v>
      </c>
      <c r="G1938" t="s">
        <v>114</v>
      </c>
      <c r="Q1938" t="s">
        <v>9647</v>
      </c>
    </row>
    <row r="1939" spans="1:17" x14ac:dyDescent="0.2">
      <c r="A1939" t="s">
        <v>2484</v>
      </c>
      <c r="B1939" s="6" t="s">
        <v>2485</v>
      </c>
      <c r="C1939">
        <v>4</v>
      </c>
      <c r="D1939" s="6" t="s">
        <v>2200</v>
      </c>
      <c r="E1939" s="8" t="s">
        <v>2596</v>
      </c>
      <c r="F1939" s="6" t="s">
        <v>1389</v>
      </c>
      <c r="H1939">
        <v>1E-3</v>
      </c>
      <c r="Q1939" t="s">
        <v>9648</v>
      </c>
    </row>
    <row r="1940" spans="1:17" x14ac:dyDescent="0.2">
      <c r="A1940" t="s">
        <v>2484</v>
      </c>
      <c r="B1940" s="6" t="s">
        <v>2485</v>
      </c>
      <c r="C1940">
        <v>4</v>
      </c>
      <c r="D1940" s="6" t="s">
        <v>2200</v>
      </c>
      <c r="E1940" s="8" t="s">
        <v>2597</v>
      </c>
      <c r="F1940" s="6" t="s">
        <v>1389</v>
      </c>
      <c r="H1940">
        <v>4.0000000000000001E-3</v>
      </c>
      <c r="Q1940" t="s">
        <v>9649</v>
      </c>
    </row>
    <row r="1941" spans="1:17" x14ac:dyDescent="0.2">
      <c r="A1941" t="s">
        <v>2484</v>
      </c>
      <c r="B1941" s="6" t="s">
        <v>2485</v>
      </c>
      <c r="C1941">
        <v>4</v>
      </c>
      <c r="D1941" s="6" t="s">
        <v>2200</v>
      </c>
      <c r="E1941" s="8" t="s">
        <v>2598</v>
      </c>
      <c r="F1941" s="6" t="s">
        <v>1389</v>
      </c>
      <c r="H1941">
        <v>8.0000000000000002E-3</v>
      </c>
      <c r="Q1941" t="s">
        <v>9650</v>
      </c>
    </row>
    <row r="1942" spans="1:17" x14ac:dyDescent="0.2">
      <c r="A1942" t="s">
        <v>2484</v>
      </c>
      <c r="B1942" s="6" t="s">
        <v>2485</v>
      </c>
      <c r="C1942">
        <v>4</v>
      </c>
      <c r="D1942" s="6" t="s">
        <v>2200</v>
      </c>
      <c r="E1942" s="8" t="s">
        <v>2599</v>
      </c>
      <c r="F1942" s="6" t="s">
        <v>1389</v>
      </c>
      <c r="H1942">
        <v>2.1999999999999999E-2</v>
      </c>
      <c r="M1942">
        <v>5</v>
      </c>
    </row>
    <row r="1943" spans="1:17" x14ac:dyDescent="0.2">
      <c r="A1943" t="s">
        <v>2484</v>
      </c>
      <c r="B1943" s="6" t="s">
        <v>2485</v>
      </c>
      <c r="C1943">
        <v>4</v>
      </c>
      <c r="D1943" s="6" t="s">
        <v>2200</v>
      </c>
      <c r="E1943" s="8" t="s">
        <v>2587</v>
      </c>
      <c r="F1943" s="6" t="s">
        <v>1389</v>
      </c>
      <c r="H1943">
        <f>0.722-0.587</f>
        <v>0.13500000000000001</v>
      </c>
    </row>
    <row r="1944" spans="1:17" x14ac:dyDescent="0.2">
      <c r="A1944" t="s">
        <v>2484</v>
      </c>
      <c r="B1944" s="6" t="s">
        <v>2485</v>
      </c>
      <c r="C1944">
        <v>5</v>
      </c>
      <c r="D1944" s="6" t="s">
        <v>2200</v>
      </c>
      <c r="E1944" s="8" t="s">
        <v>2600</v>
      </c>
      <c r="F1944" s="6" t="s">
        <v>2622</v>
      </c>
      <c r="H1944">
        <f>5.2-0.344+23.2-1.8</f>
        <v>26.255999999999997</v>
      </c>
      <c r="O1944" t="s">
        <v>2624</v>
      </c>
    </row>
    <row r="1945" spans="1:17" x14ac:dyDescent="0.2">
      <c r="A1945" t="s">
        <v>2484</v>
      </c>
      <c r="B1945" s="6" t="s">
        <v>2485</v>
      </c>
      <c r="C1945">
        <v>5</v>
      </c>
      <c r="D1945" s="6" t="s">
        <v>2200</v>
      </c>
      <c r="E1945" s="8" t="s">
        <v>2601</v>
      </c>
      <c r="F1945" s="6" t="s">
        <v>1264</v>
      </c>
      <c r="H1945">
        <v>0.16300000000000001</v>
      </c>
      <c r="O1945" t="s">
        <v>875</v>
      </c>
    </row>
    <row r="1946" spans="1:17" x14ac:dyDescent="0.2">
      <c r="A1946" t="s">
        <v>2484</v>
      </c>
      <c r="B1946" s="6" t="s">
        <v>2485</v>
      </c>
      <c r="C1946">
        <v>5</v>
      </c>
      <c r="D1946" s="6" t="s">
        <v>2200</v>
      </c>
      <c r="E1946" s="8" t="s">
        <v>2603</v>
      </c>
      <c r="F1946" s="6" t="s">
        <v>121</v>
      </c>
      <c r="H1946">
        <v>2.5999999999999999E-2</v>
      </c>
    </row>
    <row r="1947" spans="1:17" x14ac:dyDescent="0.2">
      <c r="A1947" t="s">
        <v>2484</v>
      </c>
      <c r="B1947" s="6" t="s">
        <v>2485</v>
      </c>
      <c r="C1947">
        <v>5</v>
      </c>
      <c r="D1947" s="6" t="s">
        <v>2200</v>
      </c>
      <c r="E1947" s="8" t="s">
        <v>2602</v>
      </c>
      <c r="F1947" s="6" t="s">
        <v>6579</v>
      </c>
      <c r="H1947">
        <v>8.0000000000000002E-3</v>
      </c>
      <c r="Q1947" t="s">
        <v>9651</v>
      </c>
    </row>
    <row r="1948" spans="1:17" x14ac:dyDescent="0.2">
      <c r="A1948" t="s">
        <v>2484</v>
      </c>
      <c r="B1948" s="6" t="s">
        <v>2485</v>
      </c>
      <c r="C1948">
        <v>5</v>
      </c>
      <c r="D1948" s="6" t="s">
        <v>2200</v>
      </c>
      <c r="E1948" s="8" t="s">
        <v>2604</v>
      </c>
      <c r="F1948" s="6" t="s">
        <v>1425</v>
      </c>
      <c r="H1948">
        <v>2.1999999999999999E-2</v>
      </c>
      <c r="Q1948" t="s">
        <v>9652</v>
      </c>
    </row>
    <row r="1949" spans="1:17" x14ac:dyDescent="0.2">
      <c r="A1949" t="s">
        <v>2484</v>
      </c>
      <c r="B1949" s="6" t="s">
        <v>2485</v>
      </c>
      <c r="C1949">
        <v>5</v>
      </c>
      <c r="D1949" s="6" t="s">
        <v>2200</v>
      </c>
      <c r="E1949" s="8" t="s">
        <v>2605</v>
      </c>
      <c r="F1949" s="6" t="s">
        <v>1425</v>
      </c>
      <c r="H1949">
        <v>6.0000000000000001E-3</v>
      </c>
      <c r="Q1949" t="s">
        <v>9653</v>
      </c>
    </row>
    <row r="1950" spans="1:17" x14ac:dyDescent="0.2">
      <c r="A1950" t="s">
        <v>2484</v>
      </c>
      <c r="B1950" s="6" t="s">
        <v>2485</v>
      </c>
      <c r="C1950">
        <v>5</v>
      </c>
      <c r="D1950" s="6" t="s">
        <v>2200</v>
      </c>
      <c r="E1950" s="8" t="s">
        <v>2606</v>
      </c>
      <c r="F1950" s="6" t="s">
        <v>1425</v>
      </c>
      <c r="H1950">
        <v>5.0000000000000001E-3</v>
      </c>
      <c r="Q1950" t="s">
        <v>9654</v>
      </c>
    </row>
    <row r="1951" spans="1:17" x14ac:dyDescent="0.2">
      <c r="A1951" t="s">
        <v>2484</v>
      </c>
      <c r="B1951" s="6" t="s">
        <v>2485</v>
      </c>
      <c r="C1951">
        <v>5</v>
      </c>
      <c r="D1951" s="6" t="s">
        <v>2200</v>
      </c>
      <c r="E1951" s="8" t="s">
        <v>2607</v>
      </c>
      <c r="F1951" s="6" t="s">
        <v>1425</v>
      </c>
      <c r="H1951">
        <v>3.0000000000000001E-3</v>
      </c>
      <c r="Q1951" t="s">
        <v>9655</v>
      </c>
    </row>
    <row r="1952" spans="1:17" x14ac:dyDescent="0.2">
      <c r="A1952" t="s">
        <v>2484</v>
      </c>
      <c r="B1952" s="6" t="s">
        <v>2485</v>
      </c>
      <c r="C1952">
        <v>5</v>
      </c>
      <c r="D1952" s="6" t="s">
        <v>2200</v>
      </c>
      <c r="E1952" s="8" t="s">
        <v>2608</v>
      </c>
      <c r="F1952" s="6" t="s">
        <v>6239</v>
      </c>
      <c r="G1952" t="s">
        <v>114</v>
      </c>
      <c r="Q1952" t="s">
        <v>9656</v>
      </c>
    </row>
    <row r="1953" spans="1:17" x14ac:dyDescent="0.2">
      <c r="A1953" t="s">
        <v>2484</v>
      </c>
      <c r="B1953" s="6" t="s">
        <v>2485</v>
      </c>
      <c r="C1953">
        <v>5</v>
      </c>
      <c r="D1953" s="6" t="s">
        <v>2200</v>
      </c>
      <c r="E1953" s="8" t="s">
        <v>2609</v>
      </c>
      <c r="F1953" s="6" t="s">
        <v>1538</v>
      </c>
      <c r="H1953">
        <v>1E-3</v>
      </c>
      <c r="Q1953" t="s">
        <v>9657</v>
      </c>
    </row>
    <row r="1954" spans="1:17" x14ac:dyDescent="0.2">
      <c r="A1954" t="s">
        <v>2484</v>
      </c>
      <c r="B1954" s="6" t="s">
        <v>2485</v>
      </c>
      <c r="C1954">
        <v>5</v>
      </c>
      <c r="D1954" s="6" t="s">
        <v>2200</v>
      </c>
      <c r="E1954" s="8" t="s">
        <v>2610</v>
      </c>
      <c r="F1954" s="6" t="s">
        <v>5930</v>
      </c>
      <c r="H1954">
        <v>6.0000000000000001E-3</v>
      </c>
      <c r="Q1954" t="s">
        <v>5990</v>
      </c>
    </row>
    <row r="1955" spans="1:17" x14ac:dyDescent="0.2">
      <c r="A1955" t="s">
        <v>2484</v>
      </c>
      <c r="B1955" s="6" t="s">
        <v>2485</v>
      </c>
      <c r="C1955">
        <v>5</v>
      </c>
      <c r="D1955" s="6" t="s">
        <v>2200</v>
      </c>
      <c r="E1955" s="8" t="s">
        <v>2611</v>
      </c>
      <c r="F1955" s="6" t="s">
        <v>5930</v>
      </c>
      <c r="H1955">
        <v>8.9999999999999993E-3</v>
      </c>
      <c r="Q1955" t="s">
        <v>5991</v>
      </c>
    </row>
    <row r="1956" spans="1:17" x14ac:dyDescent="0.2">
      <c r="A1956" t="s">
        <v>2484</v>
      </c>
      <c r="B1956" s="6" t="s">
        <v>2485</v>
      </c>
      <c r="C1956">
        <v>5</v>
      </c>
      <c r="D1956" s="6" t="s">
        <v>2200</v>
      </c>
      <c r="E1956" s="8" t="s">
        <v>2612</v>
      </c>
      <c r="F1956" s="6" t="s">
        <v>5930</v>
      </c>
      <c r="H1956">
        <v>2E-3</v>
      </c>
      <c r="Q1956" t="s">
        <v>5992</v>
      </c>
    </row>
    <row r="1957" spans="1:17" x14ac:dyDescent="0.2">
      <c r="A1957" t="s">
        <v>2484</v>
      </c>
      <c r="B1957" s="6" t="s">
        <v>2485</v>
      </c>
      <c r="C1957">
        <v>5</v>
      </c>
      <c r="D1957" s="6" t="s">
        <v>2200</v>
      </c>
      <c r="E1957" s="8" t="s">
        <v>2613</v>
      </c>
      <c r="F1957" s="6" t="s">
        <v>5930</v>
      </c>
      <c r="H1957">
        <v>1E-3</v>
      </c>
      <c r="Q1957" t="s">
        <v>5993</v>
      </c>
    </row>
    <row r="1958" spans="1:17" x14ac:dyDescent="0.2">
      <c r="A1958" t="s">
        <v>2484</v>
      </c>
      <c r="B1958" s="6" t="s">
        <v>2485</v>
      </c>
      <c r="C1958">
        <v>5</v>
      </c>
      <c r="D1958" s="6" t="s">
        <v>2200</v>
      </c>
      <c r="E1958" s="8" t="s">
        <v>2614</v>
      </c>
      <c r="F1958" s="6" t="s">
        <v>5930</v>
      </c>
      <c r="H1958">
        <v>2E-3</v>
      </c>
      <c r="Q1958" t="s">
        <v>5994</v>
      </c>
    </row>
    <row r="1959" spans="1:17" x14ac:dyDescent="0.2">
      <c r="A1959" t="s">
        <v>2484</v>
      </c>
      <c r="B1959" s="6" t="s">
        <v>2485</v>
      </c>
      <c r="C1959">
        <v>5</v>
      </c>
      <c r="D1959" s="6" t="s">
        <v>2200</v>
      </c>
      <c r="E1959" s="8" t="s">
        <v>2615</v>
      </c>
      <c r="F1959" s="6" t="s">
        <v>1389</v>
      </c>
      <c r="H1959">
        <v>5.0000000000000001E-3</v>
      </c>
      <c r="Q1959" t="s">
        <v>9660</v>
      </c>
    </row>
    <row r="1960" spans="1:17" x14ac:dyDescent="0.2">
      <c r="A1960" t="s">
        <v>2484</v>
      </c>
      <c r="B1960" s="6" t="s">
        <v>2485</v>
      </c>
      <c r="C1960">
        <v>5</v>
      </c>
      <c r="D1960" s="6" t="s">
        <v>2200</v>
      </c>
      <c r="E1960" s="8" t="s">
        <v>2616</v>
      </c>
      <c r="F1960" s="6" t="s">
        <v>1389</v>
      </c>
      <c r="H1960">
        <v>1E-3</v>
      </c>
      <c r="Q1960" t="s">
        <v>9658</v>
      </c>
    </row>
    <row r="1961" spans="1:17" x14ac:dyDescent="0.2">
      <c r="A1961" t="s">
        <v>2484</v>
      </c>
      <c r="B1961" s="6" t="s">
        <v>2485</v>
      </c>
      <c r="C1961">
        <v>5</v>
      </c>
      <c r="D1961" s="6" t="s">
        <v>2200</v>
      </c>
      <c r="E1961" s="8" t="s">
        <v>2617</v>
      </c>
      <c r="F1961" s="6" t="s">
        <v>1389</v>
      </c>
      <c r="H1961">
        <v>4.0000000000000001E-3</v>
      </c>
      <c r="Q1961" t="s">
        <v>9659</v>
      </c>
    </row>
    <row r="1962" spans="1:17" x14ac:dyDescent="0.2">
      <c r="A1962" t="s">
        <v>2484</v>
      </c>
      <c r="B1962" s="6" t="s">
        <v>2485</v>
      </c>
      <c r="C1962">
        <v>5</v>
      </c>
      <c r="D1962" s="6" t="s">
        <v>2200</v>
      </c>
      <c r="E1962" s="8" t="s">
        <v>2618</v>
      </c>
      <c r="F1962" s="6" t="s">
        <v>1389</v>
      </c>
      <c r="H1962">
        <v>2E-3</v>
      </c>
      <c r="Q1962" t="s">
        <v>9662</v>
      </c>
    </row>
    <row r="1963" spans="1:17" x14ac:dyDescent="0.2">
      <c r="A1963" t="s">
        <v>2484</v>
      </c>
      <c r="B1963" s="6" t="s">
        <v>2485</v>
      </c>
      <c r="C1963">
        <v>5</v>
      </c>
      <c r="D1963" s="6" t="s">
        <v>2200</v>
      </c>
      <c r="E1963" s="8" t="s">
        <v>2619</v>
      </c>
      <c r="F1963" s="6" t="s">
        <v>1389</v>
      </c>
      <c r="H1963">
        <v>6.0000000000000001E-3</v>
      </c>
      <c r="Q1963" t="s">
        <v>9661</v>
      </c>
    </row>
    <row r="1964" spans="1:17" x14ac:dyDescent="0.2">
      <c r="A1964" t="s">
        <v>2484</v>
      </c>
      <c r="B1964" s="6" t="s">
        <v>2485</v>
      </c>
      <c r="C1964">
        <v>5</v>
      </c>
      <c r="D1964" s="6" t="s">
        <v>2200</v>
      </c>
      <c r="E1964" s="8" t="s">
        <v>2620</v>
      </c>
      <c r="F1964" s="6" t="s">
        <v>1389</v>
      </c>
      <c r="H1964">
        <v>1.4E-2</v>
      </c>
      <c r="M1964">
        <v>5</v>
      </c>
    </row>
    <row r="1965" spans="1:17" x14ac:dyDescent="0.2">
      <c r="A1965" t="s">
        <v>2484</v>
      </c>
      <c r="B1965" s="6" t="s">
        <v>2485</v>
      </c>
      <c r="C1965">
        <v>5</v>
      </c>
      <c r="D1965" s="6" t="s">
        <v>2200</v>
      </c>
      <c r="E1965" s="8" t="s">
        <v>2621</v>
      </c>
      <c r="F1965" s="6" t="s">
        <v>1389</v>
      </c>
      <c r="H1965">
        <f>0.515-0.436</f>
        <v>7.9000000000000015E-2</v>
      </c>
    </row>
    <row r="1966" spans="1:17" x14ac:dyDescent="0.2">
      <c r="A1966" t="s">
        <v>2484</v>
      </c>
      <c r="B1966" s="6" t="s">
        <v>2485</v>
      </c>
      <c r="C1966">
        <v>1</v>
      </c>
      <c r="D1966" s="6" t="s">
        <v>2200</v>
      </c>
      <c r="E1966" s="8" t="s">
        <v>2625</v>
      </c>
      <c r="F1966" s="6" t="s">
        <v>2185</v>
      </c>
      <c r="H1966">
        <f>5.6-0.257</f>
        <v>5.343</v>
      </c>
    </row>
    <row r="1967" spans="1:17" x14ac:dyDescent="0.2">
      <c r="A1967" t="s">
        <v>2484</v>
      </c>
      <c r="B1967" s="6" t="s">
        <v>2485</v>
      </c>
      <c r="C1967">
        <v>1</v>
      </c>
      <c r="D1967" s="6" t="s">
        <v>2200</v>
      </c>
      <c r="E1967" s="8" t="s">
        <v>2626</v>
      </c>
      <c r="F1967" s="6" t="s">
        <v>2656</v>
      </c>
      <c r="H1967">
        <f>1.004-0.4</f>
        <v>0.60399999999999998</v>
      </c>
      <c r="Q1967" t="s">
        <v>9664</v>
      </c>
    </row>
    <row r="1968" spans="1:17" x14ac:dyDescent="0.2">
      <c r="A1968" t="s">
        <v>2484</v>
      </c>
      <c r="B1968" s="6" t="s">
        <v>2485</v>
      </c>
      <c r="C1968">
        <v>1</v>
      </c>
      <c r="D1968" s="6" t="s">
        <v>2200</v>
      </c>
      <c r="E1968" s="8" t="s">
        <v>2627</v>
      </c>
      <c r="F1968" s="6" t="s">
        <v>1459</v>
      </c>
      <c r="H1968">
        <f>37.8-1.8</f>
        <v>36</v>
      </c>
      <c r="O1968" t="s">
        <v>2661</v>
      </c>
    </row>
    <row r="1969" spans="1:17" x14ac:dyDescent="0.2">
      <c r="A1969" t="s">
        <v>2484</v>
      </c>
      <c r="B1969" s="6" t="s">
        <v>2485</v>
      </c>
      <c r="C1969">
        <v>1</v>
      </c>
      <c r="D1969" s="6" t="s">
        <v>2200</v>
      </c>
      <c r="E1969" s="8" t="s">
        <v>2629</v>
      </c>
      <c r="F1969" s="6" t="s">
        <v>1264</v>
      </c>
      <c r="H1969">
        <f>26.4-1.8</f>
        <v>24.599999999999998</v>
      </c>
    </row>
    <row r="1970" spans="1:17" x14ac:dyDescent="0.2">
      <c r="A1970" t="s">
        <v>2484</v>
      </c>
      <c r="B1970" s="6" t="s">
        <v>2485</v>
      </c>
      <c r="C1970">
        <v>1</v>
      </c>
      <c r="D1970" s="6" t="s">
        <v>2200</v>
      </c>
      <c r="E1970" s="8" t="s">
        <v>2628</v>
      </c>
      <c r="F1970" s="6" t="s">
        <v>2657</v>
      </c>
      <c r="H1970">
        <v>5.0000000000000001E-3</v>
      </c>
      <c r="L1970" t="s">
        <v>315</v>
      </c>
      <c r="O1970" t="s">
        <v>2662</v>
      </c>
      <c r="Q1970" t="s">
        <v>9663</v>
      </c>
    </row>
    <row r="1971" spans="1:17" x14ac:dyDescent="0.2">
      <c r="A1971" t="s">
        <v>2484</v>
      </c>
      <c r="B1971" s="6" t="s">
        <v>2486</v>
      </c>
      <c r="C1971">
        <v>6</v>
      </c>
      <c r="D1971" s="6" t="s">
        <v>2200</v>
      </c>
      <c r="E1971" s="8" t="s">
        <v>2630</v>
      </c>
      <c r="F1971" s="6" t="s">
        <v>1581</v>
      </c>
      <c r="H1971">
        <f>26.4-1.8</f>
        <v>24.599999999999998</v>
      </c>
      <c r="O1971" t="s">
        <v>2663</v>
      </c>
    </row>
    <row r="1972" spans="1:17" x14ac:dyDescent="0.2">
      <c r="A1972" t="s">
        <v>2484</v>
      </c>
      <c r="B1972" s="6" t="s">
        <v>2486</v>
      </c>
      <c r="C1972">
        <v>6</v>
      </c>
      <c r="D1972" s="6" t="s">
        <v>2200</v>
      </c>
      <c r="E1972" s="8" t="s">
        <v>2632</v>
      </c>
      <c r="F1972" s="6" t="s">
        <v>1425</v>
      </c>
      <c r="H1972">
        <v>3.2000000000000001E-2</v>
      </c>
      <c r="O1972" t="s">
        <v>2664</v>
      </c>
      <c r="Q1972" t="s">
        <v>9665</v>
      </c>
    </row>
    <row r="1973" spans="1:17" x14ac:dyDescent="0.2">
      <c r="A1973" t="s">
        <v>2484</v>
      </c>
      <c r="B1973" s="6" t="s">
        <v>2486</v>
      </c>
      <c r="C1973">
        <v>6</v>
      </c>
      <c r="D1973" s="6" t="s">
        <v>2200</v>
      </c>
      <c r="E1973" s="8" t="s">
        <v>2633</v>
      </c>
      <c r="F1973" s="6" t="s">
        <v>1425</v>
      </c>
      <c r="H1973">
        <v>2.9000000000000001E-2</v>
      </c>
      <c r="Q1973" t="s">
        <v>9666</v>
      </c>
    </row>
    <row r="1974" spans="1:17" x14ac:dyDescent="0.2">
      <c r="A1974" t="s">
        <v>2484</v>
      </c>
      <c r="B1974" s="6" t="s">
        <v>2486</v>
      </c>
      <c r="C1974">
        <v>6</v>
      </c>
      <c r="D1974" s="6" t="s">
        <v>2200</v>
      </c>
      <c r="E1974" s="8" t="s">
        <v>2635</v>
      </c>
      <c r="F1974" s="6" t="s">
        <v>5930</v>
      </c>
      <c r="H1974">
        <v>4.3999999999999997E-2</v>
      </c>
      <c r="Q1974" t="s">
        <v>5986</v>
      </c>
    </row>
    <row r="1975" spans="1:17" x14ac:dyDescent="0.2">
      <c r="A1975" t="s">
        <v>2484</v>
      </c>
      <c r="B1975" s="6" t="s">
        <v>2486</v>
      </c>
      <c r="C1975">
        <v>6</v>
      </c>
      <c r="D1975" s="6" t="s">
        <v>2200</v>
      </c>
      <c r="E1975" s="8" t="s">
        <v>2636</v>
      </c>
      <c r="F1975" s="6" t="s">
        <v>5930</v>
      </c>
      <c r="H1975">
        <v>5.0000000000000001E-3</v>
      </c>
      <c r="Q1975" t="s">
        <v>5987</v>
      </c>
    </row>
    <row r="1976" spans="1:17" x14ac:dyDescent="0.2">
      <c r="A1976" t="s">
        <v>2484</v>
      </c>
      <c r="B1976" s="6" t="s">
        <v>2486</v>
      </c>
      <c r="C1976">
        <v>6</v>
      </c>
      <c r="D1976" s="6" t="s">
        <v>2200</v>
      </c>
      <c r="E1976" s="8" t="s">
        <v>2637</v>
      </c>
      <c r="F1976" s="6" t="s">
        <v>5930</v>
      </c>
      <c r="H1976">
        <v>1E-3</v>
      </c>
      <c r="Q1976" t="s">
        <v>5988</v>
      </c>
    </row>
    <row r="1977" spans="1:17" x14ac:dyDescent="0.2">
      <c r="A1977" t="s">
        <v>2484</v>
      </c>
      <c r="B1977" s="6" t="s">
        <v>2486</v>
      </c>
      <c r="C1977">
        <v>6</v>
      </c>
      <c r="D1977" s="6" t="s">
        <v>2200</v>
      </c>
      <c r="E1977" s="8" t="s">
        <v>2638</v>
      </c>
      <c r="F1977" s="6" t="s">
        <v>5930</v>
      </c>
      <c r="H1977">
        <v>1E-3</v>
      </c>
      <c r="Q1977" t="s">
        <v>5989</v>
      </c>
    </row>
    <row r="1978" spans="1:17" x14ac:dyDescent="0.2">
      <c r="A1978" t="s">
        <v>2484</v>
      </c>
      <c r="B1978" s="6" t="s">
        <v>2486</v>
      </c>
      <c r="C1978">
        <v>6</v>
      </c>
      <c r="D1978" s="6" t="s">
        <v>2200</v>
      </c>
      <c r="E1978" s="8" t="s">
        <v>2639</v>
      </c>
      <c r="F1978" s="6" t="s">
        <v>5930</v>
      </c>
      <c r="H1978">
        <v>3.0000000000000001E-3</v>
      </c>
    </row>
    <row r="1979" spans="1:17" x14ac:dyDescent="0.2">
      <c r="A1979" t="s">
        <v>2484</v>
      </c>
      <c r="B1979" s="6" t="s">
        <v>2486</v>
      </c>
      <c r="C1979">
        <v>6</v>
      </c>
      <c r="D1979" s="6" t="s">
        <v>2200</v>
      </c>
      <c r="E1979" s="8" t="s">
        <v>2640</v>
      </c>
      <c r="F1979" s="6" t="s">
        <v>5930</v>
      </c>
      <c r="H1979">
        <v>2E-3</v>
      </c>
    </row>
    <row r="1980" spans="1:17" x14ac:dyDescent="0.2">
      <c r="A1980" t="s">
        <v>2484</v>
      </c>
      <c r="B1980" s="6" t="s">
        <v>2486</v>
      </c>
      <c r="C1980">
        <v>6</v>
      </c>
      <c r="D1980" s="6" t="s">
        <v>2200</v>
      </c>
      <c r="E1980" s="8" t="s">
        <v>2641</v>
      </c>
      <c r="F1980" s="6" t="s">
        <v>5930</v>
      </c>
      <c r="H1980">
        <v>6.0000000000000001E-3</v>
      </c>
      <c r="M1980">
        <v>4</v>
      </c>
    </row>
    <row r="1981" spans="1:17" x14ac:dyDescent="0.2">
      <c r="A1981" t="s">
        <v>2484</v>
      </c>
      <c r="B1981" s="6" t="s">
        <v>2486</v>
      </c>
      <c r="C1981">
        <v>6</v>
      </c>
      <c r="D1981" s="6" t="s">
        <v>2200</v>
      </c>
      <c r="E1981" s="8" t="s">
        <v>2634</v>
      </c>
      <c r="F1981" s="6" t="s">
        <v>1425</v>
      </c>
      <c r="H1981">
        <v>2E-3</v>
      </c>
      <c r="Q1981" t="s">
        <v>9667</v>
      </c>
    </row>
    <row r="1982" spans="1:17" x14ac:dyDescent="0.2">
      <c r="A1982" t="s">
        <v>2484</v>
      </c>
      <c r="B1982" s="6" t="s">
        <v>2486</v>
      </c>
      <c r="C1982">
        <v>6</v>
      </c>
      <c r="D1982" s="6" t="s">
        <v>2200</v>
      </c>
      <c r="E1982" s="8" t="s">
        <v>2642</v>
      </c>
      <c r="F1982" s="6" t="s">
        <v>1425</v>
      </c>
      <c r="H1982">
        <v>1E-3</v>
      </c>
      <c r="Q1982" t="s">
        <v>9668</v>
      </c>
    </row>
    <row r="1983" spans="1:17" x14ac:dyDescent="0.2">
      <c r="A1983" t="s">
        <v>2484</v>
      </c>
      <c r="B1983" s="6" t="s">
        <v>2486</v>
      </c>
      <c r="C1983">
        <v>6</v>
      </c>
      <c r="D1983" s="6" t="s">
        <v>2200</v>
      </c>
      <c r="E1983" s="8" t="s">
        <v>2643</v>
      </c>
      <c r="F1983" s="6" t="s">
        <v>6239</v>
      </c>
      <c r="H1983">
        <v>1E-3</v>
      </c>
      <c r="Q1983" t="s">
        <v>9669</v>
      </c>
    </row>
    <row r="1984" spans="1:17" x14ac:dyDescent="0.2">
      <c r="A1984" t="s">
        <v>2484</v>
      </c>
      <c r="B1984" s="6" t="s">
        <v>2486</v>
      </c>
      <c r="C1984">
        <v>6</v>
      </c>
      <c r="D1984" s="6" t="s">
        <v>2200</v>
      </c>
      <c r="E1984" s="8" t="s">
        <v>2644</v>
      </c>
      <c r="F1984" s="6" t="s">
        <v>6239</v>
      </c>
      <c r="H1984">
        <v>1E-3</v>
      </c>
    </row>
    <row r="1985" spans="1:17" x14ac:dyDescent="0.2">
      <c r="A1985" t="s">
        <v>2484</v>
      </c>
      <c r="B1985" s="6" t="s">
        <v>2486</v>
      </c>
      <c r="C1985">
        <v>6</v>
      </c>
      <c r="D1985" s="6" t="s">
        <v>2200</v>
      </c>
      <c r="E1985" s="8" t="s">
        <v>2646</v>
      </c>
      <c r="F1985" s="6" t="s">
        <v>1425</v>
      </c>
      <c r="H1985">
        <v>2E-3</v>
      </c>
      <c r="Q1985" t="s">
        <v>9670</v>
      </c>
    </row>
    <row r="1986" spans="1:17" x14ac:dyDescent="0.2">
      <c r="A1986" t="s">
        <v>2484</v>
      </c>
      <c r="B1986" s="6" t="s">
        <v>2486</v>
      </c>
      <c r="C1986">
        <v>6</v>
      </c>
      <c r="D1986" s="6" t="s">
        <v>2200</v>
      </c>
      <c r="E1986" s="8" t="s">
        <v>2647</v>
      </c>
      <c r="F1986" s="6" t="s">
        <v>6239</v>
      </c>
      <c r="H1986">
        <v>1E-3</v>
      </c>
    </row>
    <row r="1987" spans="1:17" x14ac:dyDescent="0.2">
      <c r="A1987" t="s">
        <v>2484</v>
      </c>
      <c r="B1987" s="6" t="s">
        <v>2486</v>
      </c>
      <c r="C1987">
        <v>6</v>
      </c>
      <c r="D1987" s="6" t="s">
        <v>2200</v>
      </c>
      <c r="E1987" s="8" t="s">
        <v>2648</v>
      </c>
      <c r="F1987" s="6" t="s">
        <v>6239</v>
      </c>
      <c r="H1987">
        <v>1E-3</v>
      </c>
    </row>
    <row r="1988" spans="1:17" x14ac:dyDescent="0.2">
      <c r="A1988" t="s">
        <v>2484</v>
      </c>
      <c r="B1988" s="6" t="s">
        <v>2486</v>
      </c>
      <c r="C1988">
        <v>6</v>
      </c>
      <c r="D1988" s="6" t="s">
        <v>2200</v>
      </c>
      <c r="E1988" s="8" t="s">
        <v>2649</v>
      </c>
      <c r="F1988" s="6" t="s">
        <v>6239</v>
      </c>
      <c r="H1988">
        <v>1E-3</v>
      </c>
    </row>
    <row r="1989" spans="1:17" x14ac:dyDescent="0.2">
      <c r="A1989" t="s">
        <v>2484</v>
      </c>
      <c r="B1989" s="6" t="s">
        <v>2486</v>
      </c>
      <c r="C1989">
        <v>6</v>
      </c>
      <c r="D1989" s="6" t="s">
        <v>2200</v>
      </c>
      <c r="E1989" s="8" t="s">
        <v>2645</v>
      </c>
      <c r="F1989" s="6" t="s">
        <v>9673</v>
      </c>
      <c r="H1989">
        <v>0.13700000000000001</v>
      </c>
      <c r="Q1989" t="s">
        <v>9671</v>
      </c>
    </row>
    <row r="1990" spans="1:17" x14ac:dyDescent="0.2">
      <c r="A1990" t="s">
        <v>2484</v>
      </c>
      <c r="B1990" s="6" t="s">
        <v>2486</v>
      </c>
      <c r="C1990">
        <v>6</v>
      </c>
      <c r="D1990" s="6" t="s">
        <v>2200</v>
      </c>
      <c r="E1990" s="8" t="s">
        <v>2650</v>
      </c>
      <c r="F1990" s="6" t="s">
        <v>9673</v>
      </c>
      <c r="H1990">
        <v>0.158</v>
      </c>
      <c r="O1990" t="s">
        <v>2665</v>
      </c>
      <c r="Q1990" t="s">
        <v>9672</v>
      </c>
    </row>
    <row r="1991" spans="1:17" x14ac:dyDescent="0.2">
      <c r="A1991" t="s">
        <v>2484</v>
      </c>
      <c r="B1991" s="6" t="s">
        <v>2486</v>
      </c>
      <c r="C1991">
        <v>6</v>
      </c>
      <c r="D1991" s="6" t="s">
        <v>2200</v>
      </c>
      <c r="E1991" s="8" t="s">
        <v>2651</v>
      </c>
      <c r="F1991" s="6" t="s">
        <v>7674</v>
      </c>
      <c r="H1991">
        <v>1.6E-2</v>
      </c>
      <c r="O1991" t="s">
        <v>2658</v>
      </c>
    </row>
    <row r="1992" spans="1:17" x14ac:dyDescent="0.2">
      <c r="A1992" t="s">
        <v>2484</v>
      </c>
      <c r="B1992" s="6" t="s">
        <v>2486</v>
      </c>
      <c r="C1992">
        <v>6</v>
      </c>
      <c r="D1992" s="6" t="s">
        <v>2200</v>
      </c>
      <c r="E1992" s="8" t="s">
        <v>2652</v>
      </c>
      <c r="F1992" s="6" t="s">
        <v>2659</v>
      </c>
      <c r="H1992">
        <v>4.0000000000000001E-3</v>
      </c>
      <c r="M1992">
        <v>5</v>
      </c>
    </row>
    <row r="1993" spans="1:17" x14ac:dyDescent="0.2">
      <c r="A1993" t="s">
        <v>2484</v>
      </c>
      <c r="B1993" s="6" t="s">
        <v>2486</v>
      </c>
      <c r="C1993">
        <v>6</v>
      </c>
      <c r="D1993" s="6" t="s">
        <v>2200</v>
      </c>
      <c r="E1993" s="8" t="s">
        <v>2653</v>
      </c>
      <c r="F1993" s="6" t="s">
        <v>7138</v>
      </c>
      <c r="H1993">
        <v>1.6E-2</v>
      </c>
      <c r="M1993">
        <v>2</v>
      </c>
      <c r="O1993" t="s">
        <v>9675</v>
      </c>
      <c r="Q1993" t="s">
        <v>9674</v>
      </c>
    </row>
    <row r="1994" spans="1:17" x14ac:dyDescent="0.2">
      <c r="A1994" t="s">
        <v>2484</v>
      </c>
      <c r="B1994" s="6" t="s">
        <v>2486</v>
      </c>
      <c r="C1994">
        <v>6</v>
      </c>
      <c r="D1994" s="6" t="s">
        <v>2200</v>
      </c>
      <c r="E1994" s="8" t="s">
        <v>2654</v>
      </c>
      <c r="F1994" s="6" t="s">
        <v>2660</v>
      </c>
      <c r="H1994">
        <v>3.3000000000000002E-2</v>
      </c>
    </row>
    <row r="1995" spans="1:17" x14ac:dyDescent="0.2">
      <c r="A1995" t="s">
        <v>2484</v>
      </c>
      <c r="B1995" s="6" t="s">
        <v>2486</v>
      </c>
      <c r="C1995">
        <v>6</v>
      </c>
      <c r="D1995" s="6" t="s">
        <v>2200</v>
      </c>
      <c r="E1995" s="8" t="s">
        <v>2655</v>
      </c>
      <c r="F1995" s="6" t="s">
        <v>1264</v>
      </c>
      <c r="H1995">
        <f>0.48-0.344</f>
        <v>0.13600000000000001</v>
      </c>
    </row>
    <row r="1996" spans="1:17" x14ac:dyDescent="0.2">
      <c r="A1996" t="s">
        <v>2484</v>
      </c>
      <c r="B1996" s="6" t="s">
        <v>2486</v>
      </c>
      <c r="C1996">
        <v>6</v>
      </c>
      <c r="D1996" s="6" t="s">
        <v>2200</v>
      </c>
      <c r="E1996" s="8" t="s">
        <v>2647</v>
      </c>
      <c r="F1996" s="6" t="s">
        <v>1389</v>
      </c>
      <c r="H1996">
        <v>1E-3</v>
      </c>
      <c r="Q1996" t="s">
        <v>9680</v>
      </c>
    </row>
    <row r="1997" spans="1:17" x14ac:dyDescent="0.2">
      <c r="A1997" t="s">
        <v>2484</v>
      </c>
      <c r="B1997" s="6" t="s">
        <v>2486</v>
      </c>
      <c r="C1997">
        <v>6</v>
      </c>
      <c r="D1997" s="6" t="s">
        <v>2200</v>
      </c>
      <c r="E1997" s="8" t="s">
        <v>2648</v>
      </c>
      <c r="F1997" s="6" t="s">
        <v>1389</v>
      </c>
      <c r="H1997">
        <v>5.0000000000000001E-3</v>
      </c>
      <c r="Q1997" t="s">
        <v>9677</v>
      </c>
    </row>
    <row r="1998" spans="1:17" x14ac:dyDescent="0.2">
      <c r="A1998" t="s">
        <v>2484</v>
      </c>
      <c r="B1998" s="6" t="s">
        <v>2486</v>
      </c>
      <c r="C1998">
        <v>6</v>
      </c>
      <c r="D1998" s="6" t="s">
        <v>2200</v>
      </c>
      <c r="E1998" s="8" t="s">
        <v>2649</v>
      </c>
      <c r="F1998" s="6" t="s">
        <v>1389</v>
      </c>
      <c r="H1998">
        <v>3.0000000000000001E-3</v>
      </c>
      <c r="Q1998" t="s">
        <v>9678</v>
      </c>
    </row>
    <row r="1999" spans="1:17" x14ac:dyDescent="0.2">
      <c r="A1999" t="s">
        <v>2484</v>
      </c>
      <c r="B1999" s="6" t="s">
        <v>2486</v>
      </c>
      <c r="C1999">
        <v>6</v>
      </c>
      <c r="D1999" s="6" t="s">
        <v>2200</v>
      </c>
      <c r="E1999" s="8" t="s">
        <v>2630</v>
      </c>
      <c r="F1999" s="6" t="s">
        <v>1389</v>
      </c>
      <c r="H1999">
        <v>6.0000000000000001E-3</v>
      </c>
      <c r="Q1999" t="s">
        <v>9679</v>
      </c>
    </row>
    <row r="2000" spans="1:17" x14ac:dyDescent="0.2">
      <c r="A2000" t="s">
        <v>2484</v>
      </c>
      <c r="B2000" s="6" t="s">
        <v>2486</v>
      </c>
      <c r="C2000">
        <v>6</v>
      </c>
      <c r="D2000" s="6" t="s">
        <v>2200</v>
      </c>
      <c r="E2000" s="8" t="s">
        <v>2646</v>
      </c>
      <c r="F2000" s="6" t="s">
        <v>1389</v>
      </c>
      <c r="H2000">
        <v>7.0000000000000001E-3</v>
      </c>
      <c r="Q2000" t="s">
        <v>9676</v>
      </c>
    </row>
    <row r="2001" spans="1:17" x14ac:dyDescent="0.2">
      <c r="A2001" t="s">
        <v>2484</v>
      </c>
      <c r="B2001" s="6" t="s">
        <v>2486</v>
      </c>
      <c r="C2001">
        <v>6</v>
      </c>
      <c r="D2001" s="6" t="s">
        <v>2200</v>
      </c>
      <c r="E2001" s="8" t="s">
        <v>2631</v>
      </c>
      <c r="F2001" s="6" t="s">
        <v>1389</v>
      </c>
      <c r="H2001">
        <v>1.7999999999999999E-2</v>
      </c>
      <c r="M2001">
        <v>5</v>
      </c>
    </row>
    <row r="2002" spans="1:17" x14ac:dyDescent="0.2">
      <c r="A2002" t="s">
        <v>2484</v>
      </c>
      <c r="B2002" s="6" t="s">
        <v>2486</v>
      </c>
      <c r="C2002">
        <v>6</v>
      </c>
      <c r="D2002" s="6" t="s">
        <v>2200</v>
      </c>
      <c r="E2002" s="8" t="s">
        <v>2667</v>
      </c>
      <c r="F2002" s="6" t="s">
        <v>1389</v>
      </c>
      <c r="H2002">
        <f>0.725-0.587</f>
        <v>0.13800000000000001</v>
      </c>
    </row>
    <row r="2003" spans="1:17" x14ac:dyDescent="0.2">
      <c r="A2003" t="s">
        <v>2484</v>
      </c>
      <c r="B2003" s="6" t="s">
        <v>2486</v>
      </c>
      <c r="C2003">
        <v>6</v>
      </c>
      <c r="D2003" s="6" t="s">
        <v>2200</v>
      </c>
      <c r="E2003" s="8" t="s">
        <v>9681</v>
      </c>
      <c r="F2003" s="6" t="s">
        <v>1425</v>
      </c>
      <c r="H2003">
        <v>7.0000000000000001E-3</v>
      </c>
      <c r="Q2003" t="s">
        <v>9682</v>
      </c>
    </row>
    <row r="2004" spans="1:17" x14ac:dyDescent="0.2">
      <c r="A2004" t="s">
        <v>2484</v>
      </c>
      <c r="B2004" s="6" t="s">
        <v>2486</v>
      </c>
      <c r="C2004">
        <v>6</v>
      </c>
      <c r="D2004" s="6" t="s">
        <v>2200</v>
      </c>
      <c r="E2004" s="8" t="s">
        <v>2666</v>
      </c>
      <c r="F2004" s="6" t="s">
        <v>1425</v>
      </c>
      <c r="H2004">
        <v>3.0000000000000001E-3</v>
      </c>
      <c r="Q2004" t="s">
        <v>9683</v>
      </c>
    </row>
    <row r="2005" spans="1:17" x14ac:dyDescent="0.2">
      <c r="A2005" t="s">
        <v>2484</v>
      </c>
      <c r="B2005" s="6" t="s">
        <v>2486</v>
      </c>
      <c r="C2005">
        <v>6</v>
      </c>
      <c r="D2005" s="6" t="s">
        <v>2200</v>
      </c>
      <c r="E2005" s="8" t="s">
        <v>2668</v>
      </c>
      <c r="F2005" s="6" t="s">
        <v>1425</v>
      </c>
      <c r="H2005">
        <v>3.0000000000000001E-3</v>
      </c>
      <c r="Q2005" t="s">
        <v>9684</v>
      </c>
    </row>
    <row r="2006" spans="1:17" x14ac:dyDescent="0.2">
      <c r="A2006" t="s">
        <v>2484</v>
      </c>
      <c r="B2006" s="6" t="s">
        <v>2486</v>
      </c>
      <c r="C2006">
        <v>6</v>
      </c>
      <c r="D2006" s="6" t="s">
        <v>2200</v>
      </c>
      <c r="E2006" s="8" t="s">
        <v>2669</v>
      </c>
      <c r="F2006" s="6" t="s">
        <v>1425</v>
      </c>
      <c r="H2006">
        <v>6.0000000000000001E-3</v>
      </c>
      <c r="Q2006" t="s">
        <v>9685</v>
      </c>
    </row>
    <row r="2007" spans="1:17" x14ac:dyDescent="0.2">
      <c r="A2007" t="s">
        <v>2484</v>
      </c>
      <c r="B2007" s="6" t="s">
        <v>2486</v>
      </c>
      <c r="C2007">
        <v>6</v>
      </c>
      <c r="D2007" s="6" t="s">
        <v>2200</v>
      </c>
      <c r="E2007" s="8" t="s">
        <v>2670</v>
      </c>
      <c r="F2007" s="6" t="s">
        <v>1425</v>
      </c>
      <c r="H2007">
        <v>4.0000000000000001E-3</v>
      </c>
      <c r="Q2007" t="s">
        <v>9686</v>
      </c>
    </row>
    <row r="2008" spans="1:17" x14ac:dyDescent="0.2">
      <c r="A2008" t="s">
        <v>2484</v>
      </c>
      <c r="B2008" s="6" t="s">
        <v>2486</v>
      </c>
      <c r="C2008">
        <v>6</v>
      </c>
      <c r="D2008" s="6" t="s">
        <v>2200</v>
      </c>
      <c r="E2008" s="8" t="s">
        <v>2671</v>
      </c>
      <c r="F2008" s="6" t="s">
        <v>1425</v>
      </c>
      <c r="H2008">
        <v>0.02</v>
      </c>
      <c r="M2008">
        <v>5</v>
      </c>
    </row>
    <row r="2009" spans="1:17" x14ac:dyDescent="0.2">
      <c r="A2009" t="s">
        <v>2484</v>
      </c>
      <c r="B2009" s="6" t="s">
        <v>2486</v>
      </c>
      <c r="C2009">
        <v>6</v>
      </c>
      <c r="D2009" s="6" t="s">
        <v>2200</v>
      </c>
      <c r="E2009" s="8" t="s">
        <v>2667</v>
      </c>
      <c r="F2009" s="6" t="s">
        <v>1425</v>
      </c>
      <c r="H2009">
        <f>0.55-0.4</f>
        <v>0.15000000000000002</v>
      </c>
    </row>
    <row r="2010" spans="1:17" x14ac:dyDescent="0.2">
      <c r="A2010" t="s">
        <v>2484</v>
      </c>
      <c r="B2010" s="6" t="s">
        <v>2486</v>
      </c>
      <c r="C2010">
        <v>1</v>
      </c>
      <c r="D2010" s="6" t="s">
        <v>2200</v>
      </c>
      <c r="E2010" s="8" t="s">
        <v>2673</v>
      </c>
      <c r="F2010" s="6" t="s">
        <v>2672</v>
      </c>
      <c r="H2010">
        <f>2.795-0.357</f>
        <v>2.4379999999999997</v>
      </c>
      <c r="O2010" t="s">
        <v>2682</v>
      </c>
    </row>
    <row r="2011" spans="1:17" x14ac:dyDescent="0.2">
      <c r="A2011" t="s">
        <v>2484</v>
      </c>
      <c r="B2011" s="6" t="s">
        <v>2486</v>
      </c>
      <c r="C2011">
        <v>2</v>
      </c>
      <c r="D2011" s="6" t="s">
        <v>2200</v>
      </c>
      <c r="E2011" s="8" t="s">
        <v>2674</v>
      </c>
      <c r="F2011" s="6" t="s">
        <v>2675</v>
      </c>
      <c r="H2011">
        <f>0.427-0.295</f>
        <v>0.13200000000000001</v>
      </c>
    </row>
    <row r="2012" spans="1:17" x14ac:dyDescent="0.2">
      <c r="A2012" t="s">
        <v>2484</v>
      </c>
      <c r="B2012" s="6" t="s">
        <v>2486</v>
      </c>
      <c r="C2012">
        <v>3</v>
      </c>
      <c r="D2012" s="6" t="s">
        <v>2200</v>
      </c>
      <c r="E2012" s="8" t="s">
        <v>2676</v>
      </c>
      <c r="F2012" s="6" t="s">
        <v>2679</v>
      </c>
      <c r="H2012">
        <v>0.89</v>
      </c>
    </row>
    <row r="2013" spans="1:17" x14ac:dyDescent="0.2">
      <c r="A2013" t="s">
        <v>2484</v>
      </c>
      <c r="B2013" s="6" t="s">
        <v>2486</v>
      </c>
      <c r="C2013">
        <v>4</v>
      </c>
      <c r="D2013" s="6" t="s">
        <v>2200</v>
      </c>
      <c r="E2013" s="8" t="s">
        <v>2677</v>
      </c>
      <c r="F2013" s="6" t="s">
        <v>2680</v>
      </c>
      <c r="H2013">
        <f>2.025-0.285</f>
        <v>1.74</v>
      </c>
    </row>
    <row r="2014" spans="1:17" x14ac:dyDescent="0.2">
      <c r="A2014" t="s">
        <v>2484</v>
      </c>
      <c r="B2014" s="6" t="s">
        <v>2486</v>
      </c>
      <c r="C2014">
        <v>5</v>
      </c>
      <c r="D2014" s="6" t="s">
        <v>2200</v>
      </c>
      <c r="E2014" s="8" t="s">
        <v>2678</v>
      </c>
      <c r="F2014" s="6" t="s">
        <v>2681</v>
      </c>
      <c r="H2014">
        <f>0.33-0.261</f>
        <v>6.9000000000000006E-2</v>
      </c>
    </row>
    <row r="2015" spans="1:17" x14ac:dyDescent="0.2">
      <c r="A2015" t="s">
        <v>2686</v>
      </c>
      <c r="B2015" s="6" t="s">
        <v>2687</v>
      </c>
      <c r="C2015">
        <v>2</v>
      </c>
      <c r="D2015" s="6" t="s">
        <v>2688</v>
      </c>
      <c r="E2015" s="8" t="s">
        <v>2689</v>
      </c>
      <c r="F2015" s="6" t="s">
        <v>2690</v>
      </c>
      <c r="H2015">
        <f>0.988-0.587</f>
        <v>0.40100000000000002</v>
      </c>
      <c r="O2015" t="s">
        <v>2691</v>
      </c>
    </row>
    <row r="2016" spans="1:17" x14ac:dyDescent="0.2">
      <c r="A2016" t="s">
        <v>2686</v>
      </c>
      <c r="B2016" s="6" t="s">
        <v>2687</v>
      </c>
      <c r="C2016">
        <v>2</v>
      </c>
      <c r="D2016" s="6" t="s">
        <v>2688</v>
      </c>
      <c r="E2016" s="8" t="s">
        <v>2692</v>
      </c>
      <c r="F2016" s="6" t="s">
        <v>2693</v>
      </c>
      <c r="H2016">
        <f>0.558-0.424</f>
        <v>0.13400000000000006</v>
      </c>
    </row>
    <row r="2017" spans="1:17" x14ac:dyDescent="0.2">
      <c r="A2017" t="s">
        <v>2686</v>
      </c>
      <c r="B2017" s="6" t="s">
        <v>2687</v>
      </c>
      <c r="C2017">
        <v>2</v>
      </c>
      <c r="D2017" s="6" t="s">
        <v>2688</v>
      </c>
      <c r="E2017" s="8" t="s">
        <v>2694</v>
      </c>
      <c r="F2017" s="6" t="s">
        <v>1389</v>
      </c>
      <c r="G2017">
        <v>5</v>
      </c>
      <c r="Q2017" t="s">
        <v>9687</v>
      </c>
    </row>
    <row r="2018" spans="1:17" x14ac:dyDescent="0.2">
      <c r="A2018" t="s">
        <v>2686</v>
      </c>
      <c r="B2018" s="6" t="s">
        <v>2687</v>
      </c>
      <c r="C2018">
        <v>2</v>
      </c>
      <c r="D2018" s="6" t="s">
        <v>2688</v>
      </c>
      <c r="E2018" s="8" t="s">
        <v>2695</v>
      </c>
      <c r="F2018" s="6" t="s">
        <v>1389</v>
      </c>
      <c r="G2018">
        <v>9</v>
      </c>
      <c r="Q2018" t="s">
        <v>9688</v>
      </c>
    </row>
    <row r="2019" spans="1:17" x14ac:dyDescent="0.2">
      <c r="A2019" t="s">
        <v>2686</v>
      </c>
      <c r="B2019" s="6" t="s">
        <v>2687</v>
      </c>
      <c r="C2019">
        <v>2</v>
      </c>
      <c r="D2019" s="6" t="s">
        <v>2688</v>
      </c>
      <c r="E2019" s="8" t="s">
        <v>2696</v>
      </c>
      <c r="F2019" s="6" t="s">
        <v>1389</v>
      </c>
      <c r="G2019">
        <v>3</v>
      </c>
      <c r="Q2019" t="s">
        <v>9689</v>
      </c>
    </row>
    <row r="2020" spans="1:17" x14ac:dyDescent="0.2">
      <c r="A2020" t="s">
        <v>2686</v>
      </c>
      <c r="B2020" s="6" t="s">
        <v>2687</v>
      </c>
      <c r="C2020">
        <v>2</v>
      </c>
      <c r="D2020" s="6" t="s">
        <v>2688</v>
      </c>
      <c r="E2020" s="8" t="s">
        <v>2697</v>
      </c>
      <c r="F2020" s="6" t="s">
        <v>1389</v>
      </c>
      <c r="G2020">
        <v>6</v>
      </c>
      <c r="Q2020" t="s">
        <v>9690</v>
      </c>
    </row>
    <row r="2021" spans="1:17" x14ac:dyDescent="0.2">
      <c r="A2021" t="s">
        <v>2686</v>
      </c>
      <c r="B2021" s="6" t="s">
        <v>2687</v>
      </c>
      <c r="C2021">
        <v>2</v>
      </c>
      <c r="D2021" s="6" t="s">
        <v>2688</v>
      </c>
      <c r="E2021" s="8" t="s">
        <v>2698</v>
      </c>
      <c r="F2021" s="6" t="s">
        <v>1389</v>
      </c>
      <c r="G2021">
        <v>4</v>
      </c>
      <c r="Q2021" t="s">
        <v>9691</v>
      </c>
    </row>
    <row r="2022" spans="1:17" x14ac:dyDescent="0.2">
      <c r="A2022" t="s">
        <v>2686</v>
      </c>
      <c r="B2022" s="6" t="s">
        <v>2687</v>
      </c>
      <c r="C2022">
        <v>2</v>
      </c>
      <c r="D2022" s="6" t="s">
        <v>2688</v>
      </c>
      <c r="E2022" s="8" t="s">
        <v>2699</v>
      </c>
      <c r="F2022" s="6" t="s">
        <v>1538</v>
      </c>
      <c r="G2022">
        <v>1</v>
      </c>
      <c r="Q2022" t="s">
        <v>9695</v>
      </c>
    </row>
    <row r="2023" spans="1:17" x14ac:dyDescent="0.2">
      <c r="A2023" t="s">
        <v>2686</v>
      </c>
      <c r="B2023" s="6" t="s">
        <v>2687</v>
      </c>
      <c r="C2023">
        <v>2</v>
      </c>
      <c r="D2023" s="6" t="s">
        <v>2688</v>
      </c>
      <c r="E2023" s="8" t="s">
        <v>2700</v>
      </c>
      <c r="F2023" s="6" t="s">
        <v>1538</v>
      </c>
      <c r="G2023">
        <v>58</v>
      </c>
      <c r="Q2023" t="s">
        <v>9696</v>
      </c>
    </row>
    <row r="2024" spans="1:17" x14ac:dyDescent="0.2">
      <c r="A2024" t="s">
        <v>2686</v>
      </c>
      <c r="B2024" s="6" t="s">
        <v>2687</v>
      </c>
      <c r="C2024">
        <v>2</v>
      </c>
      <c r="D2024" s="6" t="s">
        <v>2688</v>
      </c>
      <c r="E2024" s="8" t="s">
        <v>2701</v>
      </c>
      <c r="F2024" s="6" t="s">
        <v>1538</v>
      </c>
      <c r="G2024">
        <v>5</v>
      </c>
      <c r="Q2024" t="s">
        <v>9697</v>
      </c>
    </row>
    <row r="2025" spans="1:17" x14ac:dyDescent="0.2">
      <c r="A2025" t="s">
        <v>2686</v>
      </c>
      <c r="B2025" s="6" t="s">
        <v>2687</v>
      </c>
      <c r="C2025">
        <v>2</v>
      </c>
      <c r="D2025" s="6" t="s">
        <v>2688</v>
      </c>
      <c r="E2025" s="8" t="s">
        <v>2702</v>
      </c>
      <c r="F2025" s="6" t="s">
        <v>1389</v>
      </c>
      <c r="G2025">
        <v>5</v>
      </c>
      <c r="M2025">
        <v>2</v>
      </c>
    </row>
    <row r="2026" spans="1:17" x14ac:dyDescent="0.2">
      <c r="A2026" t="s">
        <v>2686</v>
      </c>
      <c r="B2026" s="6" t="s">
        <v>2687</v>
      </c>
      <c r="C2026">
        <v>2</v>
      </c>
      <c r="D2026" s="6" t="s">
        <v>2688</v>
      </c>
      <c r="E2026" s="8" t="s">
        <v>2703</v>
      </c>
      <c r="F2026" s="6" t="s">
        <v>1538</v>
      </c>
      <c r="G2026">
        <v>14</v>
      </c>
      <c r="Q2026" t="s">
        <v>9699</v>
      </c>
    </row>
    <row r="2027" spans="1:17" x14ac:dyDescent="0.2">
      <c r="A2027" t="s">
        <v>2686</v>
      </c>
      <c r="B2027" s="6" t="s">
        <v>2687</v>
      </c>
      <c r="C2027">
        <v>2</v>
      </c>
      <c r="D2027" s="6" t="s">
        <v>2688</v>
      </c>
      <c r="E2027" s="8" t="s">
        <v>2704</v>
      </c>
      <c r="F2027" s="6" t="s">
        <v>1425</v>
      </c>
      <c r="G2027">
        <v>3</v>
      </c>
      <c r="Q2027" t="s">
        <v>9692</v>
      </c>
    </row>
    <row r="2028" spans="1:17" x14ac:dyDescent="0.2">
      <c r="A2028" t="s">
        <v>2686</v>
      </c>
      <c r="B2028" s="6" t="s">
        <v>2687</v>
      </c>
      <c r="C2028">
        <v>2</v>
      </c>
      <c r="D2028" s="6" t="s">
        <v>2688</v>
      </c>
      <c r="E2028" s="8" t="s">
        <v>2705</v>
      </c>
      <c r="F2028" s="6" t="s">
        <v>1425</v>
      </c>
      <c r="G2028">
        <v>4</v>
      </c>
      <c r="Q2028" t="s">
        <v>9693</v>
      </c>
    </row>
    <row r="2029" spans="1:17" x14ac:dyDescent="0.2">
      <c r="A2029" t="s">
        <v>2686</v>
      </c>
      <c r="B2029" s="6" t="s">
        <v>2687</v>
      </c>
      <c r="C2029">
        <v>2</v>
      </c>
      <c r="D2029" s="6" t="s">
        <v>2688</v>
      </c>
      <c r="E2029" s="8" t="s">
        <v>2706</v>
      </c>
      <c r="F2029" s="6" t="s">
        <v>1425</v>
      </c>
      <c r="G2029">
        <v>9</v>
      </c>
      <c r="Q2029" t="s">
        <v>9694</v>
      </c>
    </row>
    <row r="2030" spans="1:17" x14ac:dyDescent="0.2">
      <c r="A2030" t="s">
        <v>2686</v>
      </c>
      <c r="B2030" s="6" t="s">
        <v>2687</v>
      </c>
      <c r="C2030">
        <v>2</v>
      </c>
      <c r="D2030" s="6" t="s">
        <v>2688</v>
      </c>
      <c r="E2030" s="8" t="s">
        <v>2707</v>
      </c>
      <c r="F2030" s="6" t="s">
        <v>1538</v>
      </c>
      <c r="G2030">
        <v>2</v>
      </c>
      <c r="Q2030" t="s">
        <v>9698</v>
      </c>
    </row>
    <row r="2031" spans="1:17" x14ac:dyDescent="0.2">
      <c r="A2031" t="s">
        <v>2686</v>
      </c>
      <c r="B2031" s="6" t="s">
        <v>2687</v>
      </c>
      <c r="C2031">
        <v>2</v>
      </c>
      <c r="D2031" s="6" t="s">
        <v>2688</v>
      </c>
      <c r="E2031" s="8" t="s">
        <v>2708</v>
      </c>
      <c r="F2031" s="6" t="s">
        <v>121</v>
      </c>
      <c r="G2031">
        <v>6</v>
      </c>
    </row>
    <row r="2032" spans="1:17" x14ac:dyDescent="0.2">
      <c r="A2032" t="s">
        <v>2686</v>
      </c>
      <c r="B2032" s="6" t="s">
        <v>2687</v>
      </c>
      <c r="C2032">
        <v>2</v>
      </c>
      <c r="D2032" s="6" t="s">
        <v>2688</v>
      </c>
      <c r="E2032" s="8" t="s">
        <v>2709</v>
      </c>
      <c r="F2032" s="6" t="s">
        <v>1538</v>
      </c>
      <c r="G2032">
        <v>2</v>
      </c>
    </row>
    <row r="2033" spans="1:17" x14ac:dyDescent="0.2">
      <c r="A2033" t="s">
        <v>2686</v>
      </c>
      <c r="B2033" s="6" t="s">
        <v>2687</v>
      </c>
      <c r="C2033">
        <v>2</v>
      </c>
      <c r="D2033" s="6" t="s">
        <v>2688</v>
      </c>
      <c r="E2033" s="8" t="s">
        <v>2710</v>
      </c>
      <c r="F2033" s="6" t="s">
        <v>1538</v>
      </c>
      <c r="G2033">
        <v>6</v>
      </c>
      <c r="Q2033" t="s">
        <v>9700</v>
      </c>
    </row>
    <row r="2034" spans="1:17" x14ac:dyDescent="0.2">
      <c r="A2034" t="s">
        <v>2686</v>
      </c>
      <c r="B2034" s="6" t="s">
        <v>2687</v>
      </c>
      <c r="C2034">
        <v>2</v>
      </c>
      <c r="D2034" s="6" t="s">
        <v>2688</v>
      </c>
      <c r="E2034" s="8" t="s">
        <v>2711</v>
      </c>
      <c r="F2034" s="6" t="s">
        <v>1538</v>
      </c>
      <c r="G2034">
        <v>51</v>
      </c>
      <c r="Q2034" t="s">
        <v>9701</v>
      </c>
    </row>
    <row r="2035" spans="1:17" x14ac:dyDescent="0.2">
      <c r="A2035" t="s">
        <v>2686</v>
      </c>
      <c r="B2035" s="6" t="s">
        <v>2687</v>
      </c>
      <c r="C2035">
        <v>2</v>
      </c>
      <c r="D2035" s="6" t="s">
        <v>2688</v>
      </c>
      <c r="E2035" s="8" t="s">
        <v>2712</v>
      </c>
      <c r="F2035" s="6" t="s">
        <v>1538</v>
      </c>
      <c r="G2035">
        <v>8</v>
      </c>
      <c r="Q2035" t="s">
        <v>9702</v>
      </c>
    </row>
    <row r="2036" spans="1:17" x14ac:dyDescent="0.2">
      <c r="A2036" t="s">
        <v>2686</v>
      </c>
      <c r="B2036" s="6" t="s">
        <v>2687</v>
      </c>
      <c r="C2036">
        <v>3</v>
      </c>
      <c r="D2036" s="6" t="s">
        <v>2688</v>
      </c>
      <c r="E2036" s="8" t="s">
        <v>2713</v>
      </c>
      <c r="F2036" s="6" t="s">
        <v>1538</v>
      </c>
      <c r="G2036">
        <v>35</v>
      </c>
      <c r="O2036" t="s">
        <v>2714</v>
      </c>
      <c r="Q2036" t="s">
        <v>9703</v>
      </c>
    </row>
    <row r="2037" spans="1:17" x14ac:dyDescent="0.2">
      <c r="A2037" t="s">
        <v>2686</v>
      </c>
      <c r="B2037" s="6" t="s">
        <v>2687</v>
      </c>
      <c r="C2037">
        <v>3</v>
      </c>
      <c r="D2037" s="6" t="s">
        <v>2688</v>
      </c>
      <c r="E2037" s="8" t="s">
        <v>2715</v>
      </c>
      <c r="F2037" s="6" t="s">
        <v>1538</v>
      </c>
      <c r="G2037">
        <v>53</v>
      </c>
      <c r="Q2037" t="s">
        <v>9706</v>
      </c>
    </row>
    <row r="2038" spans="1:17" x14ac:dyDescent="0.2">
      <c r="A2038" t="s">
        <v>2686</v>
      </c>
      <c r="B2038" s="6" t="s">
        <v>2687</v>
      </c>
      <c r="C2038">
        <v>3</v>
      </c>
      <c r="D2038" s="6" t="s">
        <v>2688</v>
      </c>
      <c r="E2038" s="8" t="s">
        <v>2716</v>
      </c>
      <c r="F2038" s="6" t="s">
        <v>1538</v>
      </c>
      <c r="H2038">
        <f>0.695-0.345</f>
        <v>0.35</v>
      </c>
    </row>
    <row r="2039" spans="1:17" x14ac:dyDescent="0.2">
      <c r="A2039" t="s">
        <v>2686</v>
      </c>
      <c r="B2039" s="6" t="s">
        <v>2687</v>
      </c>
      <c r="C2039">
        <v>3</v>
      </c>
      <c r="D2039" s="6" t="s">
        <v>2688</v>
      </c>
      <c r="E2039" s="8" t="s">
        <v>2717</v>
      </c>
      <c r="F2039" s="6" t="s">
        <v>1538</v>
      </c>
      <c r="G2039">
        <v>29</v>
      </c>
      <c r="Q2039" t="s">
        <v>9704</v>
      </c>
    </row>
    <row r="2040" spans="1:17" x14ac:dyDescent="0.2">
      <c r="A2040" t="s">
        <v>2686</v>
      </c>
      <c r="B2040" s="6" t="s">
        <v>2687</v>
      </c>
      <c r="C2040">
        <v>3</v>
      </c>
      <c r="D2040" s="6" t="s">
        <v>2688</v>
      </c>
      <c r="E2040" s="8" t="s">
        <v>2718</v>
      </c>
      <c r="F2040" s="6" t="s">
        <v>1538</v>
      </c>
      <c r="G2040">
        <v>10</v>
      </c>
      <c r="Q2040" t="s">
        <v>9707</v>
      </c>
    </row>
    <row r="2041" spans="1:17" x14ac:dyDescent="0.2">
      <c r="A2041" t="s">
        <v>2686</v>
      </c>
      <c r="B2041" s="6" t="s">
        <v>2687</v>
      </c>
      <c r="C2041">
        <v>3</v>
      </c>
      <c r="D2041" s="6" t="s">
        <v>2688</v>
      </c>
      <c r="E2041" s="8" t="s">
        <v>2719</v>
      </c>
      <c r="F2041" s="6" t="s">
        <v>1538</v>
      </c>
      <c r="G2041">
        <v>4</v>
      </c>
      <c r="Q2041" t="s">
        <v>9705</v>
      </c>
    </row>
    <row r="2042" spans="1:17" x14ac:dyDescent="0.2">
      <c r="A2042" t="s">
        <v>2686</v>
      </c>
      <c r="B2042" s="6" t="s">
        <v>2687</v>
      </c>
      <c r="C2042">
        <v>3</v>
      </c>
      <c r="D2042" s="6" t="s">
        <v>2688</v>
      </c>
      <c r="E2042" s="8" t="s">
        <v>2720</v>
      </c>
      <c r="F2042" s="6" t="s">
        <v>1538</v>
      </c>
      <c r="G2042">
        <v>1</v>
      </c>
      <c r="Q2042" t="s">
        <v>9708</v>
      </c>
    </row>
    <row r="2043" spans="1:17" x14ac:dyDescent="0.2">
      <c r="A2043" t="s">
        <v>2686</v>
      </c>
      <c r="B2043" s="6" t="s">
        <v>2687</v>
      </c>
      <c r="C2043">
        <v>3</v>
      </c>
      <c r="D2043" s="6" t="s">
        <v>2688</v>
      </c>
      <c r="E2043" s="8" t="s">
        <v>2716</v>
      </c>
      <c r="F2043" s="6" t="s">
        <v>1538</v>
      </c>
      <c r="H2043" s="6">
        <f>0.558-0.41</f>
        <v>0.14800000000000008</v>
      </c>
    </row>
    <row r="2044" spans="1:17" x14ac:dyDescent="0.2">
      <c r="A2044" t="s">
        <v>2686</v>
      </c>
      <c r="B2044" s="6" t="s">
        <v>2687</v>
      </c>
      <c r="C2044">
        <v>3</v>
      </c>
      <c r="D2044" s="6" t="s">
        <v>2688</v>
      </c>
      <c r="E2044" s="8" t="s">
        <v>2721</v>
      </c>
      <c r="F2044" s="6" t="s">
        <v>1538</v>
      </c>
      <c r="G2044">
        <v>61</v>
      </c>
      <c r="M2044">
        <v>5</v>
      </c>
    </row>
    <row r="2045" spans="1:17" x14ac:dyDescent="0.2">
      <c r="A2045" t="s">
        <v>2686</v>
      </c>
      <c r="B2045" s="6" t="s">
        <v>2687</v>
      </c>
      <c r="C2045">
        <v>3</v>
      </c>
      <c r="D2045" s="6" t="s">
        <v>2688</v>
      </c>
      <c r="E2045" s="8" t="s">
        <v>2722</v>
      </c>
      <c r="F2045" s="6" t="s">
        <v>1264</v>
      </c>
      <c r="H2045">
        <f>2.483-0.4</f>
        <v>2.0830000000000002</v>
      </c>
      <c r="O2045" t="s">
        <v>2723</v>
      </c>
    </row>
    <row r="2046" spans="1:17" x14ac:dyDescent="0.2">
      <c r="A2046" t="s">
        <v>2686</v>
      </c>
      <c r="B2046" s="6" t="s">
        <v>2687</v>
      </c>
      <c r="C2046">
        <v>3</v>
      </c>
      <c r="D2046" s="6" t="s">
        <v>2688</v>
      </c>
      <c r="E2046" s="8" t="s">
        <v>2724</v>
      </c>
      <c r="F2046" s="6" t="s">
        <v>1538</v>
      </c>
      <c r="H2046">
        <v>2E-3</v>
      </c>
      <c r="Q2046" t="s">
        <v>9709</v>
      </c>
    </row>
    <row r="2047" spans="1:17" x14ac:dyDescent="0.2">
      <c r="A2047" t="s">
        <v>2686</v>
      </c>
      <c r="B2047" s="6" t="s">
        <v>2687</v>
      </c>
      <c r="C2047">
        <v>3</v>
      </c>
      <c r="D2047" s="6" t="s">
        <v>2688</v>
      </c>
      <c r="E2047" s="8" t="s">
        <v>2725</v>
      </c>
      <c r="F2047" s="6" t="s">
        <v>1538</v>
      </c>
      <c r="H2047">
        <v>1E-3</v>
      </c>
      <c r="Q2047" t="s">
        <v>9710</v>
      </c>
    </row>
    <row r="2048" spans="1:17" x14ac:dyDescent="0.2">
      <c r="A2048" t="s">
        <v>2686</v>
      </c>
      <c r="B2048" s="6" t="s">
        <v>2687</v>
      </c>
      <c r="C2048">
        <v>3</v>
      </c>
      <c r="D2048" s="6" t="s">
        <v>2688</v>
      </c>
      <c r="E2048" s="8" t="s">
        <v>2726</v>
      </c>
      <c r="F2048" s="6" t="s">
        <v>1538</v>
      </c>
      <c r="H2048">
        <v>3.0000000000000001E-3</v>
      </c>
      <c r="Q2048" t="s">
        <v>9711</v>
      </c>
    </row>
    <row r="2049" spans="1:17" x14ac:dyDescent="0.2">
      <c r="A2049" t="s">
        <v>2686</v>
      </c>
      <c r="B2049" s="6" t="s">
        <v>2687</v>
      </c>
      <c r="C2049">
        <v>3</v>
      </c>
      <c r="D2049" s="6" t="s">
        <v>2688</v>
      </c>
      <c r="E2049" s="8" t="s">
        <v>2727</v>
      </c>
      <c r="F2049" s="6" t="s">
        <v>1538</v>
      </c>
      <c r="H2049">
        <v>3.0000000000000001E-3</v>
      </c>
      <c r="Q2049" t="s">
        <v>9712</v>
      </c>
    </row>
    <row r="2050" spans="1:17" x14ac:dyDescent="0.2">
      <c r="A2050" t="s">
        <v>2686</v>
      </c>
      <c r="B2050" s="6" t="s">
        <v>2687</v>
      </c>
      <c r="C2050">
        <v>3</v>
      </c>
      <c r="D2050" s="6" t="s">
        <v>2688</v>
      </c>
      <c r="E2050" s="8" t="s">
        <v>2728</v>
      </c>
      <c r="F2050" s="6" t="s">
        <v>1538</v>
      </c>
      <c r="H2050">
        <v>1E-3</v>
      </c>
      <c r="Q2050" t="s">
        <v>9713</v>
      </c>
    </row>
    <row r="2051" spans="1:17" x14ac:dyDescent="0.2">
      <c r="A2051" t="s">
        <v>2686</v>
      </c>
      <c r="B2051" s="6" t="s">
        <v>2687</v>
      </c>
      <c r="C2051">
        <v>3</v>
      </c>
      <c r="D2051" s="6" t="s">
        <v>2688</v>
      </c>
      <c r="E2051" s="8" t="s">
        <v>2729</v>
      </c>
      <c r="F2051" s="6" t="s">
        <v>1538</v>
      </c>
      <c r="H2051">
        <v>1.7000000000000001E-2</v>
      </c>
      <c r="M2051">
        <v>5</v>
      </c>
    </row>
    <row r="2052" spans="1:17" x14ac:dyDescent="0.2">
      <c r="A2052" t="s">
        <v>2686</v>
      </c>
      <c r="B2052" s="6" t="s">
        <v>2687</v>
      </c>
      <c r="C2052">
        <v>3</v>
      </c>
      <c r="D2052" s="6" t="s">
        <v>2688</v>
      </c>
      <c r="E2052" s="8" t="s">
        <v>2716</v>
      </c>
      <c r="F2052" s="6" t="s">
        <v>1538</v>
      </c>
      <c r="G2052">
        <v>20</v>
      </c>
    </row>
    <row r="2053" spans="1:17" x14ac:dyDescent="0.2">
      <c r="A2053" t="s">
        <v>2686</v>
      </c>
      <c r="B2053" s="6" t="s">
        <v>2687</v>
      </c>
      <c r="C2053">
        <v>3</v>
      </c>
      <c r="D2053" s="6" t="s">
        <v>2688</v>
      </c>
      <c r="E2053" s="8" t="s">
        <v>2730</v>
      </c>
      <c r="F2053" s="6" t="s">
        <v>3930</v>
      </c>
      <c r="H2053">
        <v>8.9999999999999993E-3</v>
      </c>
      <c r="Q2053" t="s">
        <v>9714</v>
      </c>
    </row>
    <row r="2054" spans="1:17" x14ac:dyDescent="0.2">
      <c r="A2054" t="s">
        <v>2686</v>
      </c>
      <c r="B2054" s="6" t="s">
        <v>2687</v>
      </c>
      <c r="C2054">
        <v>3</v>
      </c>
      <c r="D2054" s="6" t="s">
        <v>2688</v>
      </c>
      <c r="E2054" s="8" t="s">
        <v>2731</v>
      </c>
      <c r="F2054" s="6" t="s">
        <v>3930</v>
      </c>
      <c r="H2054">
        <v>3.0000000000000001E-3</v>
      </c>
      <c r="Q2054" t="s">
        <v>9715</v>
      </c>
    </row>
    <row r="2055" spans="1:17" x14ac:dyDescent="0.2">
      <c r="A2055" t="s">
        <v>2686</v>
      </c>
      <c r="B2055" s="6" t="s">
        <v>2687</v>
      </c>
      <c r="C2055">
        <v>3</v>
      </c>
      <c r="D2055" s="6" t="s">
        <v>2688</v>
      </c>
      <c r="E2055" s="8" t="s">
        <v>2732</v>
      </c>
      <c r="F2055" s="6" t="s">
        <v>3930</v>
      </c>
      <c r="H2055">
        <v>4.0000000000000001E-3</v>
      </c>
      <c r="Q2055" t="s">
        <v>9716</v>
      </c>
    </row>
    <row r="2056" spans="1:17" x14ac:dyDescent="0.2">
      <c r="A2056" t="s">
        <v>2686</v>
      </c>
      <c r="B2056" s="6" t="s">
        <v>2687</v>
      </c>
      <c r="C2056">
        <v>3</v>
      </c>
      <c r="D2056" s="6" t="s">
        <v>2688</v>
      </c>
      <c r="E2056" s="8" t="s">
        <v>2733</v>
      </c>
      <c r="F2056" s="6" t="s">
        <v>3930</v>
      </c>
      <c r="H2056">
        <v>2E-3</v>
      </c>
      <c r="Q2056" t="s">
        <v>9717</v>
      </c>
    </row>
    <row r="2057" spans="1:17" x14ac:dyDescent="0.2">
      <c r="A2057" t="s">
        <v>2686</v>
      </c>
      <c r="B2057" s="6" t="s">
        <v>2687</v>
      </c>
      <c r="C2057">
        <v>3</v>
      </c>
      <c r="D2057" s="6" t="s">
        <v>2688</v>
      </c>
      <c r="E2057" s="8" t="s">
        <v>2734</v>
      </c>
      <c r="F2057" s="6" t="s">
        <v>3930</v>
      </c>
      <c r="H2057">
        <v>8.0000000000000002E-3</v>
      </c>
      <c r="Q2057" t="s">
        <v>9718</v>
      </c>
    </row>
    <row r="2058" spans="1:17" x14ac:dyDescent="0.2">
      <c r="A2058" t="s">
        <v>2686</v>
      </c>
      <c r="B2058" s="6" t="s">
        <v>2687</v>
      </c>
      <c r="C2058">
        <v>3</v>
      </c>
      <c r="D2058" s="6" t="s">
        <v>2688</v>
      </c>
      <c r="E2058" s="8" t="s">
        <v>2735</v>
      </c>
      <c r="F2058" s="6" t="s">
        <v>1425</v>
      </c>
      <c r="H2058">
        <v>6.0000000000000001E-3</v>
      </c>
      <c r="M2058">
        <v>2</v>
      </c>
    </row>
    <row r="2059" spans="1:17" x14ac:dyDescent="0.2">
      <c r="A2059" t="s">
        <v>2686</v>
      </c>
      <c r="B2059" s="6" t="s">
        <v>2687</v>
      </c>
      <c r="C2059">
        <v>3</v>
      </c>
      <c r="D2059" s="6" t="s">
        <v>2688</v>
      </c>
      <c r="E2059" s="8" t="s">
        <v>2736</v>
      </c>
      <c r="F2059" s="6" t="s">
        <v>1425</v>
      </c>
      <c r="H2059">
        <v>1.2E-2</v>
      </c>
      <c r="Q2059" t="s">
        <v>9723</v>
      </c>
    </row>
    <row r="2060" spans="1:17" x14ac:dyDescent="0.2">
      <c r="A2060" t="s">
        <v>2686</v>
      </c>
      <c r="B2060" s="6" t="s">
        <v>2687</v>
      </c>
      <c r="C2060">
        <v>3</v>
      </c>
      <c r="D2060" s="6" t="s">
        <v>2688</v>
      </c>
      <c r="E2060" s="8" t="s">
        <v>2737</v>
      </c>
      <c r="F2060" s="6" t="s">
        <v>1425</v>
      </c>
      <c r="H2060">
        <v>1E-3</v>
      </c>
      <c r="Q2060" t="s">
        <v>9719</v>
      </c>
    </row>
    <row r="2061" spans="1:17" x14ac:dyDescent="0.2">
      <c r="A2061" t="s">
        <v>2686</v>
      </c>
      <c r="B2061" s="6" t="s">
        <v>2687</v>
      </c>
      <c r="C2061">
        <v>3</v>
      </c>
      <c r="D2061" s="6" t="s">
        <v>2688</v>
      </c>
      <c r="E2061" s="8" t="s">
        <v>2738</v>
      </c>
      <c r="F2061" s="6" t="s">
        <v>1425</v>
      </c>
      <c r="H2061">
        <v>6.0000000000000001E-3</v>
      </c>
      <c r="Q2061" t="s">
        <v>9720</v>
      </c>
    </row>
    <row r="2062" spans="1:17" x14ac:dyDescent="0.2">
      <c r="A2062" t="s">
        <v>2686</v>
      </c>
      <c r="B2062" s="6" t="s">
        <v>2687</v>
      </c>
      <c r="C2062">
        <v>3</v>
      </c>
      <c r="D2062" s="6" t="s">
        <v>2688</v>
      </c>
      <c r="E2062" s="8" t="s">
        <v>2739</v>
      </c>
      <c r="F2062" s="6" t="s">
        <v>1425</v>
      </c>
      <c r="H2062">
        <v>8.9999999999999993E-3</v>
      </c>
      <c r="Q2062" t="s">
        <v>9721</v>
      </c>
    </row>
    <row r="2063" spans="1:17" x14ac:dyDescent="0.2">
      <c r="A2063" t="s">
        <v>2686</v>
      </c>
      <c r="B2063" s="6" t="s">
        <v>2687</v>
      </c>
      <c r="C2063">
        <v>3</v>
      </c>
      <c r="D2063" s="6" t="s">
        <v>2688</v>
      </c>
      <c r="E2063" s="8" t="s">
        <v>2740</v>
      </c>
      <c r="F2063" s="6" t="s">
        <v>1425</v>
      </c>
      <c r="H2063">
        <v>3.0000000000000001E-3</v>
      </c>
      <c r="Q2063" t="s">
        <v>9722</v>
      </c>
    </row>
    <row r="2064" spans="1:17" x14ac:dyDescent="0.2">
      <c r="A2064" t="s">
        <v>2686</v>
      </c>
      <c r="B2064" s="6" t="s">
        <v>2687</v>
      </c>
      <c r="C2064">
        <v>3</v>
      </c>
      <c r="D2064" s="6" t="s">
        <v>2688</v>
      </c>
      <c r="E2064" s="8" t="s">
        <v>2741</v>
      </c>
      <c r="F2064" s="6" t="s">
        <v>1425</v>
      </c>
      <c r="H2064">
        <v>4.2999999999999997E-2</v>
      </c>
      <c r="M2064">
        <v>6</v>
      </c>
    </row>
    <row r="2065" spans="1:17" x14ac:dyDescent="0.2">
      <c r="A2065" t="s">
        <v>2686</v>
      </c>
      <c r="B2065" s="6" t="s">
        <v>2687</v>
      </c>
      <c r="C2065">
        <v>3</v>
      </c>
      <c r="D2065" s="6" t="s">
        <v>2688</v>
      </c>
      <c r="E2065" s="8" t="s">
        <v>2742</v>
      </c>
      <c r="F2065" s="6" t="s">
        <v>1389</v>
      </c>
      <c r="H2065">
        <v>2E-3</v>
      </c>
      <c r="Q2065" t="s">
        <v>9728</v>
      </c>
    </row>
    <row r="2066" spans="1:17" x14ac:dyDescent="0.2">
      <c r="A2066" t="s">
        <v>2686</v>
      </c>
      <c r="B2066" s="6" t="s">
        <v>2687</v>
      </c>
      <c r="C2066">
        <v>3</v>
      </c>
      <c r="D2066" s="6" t="s">
        <v>2688</v>
      </c>
      <c r="E2066" s="8" t="s">
        <v>2743</v>
      </c>
      <c r="F2066" s="6" t="s">
        <v>1389</v>
      </c>
      <c r="H2066">
        <v>5.0000000000000001E-3</v>
      </c>
      <c r="Q2066" t="s">
        <v>9730</v>
      </c>
    </row>
    <row r="2067" spans="1:17" x14ac:dyDescent="0.2">
      <c r="A2067" t="s">
        <v>2686</v>
      </c>
      <c r="B2067" s="6" t="s">
        <v>2687</v>
      </c>
      <c r="C2067">
        <v>3</v>
      </c>
      <c r="D2067" s="6" t="s">
        <v>2688</v>
      </c>
      <c r="E2067" s="8" t="s">
        <v>2744</v>
      </c>
      <c r="F2067" s="6" t="s">
        <v>1389</v>
      </c>
      <c r="H2067">
        <v>8.9999999999999993E-3</v>
      </c>
      <c r="Q2067" t="s">
        <v>9729</v>
      </c>
    </row>
    <row r="2068" spans="1:17" x14ac:dyDescent="0.2">
      <c r="A2068" t="s">
        <v>2686</v>
      </c>
      <c r="B2068" s="6" t="s">
        <v>2687</v>
      </c>
      <c r="C2068">
        <v>3</v>
      </c>
      <c r="D2068" s="6" t="s">
        <v>2688</v>
      </c>
      <c r="E2068" s="8" t="s">
        <v>2745</v>
      </c>
      <c r="F2068" s="6" t="s">
        <v>1389</v>
      </c>
      <c r="H2068">
        <v>6.0000000000000001E-3</v>
      </c>
      <c r="Q2068" t="s">
        <v>9731</v>
      </c>
    </row>
    <row r="2069" spans="1:17" x14ac:dyDescent="0.2">
      <c r="A2069" t="s">
        <v>2686</v>
      </c>
      <c r="B2069" s="6" t="s">
        <v>2687</v>
      </c>
      <c r="C2069">
        <v>3</v>
      </c>
      <c r="D2069" s="6" t="s">
        <v>2688</v>
      </c>
      <c r="E2069" s="8" t="s">
        <v>2746</v>
      </c>
      <c r="F2069" s="6" t="s">
        <v>1389</v>
      </c>
      <c r="H2069">
        <v>4.0000000000000001E-3</v>
      </c>
    </row>
    <row r="2070" spans="1:17" x14ac:dyDescent="0.2">
      <c r="A2070" t="s">
        <v>2686</v>
      </c>
      <c r="B2070" s="6" t="s">
        <v>2687</v>
      </c>
      <c r="C2070">
        <v>3</v>
      </c>
      <c r="D2070" s="6" t="s">
        <v>2688</v>
      </c>
      <c r="E2070" s="8" t="s">
        <v>2747</v>
      </c>
      <c r="F2070" s="6" t="s">
        <v>1389</v>
      </c>
      <c r="H2070">
        <v>2.7E-2</v>
      </c>
      <c r="M2070">
        <v>5</v>
      </c>
    </row>
    <row r="2071" spans="1:17" x14ac:dyDescent="0.2">
      <c r="A2071" t="s">
        <v>2686</v>
      </c>
      <c r="B2071" s="6" t="s">
        <v>2687</v>
      </c>
      <c r="C2071">
        <v>3</v>
      </c>
      <c r="D2071" s="6" t="s">
        <v>2688</v>
      </c>
      <c r="E2071" s="8" t="s">
        <v>2716</v>
      </c>
      <c r="F2071" s="6" t="s">
        <v>1389</v>
      </c>
      <c r="H2071">
        <f>0.34-0.261</f>
        <v>7.9000000000000015E-2</v>
      </c>
    </row>
    <row r="2072" spans="1:17" x14ac:dyDescent="0.2">
      <c r="A2072" t="s">
        <v>2686</v>
      </c>
      <c r="B2072" s="6" t="s">
        <v>2687</v>
      </c>
      <c r="C2072">
        <v>3</v>
      </c>
      <c r="D2072" s="6" t="s">
        <v>2688</v>
      </c>
      <c r="E2072" s="8" t="s">
        <v>2748</v>
      </c>
      <c r="F2072" s="6" t="s">
        <v>5930</v>
      </c>
      <c r="G2072" s="6" t="s">
        <v>114</v>
      </c>
      <c r="Q2072" t="s">
        <v>5982</v>
      </c>
    </row>
    <row r="2073" spans="1:17" x14ac:dyDescent="0.2">
      <c r="A2073" t="s">
        <v>2686</v>
      </c>
      <c r="B2073" s="6" t="s">
        <v>2687</v>
      </c>
      <c r="C2073">
        <v>3</v>
      </c>
      <c r="D2073" s="6" t="s">
        <v>2688</v>
      </c>
      <c r="E2073" s="8" t="s">
        <v>2749</v>
      </c>
      <c r="F2073" s="6" t="s">
        <v>5930</v>
      </c>
      <c r="G2073">
        <v>1</v>
      </c>
      <c r="Q2073" t="s">
        <v>5985</v>
      </c>
    </row>
    <row r="2074" spans="1:17" x14ac:dyDescent="0.2">
      <c r="A2074" t="s">
        <v>2686</v>
      </c>
      <c r="B2074" s="6" t="s">
        <v>2687</v>
      </c>
      <c r="C2074">
        <v>3</v>
      </c>
      <c r="D2074" s="6" t="s">
        <v>2688</v>
      </c>
      <c r="E2074" s="8" t="s">
        <v>2750</v>
      </c>
      <c r="F2074" s="6" t="s">
        <v>5930</v>
      </c>
      <c r="G2074" s="6" t="s">
        <v>114</v>
      </c>
      <c r="Q2074" t="s">
        <v>5984</v>
      </c>
    </row>
    <row r="2075" spans="1:17" x14ac:dyDescent="0.2">
      <c r="A2075" t="s">
        <v>2686</v>
      </c>
      <c r="B2075" s="6" t="s">
        <v>2687</v>
      </c>
      <c r="C2075">
        <v>3</v>
      </c>
      <c r="D2075" s="6" t="s">
        <v>2688</v>
      </c>
      <c r="E2075" s="8" t="s">
        <v>2751</v>
      </c>
      <c r="F2075" s="6" t="s">
        <v>5930</v>
      </c>
      <c r="G2075">
        <v>2</v>
      </c>
      <c r="Q2075" t="s">
        <v>5981</v>
      </c>
    </row>
    <row r="2076" spans="1:17" x14ac:dyDescent="0.2">
      <c r="A2076" t="s">
        <v>2686</v>
      </c>
      <c r="B2076" s="6" t="s">
        <v>2687</v>
      </c>
      <c r="C2076">
        <v>3</v>
      </c>
      <c r="D2076" s="6" t="s">
        <v>2688</v>
      </c>
      <c r="E2076" s="8" t="s">
        <v>2752</v>
      </c>
      <c r="F2076" s="6" t="s">
        <v>5930</v>
      </c>
      <c r="H2076">
        <v>2E-3</v>
      </c>
      <c r="Q2076" t="s">
        <v>5983</v>
      </c>
    </row>
    <row r="2077" spans="1:17" x14ac:dyDescent="0.2">
      <c r="A2077" t="s">
        <v>2686</v>
      </c>
      <c r="B2077" s="6" t="s">
        <v>2687</v>
      </c>
      <c r="C2077">
        <v>3</v>
      </c>
      <c r="D2077" s="6" t="s">
        <v>2688</v>
      </c>
      <c r="E2077" s="8" t="s">
        <v>2753</v>
      </c>
      <c r="F2077" s="6" t="s">
        <v>7138</v>
      </c>
      <c r="G2077">
        <v>1</v>
      </c>
      <c r="Q2077" t="s">
        <v>9727</v>
      </c>
    </row>
    <row r="2078" spans="1:17" x14ac:dyDescent="0.2">
      <c r="A2078" t="s">
        <v>2686</v>
      </c>
      <c r="B2078" s="6" t="s">
        <v>2687</v>
      </c>
      <c r="C2078">
        <v>3</v>
      </c>
      <c r="D2078" s="6" t="s">
        <v>2688</v>
      </c>
      <c r="E2078" s="8" t="s">
        <v>2754</v>
      </c>
      <c r="F2078" s="6" t="s">
        <v>106</v>
      </c>
      <c r="G2078">
        <v>1</v>
      </c>
      <c r="M2078">
        <v>4</v>
      </c>
    </row>
    <row r="2079" spans="1:17" x14ac:dyDescent="0.2">
      <c r="A2079" t="s">
        <v>2686</v>
      </c>
      <c r="B2079" s="6" t="s">
        <v>2687</v>
      </c>
      <c r="C2079">
        <v>3</v>
      </c>
      <c r="D2079" s="6" t="s">
        <v>2688</v>
      </c>
      <c r="E2079" s="8" t="s">
        <v>2752</v>
      </c>
      <c r="F2079" s="6" t="s">
        <v>2552</v>
      </c>
      <c r="H2079">
        <v>1.2999999999999999E-2</v>
      </c>
    </row>
    <row r="2080" spans="1:17" x14ac:dyDescent="0.2">
      <c r="A2080" t="s">
        <v>2686</v>
      </c>
      <c r="B2080" s="6" t="s">
        <v>2687</v>
      </c>
      <c r="C2080">
        <v>3</v>
      </c>
      <c r="D2080" s="6" t="s">
        <v>2688</v>
      </c>
      <c r="E2080" s="8" t="s">
        <v>2755</v>
      </c>
      <c r="F2080" s="6" t="s">
        <v>2756</v>
      </c>
      <c r="H2080">
        <v>7.4999999999999997E-2</v>
      </c>
    </row>
    <row r="2081" spans="1:17" x14ac:dyDescent="0.2">
      <c r="A2081" t="s">
        <v>2686</v>
      </c>
      <c r="B2081" s="6" t="s">
        <v>2687</v>
      </c>
      <c r="C2081">
        <v>4</v>
      </c>
      <c r="D2081" s="6" t="s">
        <v>2688</v>
      </c>
      <c r="E2081" s="8" t="s">
        <v>2757</v>
      </c>
      <c r="F2081" s="6" t="s">
        <v>1389</v>
      </c>
      <c r="H2081">
        <v>1E-3</v>
      </c>
      <c r="Q2081" t="s">
        <v>9724</v>
      </c>
    </row>
    <row r="2082" spans="1:17" x14ac:dyDescent="0.2">
      <c r="A2082" t="s">
        <v>2686</v>
      </c>
      <c r="B2082" s="6" t="s">
        <v>2687</v>
      </c>
      <c r="C2082">
        <v>4</v>
      </c>
      <c r="D2082" s="6" t="s">
        <v>2688</v>
      </c>
      <c r="E2082" s="8" t="s">
        <v>2758</v>
      </c>
      <c r="F2082" s="6" t="s">
        <v>1389</v>
      </c>
      <c r="H2082">
        <v>8.0000000000000002E-3</v>
      </c>
      <c r="Q2082" t="s">
        <v>9725</v>
      </c>
    </row>
    <row r="2083" spans="1:17" x14ac:dyDescent="0.2">
      <c r="A2083" t="s">
        <v>2686</v>
      </c>
      <c r="B2083" s="6" t="s">
        <v>2687</v>
      </c>
      <c r="C2083">
        <v>4</v>
      </c>
      <c r="D2083" s="6" t="s">
        <v>2688</v>
      </c>
      <c r="E2083" s="8" t="s">
        <v>2759</v>
      </c>
      <c r="F2083" s="6" t="s">
        <v>1389</v>
      </c>
      <c r="H2083">
        <v>5.0000000000000001E-3</v>
      </c>
      <c r="Q2083" t="s">
        <v>9726</v>
      </c>
    </row>
    <row r="2084" spans="1:17" x14ac:dyDescent="0.2">
      <c r="A2084" t="s">
        <v>2686</v>
      </c>
      <c r="B2084" s="6" t="s">
        <v>2687</v>
      </c>
      <c r="C2084">
        <v>4</v>
      </c>
      <c r="D2084" s="6" t="s">
        <v>2688</v>
      </c>
      <c r="E2084" s="8" t="s">
        <v>2760</v>
      </c>
      <c r="F2084" s="6" t="s">
        <v>1389</v>
      </c>
      <c r="H2084">
        <v>1.7000000000000001E-2</v>
      </c>
      <c r="M2084">
        <v>5</v>
      </c>
    </row>
    <row r="2085" spans="1:17" x14ac:dyDescent="0.2">
      <c r="A2085" t="s">
        <v>2686</v>
      </c>
      <c r="B2085" s="6" t="s">
        <v>2687</v>
      </c>
      <c r="C2085">
        <v>4</v>
      </c>
      <c r="D2085" s="6" t="s">
        <v>2688</v>
      </c>
      <c r="E2085" s="8" t="s">
        <v>2761</v>
      </c>
      <c r="F2085" s="6" t="s">
        <v>1389</v>
      </c>
      <c r="H2085">
        <f>0.713-0.589</f>
        <v>0.124</v>
      </c>
    </row>
    <row r="2086" spans="1:17" x14ac:dyDescent="0.2">
      <c r="A2086" t="s">
        <v>2686</v>
      </c>
      <c r="B2086" s="6" t="s">
        <v>2687</v>
      </c>
      <c r="C2086">
        <v>4</v>
      </c>
      <c r="D2086" s="6" t="s">
        <v>2688</v>
      </c>
      <c r="E2086" s="8" t="s">
        <v>2762</v>
      </c>
      <c r="F2086" s="6" t="s">
        <v>1389</v>
      </c>
      <c r="H2086">
        <v>1.2E-2</v>
      </c>
      <c r="Q2086" t="s">
        <v>9732</v>
      </c>
    </row>
    <row r="2087" spans="1:17" x14ac:dyDescent="0.2">
      <c r="A2087" t="s">
        <v>2686</v>
      </c>
      <c r="B2087" s="6" t="s">
        <v>2687</v>
      </c>
      <c r="C2087">
        <v>4</v>
      </c>
      <c r="D2087" s="6" t="s">
        <v>2688</v>
      </c>
      <c r="E2087" s="8" t="s">
        <v>2763</v>
      </c>
      <c r="F2087" s="6" t="s">
        <v>1389</v>
      </c>
      <c r="H2087">
        <v>6.0000000000000001E-3</v>
      </c>
      <c r="Q2087" t="s">
        <v>9733</v>
      </c>
    </row>
    <row r="2088" spans="1:17" x14ac:dyDescent="0.2">
      <c r="A2088" t="s">
        <v>2686</v>
      </c>
      <c r="B2088" s="6" t="s">
        <v>2687</v>
      </c>
      <c r="C2088">
        <v>4</v>
      </c>
      <c r="D2088" s="6" t="s">
        <v>2688</v>
      </c>
      <c r="E2088" s="8" t="s">
        <v>2761</v>
      </c>
      <c r="F2088" s="6" t="s">
        <v>1389</v>
      </c>
      <c r="G2088">
        <v>194</v>
      </c>
    </row>
    <row r="2089" spans="1:17" x14ac:dyDescent="0.2">
      <c r="A2089" t="s">
        <v>2686</v>
      </c>
      <c r="B2089" s="6" t="s">
        <v>2687</v>
      </c>
      <c r="C2089">
        <v>4</v>
      </c>
      <c r="D2089" s="6" t="s">
        <v>2688</v>
      </c>
      <c r="E2089" s="8" t="s">
        <v>2764</v>
      </c>
      <c r="F2089" s="6" t="s">
        <v>1264</v>
      </c>
      <c r="H2089">
        <f>2.535-0.311</f>
        <v>2.2240000000000002</v>
      </c>
      <c r="O2089" t="s">
        <v>2765</v>
      </c>
    </row>
    <row r="2090" spans="1:17" x14ac:dyDescent="0.2">
      <c r="A2090" t="s">
        <v>2686</v>
      </c>
      <c r="B2090" s="6" t="s">
        <v>2687</v>
      </c>
      <c r="C2090">
        <v>4</v>
      </c>
      <c r="D2090" s="6" t="s">
        <v>2688</v>
      </c>
      <c r="E2090" s="8" t="s">
        <v>2766</v>
      </c>
      <c r="F2090" s="6" t="s">
        <v>118</v>
      </c>
      <c r="H2090">
        <v>3.0000000000000001E-3</v>
      </c>
      <c r="O2090" t="s">
        <v>2767</v>
      </c>
    </row>
    <row r="2091" spans="1:17" x14ac:dyDescent="0.2">
      <c r="A2091" t="s">
        <v>2686</v>
      </c>
      <c r="B2091" s="6" t="s">
        <v>2687</v>
      </c>
      <c r="C2091">
        <v>4</v>
      </c>
      <c r="D2091" s="6" t="s">
        <v>2688</v>
      </c>
      <c r="E2091" s="8" t="s">
        <v>2768</v>
      </c>
      <c r="F2091" s="6" t="s">
        <v>2769</v>
      </c>
      <c r="G2091">
        <v>95</v>
      </c>
    </row>
    <row r="2092" spans="1:17" x14ac:dyDescent="0.2">
      <c r="A2092" t="s">
        <v>2686</v>
      </c>
      <c r="B2092" s="6" t="s">
        <v>2687</v>
      </c>
      <c r="C2092">
        <v>4</v>
      </c>
      <c r="D2092" s="6" t="s">
        <v>2688</v>
      </c>
      <c r="E2092" s="8" t="s">
        <v>2770</v>
      </c>
      <c r="F2092" s="6" t="s">
        <v>2771</v>
      </c>
      <c r="H2092">
        <f>0.626-0.587</f>
        <v>3.9000000000000035E-2</v>
      </c>
    </row>
    <row r="2093" spans="1:17" x14ac:dyDescent="0.2">
      <c r="A2093" t="s">
        <v>2686</v>
      </c>
      <c r="B2093" s="6" t="s">
        <v>2687</v>
      </c>
      <c r="C2093">
        <v>4</v>
      </c>
      <c r="D2093" s="6" t="s">
        <v>2688</v>
      </c>
      <c r="E2093" s="8" t="s">
        <v>2772</v>
      </c>
      <c r="F2093" s="6" t="s">
        <v>5930</v>
      </c>
      <c r="H2093">
        <v>3.2000000000000001E-2</v>
      </c>
      <c r="Q2093" t="s">
        <v>5979</v>
      </c>
    </row>
    <row r="2094" spans="1:17" x14ac:dyDescent="0.2">
      <c r="A2094" t="s">
        <v>2686</v>
      </c>
      <c r="B2094" s="6" t="s">
        <v>2687</v>
      </c>
      <c r="C2094">
        <v>4</v>
      </c>
      <c r="D2094" s="6" t="s">
        <v>2688</v>
      </c>
      <c r="E2094" s="8" t="s">
        <v>2773</v>
      </c>
      <c r="F2094" s="6" t="s">
        <v>5930</v>
      </c>
      <c r="G2094">
        <v>1</v>
      </c>
      <c r="Q2094" t="s">
        <v>5980</v>
      </c>
    </row>
    <row r="2095" spans="1:17" x14ac:dyDescent="0.2">
      <c r="A2095" t="s">
        <v>2686</v>
      </c>
      <c r="B2095" s="6" t="s">
        <v>2687</v>
      </c>
      <c r="C2095">
        <v>4</v>
      </c>
      <c r="D2095" s="6" t="s">
        <v>2688</v>
      </c>
      <c r="E2095" s="8" t="s">
        <v>9734</v>
      </c>
      <c r="F2095" s="6" t="s">
        <v>1538</v>
      </c>
      <c r="H2095">
        <v>2E-3</v>
      </c>
      <c r="Q2095" t="s">
        <v>9735</v>
      </c>
    </row>
    <row r="2096" spans="1:17" x14ac:dyDescent="0.2">
      <c r="A2096" t="s">
        <v>2686</v>
      </c>
      <c r="B2096" s="6" t="s">
        <v>2687</v>
      </c>
      <c r="C2096">
        <v>4</v>
      </c>
      <c r="D2096" s="6" t="s">
        <v>2688</v>
      </c>
      <c r="E2096" s="8" t="s">
        <v>2774</v>
      </c>
      <c r="F2096" s="6" t="s">
        <v>3930</v>
      </c>
      <c r="H2096">
        <v>3.0000000000000001E-3</v>
      </c>
      <c r="Q2096" t="s">
        <v>9736</v>
      </c>
    </row>
    <row r="2097" spans="1:17" x14ac:dyDescent="0.2">
      <c r="A2097" t="s">
        <v>2686</v>
      </c>
      <c r="B2097" s="6" t="s">
        <v>2687</v>
      </c>
      <c r="C2097">
        <v>4</v>
      </c>
      <c r="D2097" s="6" t="s">
        <v>2688</v>
      </c>
      <c r="E2097" s="8" t="s">
        <v>2775</v>
      </c>
      <c r="F2097" s="6" t="s">
        <v>3930</v>
      </c>
      <c r="H2097">
        <v>4.0000000000000001E-3</v>
      </c>
      <c r="Q2097" t="s">
        <v>9737</v>
      </c>
    </row>
    <row r="2098" spans="1:17" x14ac:dyDescent="0.2">
      <c r="A2098" t="s">
        <v>2686</v>
      </c>
      <c r="B2098" s="6" t="s">
        <v>2687</v>
      </c>
      <c r="C2098">
        <v>4</v>
      </c>
      <c r="D2098" s="6" t="s">
        <v>2688</v>
      </c>
      <c r="E2098" s="8" t="s">
        <v>2776</v>
      </c>
      <c r="F2098" s="6" t="s">
        <v>1425</v>
      </c>
      <c r="H2098">
        <v>4.0000000000000001E-3</v>
      </c>
      <c r="Q2098" t="s">
        <v>9740</v>
      </c>
    </row>
    <row r="2099" spans="1:17" x14ac:dyDescent="0.2">
      <c r="A2099" t="s">
        <v>2686</v>
      </c>
      <c r="B2099" s="6" t="s">
        <v>2687</v>
      </c>
      <c r="C2099">
        <v>4</v>
      </c>
      <c r="D2099" s="6" t="s">
        <v>2688</v>
      </c>
      <c r="E2099" s="8" t="s">
        <v>2777</v>
      </c>
      <c r="F2099" s="6" t="s">
        <v>7138</v>
      </c>
      <c r="H2099">
        <v>4.0000000000000001E-3</v>
      </c>
      <c r="M2099">
        <v>4</v>
      </c>
      <c r="Q2099" t="s">
        <v>9741</v>
      </c>
    </row>
    <row r="2100" spans="1:17" x14ac:dyDescent="0.2">
      <c r="A2100" t="s">
        <v>2686</v>
      </c>
      <c r="B2100" s="6" t="s">
        <v>2687</v>
      </c>
      <c r="C2100">
        <v>4</v>
      </c>
      <c r="D2100" s="6" t="s">
        <v>2688</v>
      </c>
      <c r="E2100" s="8" t="s">
        <v>2778</v>
      </c>
      <c r="F2100" t="s">
        <v>8184</v>
      </c>
      <c r="H2100">
        <v>5.0000000000000001E-3</v>
      </c>
      <c r="O2100" t="s">
        <v>9738</v>
      </c>
      <c r="Q2100" t="s">
        <v>9739</v>
      </c>
    </row>
    <row r="2101" spans="1:17" x14ac:dyDescent="0.2">
      <c r="A2101" t="s">
        <v>2686</v>
      </c>
      <c r="B2101" s="6" t="s">
        <v>2687</v>
      </c>
      <c r="C2101">
        <v>5</v>
      </c>
      <c r="D2101" s="6" t="s">
        <v>2688</v>
      </c>
      <c r="E2101" s="8" t="s">
        <v>2780</v>
      </c>
      <c r="F2101" s="6" t="s">
        <v>1264</v>
      </c>
      <c r="H2101">
        <f>3.9-0.424</f>
        <v>3.476</v>
      </c>
      <c r="O2101" t="s">
        <v>2781</v>
      </c>
    </row>
    <row r="2102" spans="1:17" x14ac:dyDescent="0.2">
      <c r="A2102" t="s">
        <v>2686</v>
      </c>
      <c r="B2102" s="6" t="s">
        <v>2687</v>
      </c>
      <c r="C2102">
        <v>5</v>
      </c>
      <c r="D2102" s="6" t="s">
        <v>2688</v>
      </c>
      <c r="E2102" s="8" t="s">
        <v>2782</v>
      </c>
      <c r="F2102" s="6" t="s">
        <v>1538</v>
      </c>
      <c r="H2102">
        <v>0.03</v>
      </c>
      <c r="Q2102" t="s">
        <v>9743</v>
      </c>
    </row>
    <row r="2103" spans="1:17" x14ac:dyDescent="0.2">
      <c r="A2103" t="s">
        <v>2686</v>
      </c>
      <c r="B2103" s="6" t="s">
        <v>2687</v>
      </c>
      <c r="C2103">
        <v>5</v>
      </c>
      <c r="D2103" s="6" t="s">
        <v>2688</v>
      </c>
      <c r="E2103" s="8" t="s">
        <v>2783</v>
      </c>
      <c r="F2103" s="6" t="s">
        <v>1425</v>
      </c>
      <c r="H2103">
        <v>5.0000000000000001E-3</v>
      </c>
      <c r="O2103" t="s">
        <v>6233</v>
      </c>
      <c r="Q2103" t="s">
        <v>9742</v>
      </c>
    </row>
    <row r="2104" spans="1:17" x14ac:dyDescent="0.2">
      <c r="A2104" t="s">
        <v>2686</v>
      </c>
      <c r="B2104" s="6" t="s">
        <v>2687</v>
      </c>
      <c r="C2104">
        <v>5</v>
      </c>
      <c r="D2104" s="6" t="s">
        <v>2688</v>
      </c>
      <c r="E2104" s="8" t="s">
        <v>2785</v>
      </c>
      <c r="F2104" s="6" t="s">
        <v>1389</v>
      </c>
      <c r="H2104">
        <v>6.0000000000000001E-3</v>
      </c>
      <c r="Q2104" t="s">
        <v>9744</v>
      </c>
    </row>
    <row r="2105" spans="1:17" x14ac:dyDescent="0.2">
      <c r="A2105" t="s">
        <v>2686</v>
      </c>
      <c r="B2105" s="6" t="s">
        <v>2687</v>
      </c>
      <c r="C2105">
        <v>5</v>
      </c>
      <c r="D2105" s="6" t="s">
        <v>2688</v>
      </c>
      <c r="E2105" s="8" t="s">
        <v>2786</v>
      </c>
      <c r="F2105" s="6" t="s">
        <v>1389</v>
      </c>
      <c r="H2105">
        <v>3.0000000000000001E-3</v>
      </c>
      <c r="Q2105" t="s">
        <v>9745</v>
      </c>
    </row>
    <row r="2106" spans="1:17" x14ac:dyDescent="0.2">
      <c r="A2106" t="s">
        <v>2686</v>
      </c>
      <c r="B2106" s="6" t="s">
        <v>2687</v>
      </c>
      <c r="C2106">
        <v>5</v>
      </c>
      <c r="D2106" s="6" t="s">
        <v>2688</v>
      </c>
      <c r="E2106" s="8" t="s">
        <v>2787</v>
      </c>
      <c r="F2106" s="6" t="s">
        <v>1389</v>
      </c>
      <c r="H2106">
        <v>2E-3</v>
      </c>
      <c r="Q2106" t="s">
        <v>9746</v>
      </c>
    </row>
    <row r="2107" spans="1:17" x14ac:dyDescent="0.2">
      <c r="A2107" t="s">
        <v>2686</v>
      </c>
      <c r="B2107" s="6" t="s">
        <v>2687</v>
      </c>
      <c r="C2107">
        <v>5</v>
      </c>
      <c r="D2107" s="6" t="s">
        <v>2688</v>
      </c>
      <c r="E2107" s="8" t="s">
        <v>2788</v>
      </c>
      <c r="F2107" s="6" t="s">
        <v>2789</v>
      </c>
      <c r="H2107">
        <v>4.1000000000000002E-2</v>
      </c>
    </row>
    <row r="2108" spans="1:17" x14ac:dyDescent="0.2">
      <c r="A2108" t="s">
        <v>2686</v>
      </c>
      <c r="B2108" s="6" t="s">
        <v>2687</v>
      </c>
      <c r="C2108">
        <v>5</v>
      </c>
      <c r="D2108" s="6" t="s">
        <v>2688</v>
      </c>
      <c r="E2108" s="8" t="s">
        <v>2790</v>
      </c>
      <c r="F2108" s="6" t="s">
        <v>2791</v>
      </c>
      <c r="H2108">
        <f>0.575-0.4</f>
        <v>0.17499999999999993</v>
      </c>
    </row>
    <row r="2109" spans="1:17" x14ac:dyDescent="0.2">
      <c r="A2109" t="s">
        <v>2686</v>
      </c>
      <c r="B2109" s="6" t="s">
        <v>2687</v>
      </c>
      <c r="C2109">
        <v>6</v>
      </c>
      <c r="D2109" s="6" t="s">
        <v>2688</v>
      </c>
      <c r="E2109" s="8" t="s">
        <v>2792</v>
      </c>
      <c r="F2109" s="6" t="s">
        <v>1264</v>
      </c>
      <c r="H2109">
        <f>6.8-0.345</f>
        <v>6.4550000000000001</v>
      </c>
      <c r="O2109" t="s">
        <v>2793</v>
      </c>
    </row>
    <row r="2110" spans="1:17" x14ac:dyDescent="0.2">
      <c r="A2110" t="s">
        <v>2686</v>
      </c>
      <c r="B2110" s="6" t="s">
        <v>2687</v>
      </c>
      <c r="C2110">
        <v>6</v>
      </c>
      <c r="D2110" s="6" t="s">
        <v>2688</v>
      </c>
      <c r="E2110" s="8" t="s">
        <v>2794</v>
      </c>
      <c r="F2110" s="6" t="s">
        <v>5930</v>
      </c>
      <c r="H2110">
        <v>8.0000000000000002E-3</v>
      </c>
      <c r="Q2110" t="s">
        <v>5975</v>
      </c>
    </row>
    <row r="2111" spans="1:17" x14ac:dyDescent="0.2">
      <c r="A2111" t="s">
        <v>2686</v>
      </c>
      <c r="B2111" s="6" t="s">
        <v>2687</v>
      </c>
      <c r="C2111">
        <v>6</v>
      </c>
      <c r="D2111" s="6" t="s">
        <v>2688</v>
      </c>
      <c r="E2111" s="8" t="s">
        <v>2795</v>
      </c>
      <c r="F2111" s="6" t="s">
        <v>5930</v>
      </c>
      <c r="H2111">
        <v>4.0000000000000001E-3</v>
      </c>
      <c r="Q2111" t="s">
        <v>5976</v>
      </c>
    </row>
    <row r="2112" spans="1:17" x14ac:dyDescent="0.2">
      <c r="A2112" t="s">
        <v>2686</v>
      </c>
      <c r="B2112" s="6" t="s">
        <v>2687</v>
      </c>
      <c r="C2112">
        <v>6</v>
      </c>
      <c r="D2112" s="6" t="s">
        <v>2688</v>
      </c>
      <c r="E2112" s="8" t="s">
        <v>2796</v>
      </c>
      <c r="F2112" s="6" t="s">
        <v>5930</v>
      </c>
      <c r="G2112">
        <v>2</v>
      </c>
      <c r="Q2112" t="s">
        <v>5977</v>
      </c>
    </row>
    <row r="2113" spans="1:17" x14ac:dyDescent="0.2">
      <c r="A2113" t="s">
        <v>2686</v>
      </c>
      <c r="B2113" s="6" t="s">
        <v>2687</v>
      </c>
      <c r="C2113">
        <v>6</v>
      </c>
      <c r="D2113" s="6" t="s">
        <v>2688</v>
      </c>
      <c r="E2113" s="8" t="s">
        <v>2797</v>
      </c>
      <c r="F2113" s="6" t="s">
        <v>5930</v>
      </c>
      <c r="G2113">
        <v>1</v>
      </c>
      <c r="Q2113" t="s">
        <v>5978</v>
      </c>
    </row>
    <row r="2114" spans="1:17" x14ac:dyDescent="0.2">
      <c r="A2114" t="s">
        <v>2686</v>
      </c>
      <c r="B2114" s="6" t="s">
        <v>2687</v>
      </c>
      <c r="C2114">
        <v>6</v>
      </c>
      <c r="D2114" s="6" t="s">
        <v>2688</v>
      </c>
      <c r="E2114" s="8" t="s">
        <v>2798</v>
      </c>
      <c r="F2114" s="6" t="s">
        <v>1538</v>
      </c>
      <c r="H2114">
        <v>1.4999999999999999E-2</v>
      </c>
      <c r="Q2114" t="s">
        <v>9747</v>
      </c>
    </row>
    <row r="2115" spans="1:17" x14ac:dyDescent="0.2">
      <c r="A2115" t="s">
        <v>2686</v>
      </c>
      <c r="B2115" s="6" t="s">
        <v>2687</v>
      </c>
      <c r="C2115">
        <v>6</v>
      </c>
      <c r="D2115" s="6" t="s">
        <v>2688</v>
      </c>
      <c r="E2115" s="8" t="s">
        <v>2799</v>
      </c>
      <c r="F2115" s="6" t="s">
        <v>1538</v>
      </c>
      <c r="H2115">
        <v>1.2E-2</v>
      </c>
      <c r="Q2115" t="s">
        <v>9748</v>
      </c>
    </row>
    <row r="2116" spans="1:17" x14ac:dyDescent="0.2">
      <c r="A2116" t="s">
        <v>2686</v>
      </c>
      <c r="B2116" s="6" t="s">
        <v>2687</v>
      </c>
      <c r="C2116">
        <v>6</v>
      </c>
      <c r="D2116" s="6" t="s">
        <v>2688</v>
      </c>
      <c r="E2116" s="8" t="s">
        <v>2800</v>
      </c>
      <c r="F2116" s="6" t="s">
        <v>1538</v>
      </c>
      <c r="H2116">
        <v>5.0000000000000001E-3</v>
      </c>
      <c r="Q2116" t="s">
        <v>9749</v>
      </c>
    </row>
    <row r="2117" spans="1:17" x14ac:dyDescent="0.2">
      <c r="A2117" t="s">
        <v>2686</v>
      </c>
      <c r="B2117" s="6" t="s">
        <v>2687</v>
      </c>
      <c r="C2117">
        <v>6</v>
      </c>
      <c r="D2117" s="6" t="s">
        <v>2688</v>
      </c>
      <c r="E2117" s="8" t="s">
        <v>2801</v>
      </c>
      <c r="F2117" s="6" t="s">
        <v>1538</v>
      </c>
      <c r="H2117">
        <v>2E-3</v>
      </c>
      <c r="Q2117" t="s">
        <v>9750</v>
      </c>
    </row>
    <row r="2118" spans="1:17" x14ac:dyDescent="0.2">
      <c r="A2118" t="s">
        <v>2686</v>
      </c>
      <c r="B2118" s="6" t="s">
        <v>2687</v>
      </c>
      <c r="C2118">
        <v>6</v>
      </c>
      <c r="D2118" s="6" t="s">
        <v>2688</v>
      </c>
      <c r="E2118" s="8" t="s">
        <v>2802</v>
      </c>
      <c r="F2118" s="6" t="s">
        <v>1538</v>
      </c>
      <c r="H2118">
        <v>1E-3</v>
      </c>
      <c r="Q2118" t="s">
        <v>9751</v>
      </c>
    </row>
    <row r="2119" spans="1:17" x14ac:dyDescent="0.2">
      <c r="A2119" t="s">
        <v>2686</v>
      </c>
      <c r="B2119" s="6" t="s">
        <v>2687</v>
      </c>
      <c r="C2119">
        <v>6</v>
      </c>
      <c r="D2119" s="6" t="s">
        <v>2688</v>
      </c>
      <c r="E2119" s="8" t="s">
        <v>2803</v>
      </c>
      <c r="F2119" s="6" t="s">
        <v>1389</v>
      </c>
      <c r="H2119">
        <v>5.0000000000000001E-3</v>
      </c>
      <c r="Q2119" t="s">
        <v>9752</v>
      </c>
    </row>
    <row r="2120" spans="1:17" x14ac:dyDescent="0.2">
      <c r="A2120" t="s">
        <v>2686</v>
      </c>
      <c r="B2120" s="6" t="s">
        <v>2687</v>
      </c>
      <c r="C2120">
        <v>6</v>
      </c>
      <c r="D2120" s="6" t="s">
        <v>2688</v>
      </c>
      <c r="E2120" s="8" t="s">
        <v>2804</v>
      </c>
      <c r="F2120" s="6" t="s">
        <v>1389</v>
      </c>
      <c r="H2120">
        <v>4.0000000000000001E-3</v>
      </c>
      <c r="Q2120" t="s">
        <v>9753</v>
      </c>
    </row>
    <row r="2121" spans="1:17" x14ac:dyDescent="0.2">
      <c r="A2121" t="s">
        <v>2686</v>
      </c>
      <c r="B2121" s="6" t="s">
        <v>2687</v>
      </c>
      <c r="C2121">
        <v>6</v>
      </c>
      <c r="D2121" s="6" t="s">
        <v>2688</v>
      </c>
      <c r="E2121" s="8" t="s">
        <v>2805</v>
      </c>
      <c r="F2121" s="6" t="s">
        <v>1389</v>
      </c>
      <c r="G2121" t="s">
        <v>114</v>
      </c>
      <c r="Q2121" t="s">
        <v>9754</v>
      </c>
    </row>
    <row r="2122" spans="1:17" x14ac:dyDescent="0.2">
      <c r="A2122" t="s">
        <v>2686</v>
      </c>
      <c r="B2122" s="6" t="s">
        <v>2687</v>
      </c>
      <c r="C2122">
        <v>6</v>
      </c>
      <c r="D2122" s="6" t="s">
        <v>2688</v>
      </c>
      <c r="E2122" s="8" t="s">
        <v>2806</v>
      </c>
      <c r="F2122" s="6" t="s">
        <v>1425</v>
      </c>
      <c r="H2122">
        <v>3.0000000000000001E-3</v>
      </c>
      <c r="O2122" t="s">
        <v>6233</v>
      </c>
      <c r="Q2122" t="s">
        <v>9755</v>
      </c>
    </row>
    <row r="2123" spans="1:17" x14ac:dyDescent="0.2">
      <c r="A2123" t="s">
        <v>2686</v>
      </c>
      <c r="B2123" s="6" t="s">
        <v>2687</v>
      </c>
      <c r="C2123">
        <v>6</v>
      </c>
      <c r="D2123" s="6" t="s">
        <v>2688</v>
      </c>
      <c r="E2123" s="8" t="s">
        <v>2807</v>
      </c>
      <c r="F2123" s="6" t="s">
        <v>1425</v>
      </c>
      <c r="H2123">
        <v>6.0000000000000001E-3</v>
      </c>
      <c r="O2123" t="s">
        <v>6233</v>
      </c>
      <c r="Q2123" t="s">
        <v>9756</v>
      </c>
    </row>
    <row r="2124" spans="1:17" x14ac:dyDescent="0.2">
      <c r="A2124" t="s">
        <v>2686</v>
      </c>
      <c r="B2124" s="6" t="s">
        <v>2687</v>
      </c>
      <c r="C2124">
        <v>6</v>
      </c>
      <c r="D2124" s="6" t="s">
        <v>2688</v>
      </c>
      <c r="E2124" s="8" t="s">
        <v>2808</v>
      </c>
      <c r="F2124" s="6" t="s">
        <v>1538</v>
      </c>
      <c r="G2124">
        <v>2</v>
      </c>
      <c r="Q2124" t="s">
        <v>9757</v>
      </c>
    </row>
    <row r="2125" spans="1:17" x14ac:dyDescent="0.2">
      <c r="A2125" t="s">
        <v>2686</v>
      </c>
      <c r="B2125" s="6" t="s">
        <v>2687</v>
      </c>
      <c r="C2125">
        <v>6</v>
      </c>
      <c r="D2125" s="6" t="s">
        <v>2688</v>
      </c>
      <c r="E2125" s="8" t="s">
        <v>2809</v>
      </c>
      <c r="F2125" s="6" t="s">
        <v>1538</v>
      </c>
      <c r="H2125">
        <v>1E-3</v>
      </c>
      <c r="Q2125" t="s">
        <v>9758</v>
      </c>
    </row>
    <row r="2126" spans="1:17" x14ac:dyDescent="0.2">
      <c r="A2126" t="s">
        <v>2686</v>
      </c>
      <c r="B2126" s="6" t="s">
        <v>2687</v>
      </c>
      <c r="C2126">
        <v>6</v>
      </c>
      <c r="D2126" s="6" t="s">
        <v>2688</v>
      </c>
      <c r="E2126" s="8" t="s">
        <v>2810</v>
      </c>
      <c r="F2126" s="6" t="s">
        <v>1538</v>
      </c>
      <c r="H2126">
        <v>2E-3</v>
      </c>
      <c r="Q2126" t="s">
        <v>9759</v>
      </c>
    </row>
    <row r="2127" spans="1:17" x14ac:dyDescent="0.2">
      <c r="A2127" t="s">
        <v>2686</v>
      </c>
      <c r="B2127" s="6" t="s">
        <v>2687</v>
      </c>
      <c r="C2127">
        <v>6</v>
      </c>
      <c r="D2127" s="6" t="s">
        <v>2688</v>
      </c>
      <c r="E2127" s="8" t="s">
        <v>2811</v>
      </c>
      <c r="F2127" s="6" t="s">
        <v>6239</v>
      </c>
      <c r="H2127">
        <v>1E-3</v>
      </c>
      <c r="Q2127" t="s">
        <v>9760</v>
      </c>
    </row>
    <row r="2128" spans="1:17" x14ac:dyDescent="0.2">
      <c r="A2128" t="s">
        <v>2686</v>
      </c>
      <c r="B2128" s="6" t="s">
        <v>2687</v>
      </c>
      <c r="C2128">
        <v>6</v>
      </c>
      <c r="D2128" s="6" t="s">
        <v>2688</v>
      </c>
      <c r="E2128" s="8" t="s">
        <v>2812</v>
      </c>
      <c r="F2128" s="6" t="s">
        <v>6239</v>
      </c>
      <c r="H2128">
        <v>1E-3</v>
      </c>
      <c r="Q2128" t="s">
        <v>9761</v>
      </c>
    </row>
    <row r="2129" spans="1:17" x14ac:dyDescent="0.2">
      <c r="A2129" t="s">
        <v>2686</v>
      </c>
      <c r="B2129" s="6" t="s">
        <v>2687</v>
      </c>
      <c r="C2129">
        <v>6</v>
      </c>
      <c r="D2129" s="6" t="s">
        <v>2688</v>
      </c>
      <c r="E2129" s="8" t="s">
        <v>2813</v>
      </c>
      <c r="F2129" s="6" t="s">
        <v>1538</v>
      </c>
      <c r="H2129">
        <v>3.0000000000000001E-3</v>
      </c>
      <c r="Q2129" t="s">
        <v>9762</v>
      </c>
    </row>
    <row r="2130" spans="1:17" x14ac:dyDescent="0.2">
      <c r="A2130" t="s">
        <v>2686</v>
      </c>
      <c r="B2130" s="6" t="s">
        <v>2687</v>
      </c>
      <c r="C2130">
        <v>6</v>
      </c>
      <c r="D2130" s="6" t="s">
        <v>2688</v>
      </c>
      <c r="E2130" s="8" t="s">
        <v>2814</v>
      </c>
      <c r="F2130" s="6" t="s">
        <v>1459</v>
      </c>
      <c r="H2130">
        <f>2-0.311</f>
        <v>1.6890000000000001</v>
      </c>
      <c r="O2130" t="s">
        <v>2815</v>
      </c>
    </row>
    <row r="2131" spans="1:17" x14ac:dyDescent="0.2">
      <c r="A2131" t="s">
        <v>2686</v>
      </c>
      <c r="B2131" s="6" t="s">
        <v>2687</v>
      </c>
      <c r="C2131">
        <v>6</v>
      </c>
      <c r="D2131" s="6" t="s">
        <v>2688</v>
      </c>
      <c r="E2131" s="8" t="s">
        <v>2816</v>
      </c>
      <c r="F2131" s="6" t="s">
        <v>2218</v>
      </c>
      <c r="H2131">
        <v>2.5000000000000001E-2</v>
      </c>
    </row>
    <row r="2132" spans="1:17" x14ac:dyDescent="0.2">
      <c r="A2132" t="s">
        <v>2686</v>
      </c>
      <c r="B2132" s="6" t="s">
        <v>2687</v>
      </c>
      <c r="C2132">
        <v>6</v>
      </c>
      <c r="D2132" s="6" t="s">
        <v>2688</v>
      </c>
      <c r="E2132" s="8" t="s">
        <v>2817</v>
      </c>
      <c r="F2132" s="6" t="s">
        <v>10610</v>
      </c>
      <c r="H2132">
        <v>2.1000000000000001E-2</v>
      </c>
      <c r="O2132" t="s">
        <v>9763</v>
      </c>
      <c r="Q2132" t="s">
        <v>9764</v>
      </c>
    </row>
    <row r="2133" spans="1:17" x14ac:dyDescent="0.2">
      <c r="A2133" t="s">
        <v>2686</v>
      </c>
      <c r="B2133" s="6" t="s">
        <v>2687</v>
      </c>
      <c r="C2133">
        <v>5</v>
      </c>
      <c r="D2133" s="6" t="s">
        <v>2688</v>
      </c>
      <c r="E2133" s="8" t="s">
        <v>2819</v>
      </c>
      <c r="F2133" s="6" t="s">
        <v>6239</v>
      </c>
      <c r="G2133" t="s">
        <v>114</v>
      </c>
      <c r="O2133" t="s">
        <v>2820</v>
      </c>
      <c r="Q2133" t="s">
        <v>9766</v>
      </c>
    </row>
    <row r="2134" spans="1:17" x14ac:dyDescent="0.2">
      <c r="A2134" t="s">
        <v>2686</v>
      </c>
      <c r="B2134" s="6" t="s">
        <v>2687</v>
      </c>
      <c r="C2134">
        <v>5</v>
      </c>
      <c r="D2134" s="6" t="s">
        <v>2688</v>
      </c>
      <c r="E2134" s="8" t="s">
        <v>2821</v>
      </c>
      <c r="F2134" s="6" t="s">
        <v>6239</v>
      </c>
      <c r="H2134">
        <v>1E-3</v>
      </c>
      <c r="O2134" t="s">
        <v>2820</v>
      </c>
      <c r="Q2134" t="s">
        <v>9765</v>
      </c>
    </row>
    <row r="2135" spans="1:17" x14ac:dyDescent="0.2">
      <c r="A2135" t="s">
        <v>2686</v>
      </c>
      <c r="B2135" s="6" t="s">
        <v>2687</v>
      </c>
      <c r="C2135">
        <v>6</v>
      </c>
      <c r="D2135" s="6" t="s">
        <v>2688</v>
      </c>
      <c r="E2135" s="8" t="s">
        <v>2829</v>
      </c>
      <c r="F2135" s="6" t="s">
        <v>8624</v>
      </c>
      <c r="G2135" s="6" t="s">
        <v>114</v>
      </c>
      <c r="O2135" t="s">
        <v>2834</v>
      </c>
      <c r="Q2135" t="s">
        <v>9767</v>
      </c>
    </row>
    <row r="2136" spans="1:17" x14ac:dyDescent="0.2">
      <c r="A2136" t="s">
        <v>2686</v>
      </c>
      <c r="B2136" s="6" t="s">
        <v>2687</v>
      </c>
      <c r="C2136">
        <v>6</v>
      </c>
      <c r="D2136" s="6" t="s">
        <v>2688</v>
      </c>
      <c r="E2136" s="8" t="s">
        <v>2830</v>
      </c>
      <c r="F2136" s="6" t="s">
        <v>6239</v>
      </c>
      <c r="H2136">
        <v>1E-3</v>
      </c>
      <c r="Q2136" t="s">
        <v>9768</v>
      </c>
    </row>
    <row r="2137" spans="1:17" x14ac:dyDescent="0.2">
      <c r="A2137" t="s">
        <v>2686</v>
      </c>
      <c r="B2137" s="6" t="s">
        <v>2687</v>
      </c>
      <c r="C2137">
        <v>6</v>
      </c>
      <c r="D2137" s="6" t="s">
        <v>2688</v>
      </c>
      <c r="E2137" s="8" t="s">
        <v>2831</v>
      </c>
      <c r="F2137" s="6" t="s">
        <v>6239</v>
      </c>
      <c r="H2137">
        <v>6.0000000000000001E-3</v>
      </c>
      <c r="M2137">
        <v>5</v>
      </c>
    </row>
    <row r="2138" spans="1:17" x14ac:dyDescent="0.2">
      <c r="A2138" t="s">
        <v>2686</v>
      </c>
      <c r="B2138" s="6" t="s">
        <v>2687</v>
      </c>
      <c r="C2138">
        <v>6</v>
      </c>
      <c r="D2138" s="6" t="s">
        <v>2688</v>
      </c>
      <c r="E2138" s="8" t="s">
        <v>2832</v>
      </c>
      <c r="F2138" s="6" t="s">
        <v>6239</v>
      </c>
      <c r="H2138">
        <v>8.0000000000000002E-3</v>
      </c>
    </row>
    <row r="2139" spans="1:17" x14ac:dyDescent="0.2">
      <c r="A2139" t="s">
        <v>2686</v>
      </c>
      <c r="B2139" s="6" t="s">
        <v>2687</v>
      </c>
      <c r="C2139">
        <v>6</v>
      </c>
      <c r="D2139" s="6" t="s">
        <v>2688</v>
      </c>
      <c r="E2139" s="8" t="s">
        <v>2833</v>
      </c>
      <c r="F2139" s="6" t="s">
        <v>6239</v>
      </c>
      <c r="H2139">
        <v>1E-3</v>
      </c>
    </row>
    <row r="2140" spans="1:17" x14ac:dyDescent="0.2">
      <c r="A2140" t="s">
        <v>2686</v>
      </c>
      <c r="B2140" s="6" t="s">
        <v>2687</v>
      </c>
      <c r="C2140">
        <v>1</v>
      </c>
      <c r="D2140" s="6" t="s">
        <v>2688</v>
      </c>
      <c r="E2140" s="8" t="s">
        <v>2835</v>
      </c>
      <c r="F2140" s="6" t="s">
        <v>2789</v>
      </c>
      <c r="H2140">
        <f>3</f>
        <v>3</v>
      </c>
      <c r="O2140" t="s">
        <v>2836</v>
      </c>
    </row>
    <row r="2141" spans="1:17" x14ac:dyDescent="0.2">
      <c r="A2141" t="s">
        <v>2686</v>
      </c>
      <c r="B2141" s="6" t="s">
        <v>2687</v>
      </c>
      <c r="C2141">
        <v>1</v>
      </c>
      <c r="D2141" s="6" t="s">
        <v>2688</v>
      </c>
      <c r="E2141" s="8" t="s">
        <v>2835</v>
      </c>
      <c r="F2141" s="6" t="s">
        <v>1264</v>
      </c>
      <c r="H2141">
        <f>4.3-0.285+6.1-0.587</f>
        <v>9.5279999999999987</v>
      </c>
    </row>
    <row r="2142" spans="1:17" x14ac:dyDescent="0.2">
      <c r="A2142" t="s">
        <v>2686</v>
      </c>
      <c r="B2142" s="6" t="s">
        <v>2687</v>
      </c>
      <c r="C2142">
        <v>1</v>
      </c>
      <c r="D2142" s="6" t="s">
        <v>2688</v>
      </c>
      <c r="E2142" s="8" t="s">
        <v>2835</v>
      </c>
      <c r="F2142" s="6" t="s">
        <v>998</v>
      </c>
      <c r="H2142">
        <f>4.1-0.424+0.606-0.41</f>
        <v>3.8719999999999999</v>
      </c>
    </row>
    <row r="2143" spans="1:17" x14ac:dyDescent="0.2">
      <c r="A2143" t="s">
        <v>2686</v>
      </c>
      <c r="B2143" s="6" t="s">
        <v>2687</v>
      </c>
      <c r="C2143">
        <v>1</v>
      </c>
      <c r="D2143" s="6" t="s">
        <v>2688</v>
      </c>
      <c r="E2143" s="8" t="s">
        <v>2835</v>
      </c>
      <c r="F2143" s="6" t="s">
        <v>2837</v>
      </c>
      <c r="H2143">
        <f>0.676-0.4</f>
        <v>0.27600000000000002</v>
      </c>
    </row>
    <row r="2144" spans="1:17" x14ac:dyDescent="0.2">
      <c r="A2144" t="s">
        <v>2827</v>
      </c>
      <c r="B2144" s="6" t="s">
        <v>2828</v>
      </c>
      <c r="C2144">
        <v>4</v>
      </c>
      <c r="D2144" s="6" t="s">
        <v>2839</v>
      </c>
      <c r="E2144" s="8" t="s">
        <v>2838</v>
      </c>
      <c r="F2144" s="6" t="s">
        <v>1389</v>
      </c>
      <c r="H2144">
        <v>8.9999999999999993E-3</v>
      </c>
      <c r="Q2144" t="s">
        <v>9769</v>
      </c>
    </row>
    <row r="2145" spans="1:17" x14ac:dyDescent="0.2">
      <c r="A2145" t="s">
        <v>2827</v>
      </c>
      <c r="B2145" s="6" t="s">
        <v>2828</v>
      </c>
      <c r="C2145">
        <v>4</v>
      </c>
      <c r="D2145" s="6" t="s">
        <v>2839</v>
      </c>
      <c r="E2145" s="8" t="s">
        <v>2840</v>
      </c>
      <c r="F2145" s="6" t="s">
        <v>1389</v>
      </c>
      <c r="H2145">
        <v>0.01</v>
      </c>
      <c r="Q2145" t="s">
        <v>9770</v>
      </c>
    </row>
    <row r="2146" spans="1:17" x14ac:dyDescent="0.2">
      <c r="A2146" t="s">
        <v>2827</v>
      </c>
      <c r="B2146" s="6" t="s">
        <v>2828</v>
      </c>
      <c r="C2146">
        <v>4</v>
      </c>
      <c r="D2146" s="6" t="s">
        <v>2839</v>
      </c>
      <c r="E2146" s="8" t="s">
        <v>2841</v>
      </c>
      <c r="F2146" s="6" t="s">
        <v>1389</v>
      </c>
      <c r="H2146">
        <v>3.0000000000000001E-3</v>
      </c>
      <c r="Q2146" t="s">
        <v>9771</v>
      </c>
    </row>
    <row r="2147" spans="1:17" x14ac:dyDescent="0.2">
      <c r="A2147" t="s">
        <v>2827</v>
      </c>
      <c r="B2147" s="6" t="s">
        <v>2828</v>
      </c>
      <c r="C2147">
        <v>4</v>
      </c>
      <c r="D2147" s="6" t="s">
        <v>2839</v>
      </c>
      <c r="E2147" s="8" t="s">
        <v>2842</v>
      </c>
      <c r="F2147" s="6" t="s">
        <v>1389</v>
      </c>
      <c r="H2147">
        <v>2E-3</v>
      </c>
      <c r="Q2147" t="s">
        <v>9772</v>
      </c>
    </row>
    <row r="2148" spans="1:17" x14ac:dyDescent="0.2">
      <c r="A2148" t="s">
        <v>2827</v>
      </c>
      <c r="B2148" s="6" t="s">
        <v>2828</v>
      </c>
      <c r="C2148">
        <v>4</v>
      </c>
      <c r="D2148" s="6" t="s">
        <v>2839</v>
      </c>
      <c r="E2148" s="8" t="s">
        <v>2843</v>
      </c>
      <c r="F2148" s="6" t="s">
        <v>1389</v>
      </c>
      <c r="H2148">
        <v>2E-3</v>
      </c>
      <c r="Q2148" t="s">
        <v>9773</v>
      </c>
    </row>
    <row r="2149" spans="1:17" x14ac:dyDescent="0.2">
      <c r="A2149" t="s">
        <v>2827</v>
      </c>
      <c r="B2149" s="6" t="s">
        <v>2828</v>
      </c>
      <c r="C2149">
        <v>4</v>
      </c>
      <c r="D2149" s="6" t="s">
        <v>2839</v>
      </c>
      <c r="E2149" s="8" t="s">
        <v>2844</v>
      </c>
      <c r="F2149" s="6" t="s">
        <v>1389</v>
      </c>
      <c r="H2149">
        <v>2.5000000000000001E-2</v>
      </c>
      <c r="M2149">
        <v>5</v>
      </c>
    </row>
    <row r="2150" spans="1:17" x14ac:dyDescent="0.2">
      <c r="A2150" t="s">
        <v>2827</v>
      </c>
      <c r="B2150" s="6" t="s">
        <v>2828</v>
      </c>
      <c r="C2150">
        <v>4</v>
      </c>
      <c r="D2150" s="6" t="s">
        <v>2839</v>
      </c>
      <c r="E2150" s="8" t="s">
        <v>2846</v>
      </c>
      <c r="F2150" s="6" t="s">
        <v>1389</v>
      </c>
      <c r="H2150">
        <v>0.33100000000000002</v>
      </c>
    </row>
    <row r="2151" spans="1:17" x14ac:dyDescent="0.2">
      <c r="A2151" t="s">
        <v>2827</v>
      </c>
      <c r="B2151" s="6" t="s">
        <v>2828</v>
      </c>
      <c r="C2151">
        <v>4</v>
      </c>
      <c r="D2151" s="6" t="s">
        <v>2839</v>
      </c>
      <c r="E2151" s="8" t="s">
        <v>2845</v>
      </c>
      <c r="F2151" s="6" t="s">
        <v>1264</v>
      </c>
      <c r="H2151">
        <f>0.927-0.261</f>
        <v>0.66600000000000004</v>
      </c>
      <c r="O2151" t="s">
        <v>2871</v>
      </c>
      <c r="P2151" t="s">
        <v>2872</v>
      </c>
    </row>
    <row r="2152" spans="1:17" x14ac:dyDescent="0.2">
      <c r="A2152" t="s">
        <v>2827</v>
      </c>
      <c r="B2152" s="6" t="s">
        <v>2828</v>
      </c>
      <c r="C2152">
        <v>4</v>
      </c>
      <c r="D2152" s="6" t="s">
        <v>2839</v>
      </c>
      <c r="E2152" s="8" t="s">
        <v>2846</v>
      </c>
      <c r="F2152" s="6" t="s">
        <v>1389</v>
      </c>
      <c r="H2152">
        <f>0.636-0.41</f>
        <v>0.22600000000000003</v>
      </c>
    </row>
    <row r="2153" spans="1:17" x14ac:dyDescent="0.2">
      <c r="A2153" t="s">
        <v>2827</v>
      </c>
      <c r="B2153" s="6" t="s">
        <v>2828</v>
      </c>
      <c r="C2153">
        <v>4</v>
      </c>
      <c r="D2153" s="6" t="s">
        <v>2839</v>
      </c>
      <c r="E2153" s="8" t="s">
        <v>2847</v>
      </c>
      <c r="F2153" s="6" t="s">
        <v>440</v>
      </c>
      <c r="H2153">
        <f>0.443-0.357</f>
        <v>8.6000000000000021E-2</v>
      </c>
    </row>
    <row r="2154" spans="1:17" x14ac:dyDescent="0.2">
      <c r="A2154" t="s">
        <v>2827</v>
      </c>
      <c r="B2154" s="6" t="s">
        <v>2828</v>
      </c>
      <c r="C2154">
        <v>4</v>
      </c>
      <c r="D2154" s="6" t="s">
        <v>2839</v>
      </c>
      <c r="E2154" s="8" t="s">
        <v>2848</v>
      </c>
      <c r="F2154" s="6" t="s">
        <v>2789</v>
      </c>
      <c r="H2154">
        <f>1.484-0.587</f>
        <v>0.89700000000000002</v>
      </c>
    </row>
    <row r="2155" spans="1:17" x14ac:dyDescent="0.2">
      <c r="A2155" t="s">
        <v>2827</v>
      </c>
      <c r="B2155" s="6" t="s">
        <v>2828</v>
      </c>
      <c r="C2155">
        <v>4</v>
      </c>
      <c r="D2155" s="6" t="s">
        <v>2839</v>
      </c>
      <c r="E2155" s="8" t="s">
        <v>2849</v>
      </c>
      <c r="F2155" s="6" t="s">
        <v>1389</v>
      </c>
      <c r="H2155">
        <f>0.648-0.424</f>
        <v>0.22400000000000003</v>
      </c>
    </row>
    <row r="2156" spans="1:17" x14ac:dyDescent="0.2">
      <c r="A2156" t="s">
        <v>2827</v>
      </c>
      <c r="B2156" s="6" t="s">
        <v>2828</v>
      </c>
      <c r="C2156">
        <v>4</v>
      </c>
      <c r="D2156" s="6" t="s">
        <v>2839</v>
      </c>
      <c r="E2156" s="8" t="s">
        <v>2850</v>
      </c>
      <c r="F2156" s="6" t="s">
        <v>1389</v>
      </c>
      <c r="H2156">
        <f>0.782-0.589</f>
        <v>0.19300000000000006</v>
      </c>
    </row>
    <row r="2157" spans="1:17" x14ac:dyDescent="0.2">
      <c r="A2157" t="s">
        <v>2827</v>
      </c>
      <c r="B2157" s="6" t="s">
        <v>2828</v>
      </c>
      <c r="C2157">
        <v>4</v>
      </c>
      <c r="D2157" s="6" t="s">
        <v>2839</v>
      </c>
      <c r="E2157" s="8" t="s">
        <v>2851</v>
      </c>
      <c r="F2157" s="6" t="s">
        <v>5930</v>
      </c>
      <c r="H2157">
        <v>1.0999999999999999E-2</v>
      </c>
      <c r="Q2157" t="s">
        <v>5971</v>
      </c>
    </row>
    <row r="2158" spans="1:17" x14ac:dyDescent="0.2">
      <c r="A2158" t="s">
        <v>2827</v>
      </c>
      <c r="B2158" s="6" t="s">
        <v>2828</v>
      </c>
      <c r="C2158">
        <v>4</v>
      </c>
      <c r="D2158" s="6" t="s">
        <v>2839</v>
      </c>
      <c r="E2158" s="8" t="s">
        <v>2852</v>
      </c>
      <c r="F2158" s="6" t="s">
        <v>5930</v>
      </c>
      <c r="H2158">
        <v>4.0000000000000001E-3</v>
      </c>
      <c r="Q2158" t="s">
        <v>5972</v>
      </c>
    </row>
    <row r="2159" spans="1:17" x14ac:dyDescent="0.2">
      <c r="A2159" t="s">
        <v>2827</v>
      </c>
      <c r="B2159" s="6" t="s">
        <v>2828</v>
      </c>
      <c r="C2159">
        <v>4</v>
      </c>
      <c r="D2159" s="6" t="s">
        <v>2839</v>
      </c>
      <c r="E2159" s="8" t="s">
        <v>2853</v>
      </c>
      <c r="F2159" s="6" t="s">
        <v>5930</v>
      </c>
      <c r="H2159">
        <v>6.0000000000000001E-3</v>
      </c>
      <c r="Q2159" t="s">
        <v>5973</v>
      </c>
    </row>
    <row r="2160" spans="1:17" x14ac:dyDescent="0.2">
      <c r="A2160" t="s">
        <v>2827</v>
      </c>
      <c r="B2160" s="6" t="s">
        <v>2828</v>
      </c>
      <c r="C2160">
        <v>4</v>
      </c>
      <c r="D2160" s="6" t="s">
        <v>2839</v>
      </c>
      <c r="E2160" s="8" t="s">
        <v>2854</v>
      </c>
      <c r="F2160" s="6" t="s">
        <v>5930</v>
      </c>
      <c r="H2160">
        <v>1E-3</v>
      </c>
      <c r="Q2160" t="s">
        <v>5974</v>
      </c>
    </row>
    <row r="2161" spans="1:17" x14ac:dyDescent="0.2">
      <c r="A2161" t="s">
        <v>2827</v>
      </c>
      <c r="B2161" s="6" t="s">
        <v>2828</v>
      </c>
      <c r="C2161">
        <v>4</v>
      </c>
      <c r="D2161" s="6" t="s">
        <v>2839</v>
      </c>
      <c r="E2161" s="8" t="s">
        <v>2856</v>
      </c>
      <c r="F2161" s="6" t="s">
        <v>1425</v>
      </c>
      <c r="H2161">
        <v>8.0000000000000002E-3</v>
      </c>
      <c r="Q2161" t="s">
        <v>9774</v>
      </c>
    </row>
    <row r="2162" spans="1:17" x14ac:dyDescent="0.2">
      <c r="A2162" t="s">
        <v>2827</v>
      </c>
      <c r="B2162" s="6" t="s">
        <v>2828</v>
      </c>
      <c r="C2162">
        <v>4</v>
      </c>
      <c r="D2162" s="6" t="s">
        <v>2839</v>
      </c>
      <c r="E2162" s="8" t="s">
        <v>2857</v>
      </c>
      <c r="F2162" s="6" t="s">
        <v>1425</v>
      </c>
      <c r="H2162">
        <v>5.0000000000000001E-3</v>
      </c>
      <c r="Q2162" t="s">
        <v>9775</v>
      </c>
    </row>
    <row r="2163" spans="1:17" x14ac:dyDescent="0.2">
      <c r="A2163" t="s">
        <v>2827</v>
      </c>
      <c r="B2163" s="6" t="s">
        <v>2828</v>
      </c>
      <c r="C2163">
        <v>4</v>
      </c>
      <c r="D2163" s="6" t="s">
        <v>2839</v>
      </c>
      <c r="E2163" s="8" t="s">
        <v>2858</v>
      </c>
      <c r="F2163" s="6" t="s">
        <v>1425</v>
      </c>
      <c r="H2163">
        <v>6.0000000000000001E-3</v>
      </c>
      <c r="Q2163" t="s">
        <v>9776</v>
      </c>
    </row>
    <row r="2164" spans="1:17" x14ac:dyDescent="0.2">
      <c r="A2164" t="s">
        <v>2827</v>
      </c>
      <c r="B2164" s="6" t="s">
        <v>2828</v>
      </c>
      <c r="C2164">
        <v>4</v>
      </c>
      <c r="D2164" s="6" t="s">
        <v>2839</v>
      </c>
      <c r="E2164" s="8" t="s">
        <v>2859</v>
      </c>
      <c r="F2164" s="6" t="s">
        <v>1425</v>
      </c>
      <c r="H2164">
        <v>1.0999999999999999E-2</v>
      </c>
      <c r="M2164">
        <v>2</v>
      </c>
    </row>
    <row r="2165" spans="1:17" x14ac:dyDescent="0.2">
      <c r="A2165" t="s">
        <v>2827</v>
      </c>
      <c r="B2165" s="6" t="s">
        <v>2828</v>
      </c>
      <c r="C2165">
        <v>4</v>
      </c>
      <c r="D2165" s="6" t="s">
        <v>2839</v>
      </c>
      <c r="E2165" s="8" t="s">
        <v>2861</v>
      </c>
      <c r="F2165" s="6" t="s">
        <v>1538</v>
      </c>
      <c r="H2165">
        <v>1.2E-2</v>
      </c>
      <c r="Q2165" t="s">
        <v>9779</v>
      </c>
    </row>
    <row r="2166" spans="1:17" x14ac:dyDescent="0.2">
      <c r="A2166" t="s">
        <v>2827</v>
      </c>
      <c r="B2166" s="6" t="s">
        <v>2828</v>
      </c>
      <c r="C2166">
        <v>4</v>
      </c>
      <c r="D2166" s="6" t="s">
        <v>2839</v>
      </c>
      <c r="E2166" s="8" t="s">
        <v>2860</v>
      </c>
      <c r="F2166" s="6" t="s">
        <v>1538</v>
      </c>
      <c r="H2166">
        <v>5.0000000000000001E-3</v>
      </c>
      <c r="Q2166" t="s">
        <v>9777</v>
      </c>
    </row>
    <row r="2167" spans="1:17" x14ac:dyDescent="0.2">
      <c r="A2167" t="s">
        <v>2827</v>
      </c>
      <c r="B2167" s="6" t="s">
        <v>2828</v>
      </c>
      <c r="C2167">
        <v>4</v>
      </c>
      <c r="D2167" s="6" t="s">
        <v>2839</v>
      </c>
      <c r="E2167" s="8" t="s">
        <v>2864</v>
      </c>
      <c r="F2167" s="6" t="s">
        <v>1538</v>
      </c>
      <c r="H2167">
        <v>3.0000000000000001E-3</v>
      </c>
      <c r="Q2167" t="s">
        <v>9778</v>
      </c>
    </row>
    <row r="2168" spans="1:17" x14ac:dyDescent="0.2">
      <c r="A2168" t="s">
        <v>2827</v>
      </c>
      <c r="B2168" s="6" t="s">
        <v>2828</v>
      </c>
      <c r="C2168">
        <v>4</v>
      </c>
      <c r="D2168" s="6" t="s">
        <v>2839</v>
      </c>
      <c r="E2168" s="8" t="s">
        <v>2862</v>
      </c>
      <c r="F2168" s="6" t="s">
        <v>1538</v>
      </c>
      <c r="H2168">
        <v>8.9999999999999993E-3</v>
      </c>
      <c r="Q2168" t="s">
        <v>9780</v>
      </c>
    </row>
    <row r="2169" spans="1:17" x14ac:dyDescent="0.2">
      <c r="A2169" t="s">
        <v>2827</v>
      </c>
      <c r="B2169" s="6" t="s">
        <v>2828</v>
      </c>
      <c r="C2169">
        <v>4</v>
      </c>
      <c r="D2169" s="6" t="s">
        <v>2839</v>
      </c>
      <c r="E2169" s="8" t="s">
        <v>2863</v>
      </c>
      <c r="F2169" s="6" t="s">
        <v>1538</v>
      </c>
      <c r="H2169">
        <v>1.0999999999999999E-2</v>
      </c>
      <c r="Q2169" t="s">
        <v>9781</v>
      </c>
    </row>
    <row r="2170" spans="1:17" x14ac:dyDescent="0.2">
      <c r="A2170" t="s">
        <v>2827</v>
      </c>
      <c r="B2170" s="6" t="s">
        <v>2828</v>
      </c>
      <c r="C2170">
        <v>4</v>
      </c>
      <c r="D2170" s="6" t="s">
        <v>2839</v>
      </c>
      <c r="E2170" s="8" t="s">
        <v>2865</v>
      </c>
      <c r="F2170" s="6" t="s">
        <v>1538</v>
      </c>
      <c r="H2170">
        <v>8.9999999999999993E-3</v>
      </c>
      <c r="Q2170" t="s">
        <v>9782</v>
      </c>
    </row>
    <row r="2171" spans="1:17" x14ac:dyDescent="0.2">
      <c r="A2171" t="s">
        <v>2827</v>
      </c>
      <c r="B2171" s="6" t="s">
        <v>2828</v>
      </c>
      <c r="C2171">
        <v>4</v>
      </c>
      <c r="D2171" s="6" t="s">
        <v>2839</v>
      </c>
      <c r="E2171" s="8" t="s">
        <v>2866</v>
      </c>
      <c r="F2171" s="6" t="s">
        <v>1538</v>
      </c>
      <c r="H2171">
        <v>3.1E-2</v>
      </c>
      <c r="M2171">
        <v>5</v>
      </c>
    </row>
    <row r="2172" spans="1:17" x14ac:dyDescent="0.2">
      <c r="A2172" t="s">
        <v>2827</v>
      </c>
      <c r="B2172" s="6" t="s">
        <v>2828</v>
      </c>
      <c r="C2172">
        <v>4</v>
      </c>
      <c r="D2172" s="6" t="s">
        <v>2839</v>
      </c>
      <c r="E2172" s="8" t="s">
        <v>2867</v>
      </c>
      <c r="F2172" s="6" t="s">
        <v>1538</v>
      </c>
      <c r="H2172">
        <v>8.1000000000000003E-2</v>
      </c>
    </row>
    <row r="2173" spans="1:17" x14ac:dyDescent="0.2">
      <c r="A2173" t="s">
        <v>2827</v>
      </c>
      <c r="B2173" s="6" t="s">
        <v>2828</v>
      </c>
      <c r="C2173">
        <v>4</v>
      </c>
      <c r="D2173" s="6" t="s">
        <v>2839</v>
      </c>
      <c r="E2173" s="8" t="s">
        <v>2855</v>
      </c>
      <c r="F2173" s="6" t="s">
        <v>1425</v>
      </c>
      <c r="H2173">
        <v>2.7E-2</v>
      </c>
      <c r="Q2173" t="s">
        <v>9783</v>
      </c>
    </row>
    <row r="2174" spans="1:17" x14ac:dyDescent="0.2">
      <c r="A2174" t="s">
        <v>2827</v>
      </c>
      <c r="B2174" s="6" t="s">
        <v>2828</v>
      </c>
      <c r="C2174">
        <v>4</v>
      </c>
      <c r="D2174" s="6" t="s">
        <v>2839</v>
      </c>
      <c r="E2174" s="8" t="s">
        <v>2868</v>
      </c>
      <c r="F2174" s="6" t="s">
        <v>1425</v>
      </c>
      <c r="H2174">
        <v>2.9000000000000001E-2</v>
      </c>
      <c r="Q2174" t="s">
        <v>9784</v>
      </c>
    </row>
    <row r="2175" spans="1:17" x14ac:dyDescent="0.2">
      <c r="A2175" t="s">
        <v>2827</v>
      </c>
      <c r="B2175" s="6" t="s">
        <v>2828</v>
      </c>
      <c r="C2175">
        <v>4</v>
      </c>
      <c r="D2175" s="6" t="s">
        <v>2839</v>
      </c>
      <c r="E2175" s="8" t="s">
        <v>2845</v>
      </c>
      <c r="F2175" s="6" t="s">
        <v>106</v>
      </c>
      <c r="H2175">
        <v>6.0000000000000001E-3</v>
      </c>
      <c r="M2175">
        <v>9</v>
      </c>
      <c r="P2175" t="s">
        <v>2872</v>
      </c>
    </row>
    <row r="2176" spans="1:17" x14ac:dyDescent="0.2">
      <c r="A2176" t="s">
        <v>2827</v>
      </c>
      <c r="B2176" s="6" t="s">
        <v>2828</v>
      </c>
      <c r="C2176">
        <v>4</v>
      </c>
      <c r="D2176" s="6" t="s">
        <v>2839</v>
      </c>
      <c r="E2176" s="8" t="s">
        <v>2873</v>
      </c>
      <c r="F2176" s="6" t="s">
        <v>7138</v>
      </c>
      <c r="H2176">
        <v>6.0000000000000001E-3</v>
      </c>
      <c r="M2176">
        <v>4</v>
      </c>
      <c r="Q2176" t="s">
        <v>9785</v>
      </c>
    </row>
    <row r="2177" spans="1:17" x14ac:dyDescent="0.2">
      <c r="A2177" t="s">
        <v>2827</v>
      </c>
      <c r="B2177" s="6" t="s">
        <v>2828</v>
      </c>
      <c r="C2177">
        <v>4</v>
      </c>
      <c r="D2177" s="6" t="s">
        <v>2839</v>
      </c>
      <c r="E2177" s="8" t="s">
        <v>2848</v>
      </c>
      <c r="F2177" s="6" t="s">
        <v>2836</v>
      </c>
      <c r="H2177">
        <f>1.422-0.587</f>
        <v>0.83499999999999996</v>
      </c>
      <c r="O2177" t="s">
        <v>2904</v>
      </c>
    </row>
    <row r="2178" spans="1:17" x14ac:dyDescent="0.2">
      <c r="A2178" t="s">
        <v>2827</v>
      </c>
      <c r="B2178" s="6" t="s">
        <v>2828</v>
      </c>
      <c r="C2178">
        <v>6</v>
      </c>
      <c r="D2178" s="6" t="s">
        <v>2839</v>
      </c>
      <c r="E2178" s="8" t="s">
        <v>2874</v>
      </c>
      <c r="F2178" s="6" t="s">
        <v>1389</v>
      </c>
      <c r="H2178">
        <v>0.01</v>
      </c>
      <c r="Q2178" t="s">
        <v>9788</v>
      </c>
    </row>
    <row r="2179" spans="1:17" x14ac:dyDescent="0.2">
      <c r="A2179" t="s">
        <v>2827</v>
      </c>
      <c r="B2179" s="6" t="s">
        <v>2828</v>
      </c>
      <c r="C2179">
        <v>6</v>
      </c>
      <c r="D2179" s="6" t="s">
        <v>2839</v>
      </c>
      <c r="E2179" s="8" t="s">
        <v>2875</v>
      </c>
      <c r="F2179" s="6" t="s">
        <v>1389</v>
      </c>
      <c r="H2179">
        <v>4.0000000000000001E-3</v>
      </c>
      <c r="Q2179" t="s">
        <v>9787</v>
      </c>
    </row>
    <row r="2180" spans="1:17" x14ac:dyDescent="0.2">
      <c r="A2180" t="s">
        <v>2827</v>
      </c>
      <c r="B2180" s="6" t="s">
        <v>2828</v>
      </c>
      <c r="C2180">
        <v>6</v>
      </c>
      <c r="D2180" s="6" t="s">
        <v>2839</v>
      </c>
      <c r="E2180" s="8" t="s">
        <v>2876</v>
      </c>
      <c r="F2180" s="6" t="s">
        <v>1389</v>
      </c>
      <c r="H2180">
        <v>3.0000000000000001E-3</v>
      </c>
      <c r="Q2180" t="s">
        <v>9790</v>
      </c>
    </row>
    <row r="2181" spans="1:17" x14ac:dyDescent="0.2">
      <c r="A2181" t="s">
        <v>2827</v>
      </c>
      <c r="B2181" s="6" t="s">
        <v>2828</v>
      </c>
      <c r="C2181">
        <v>6</v>
      </c>
      <c r="D2181" s="6" t="s">
        <v>2839</v>
      </c>
      <c r="E2181" s="8" t="s">
        <v>2877</v>
      </c>
      <c r="F2181" s="6" t="s">
        <v>1389</v>
      </c>
      <c r="H2181">
        <v>6.0000000000000001E-3</v>
      </c>
      <c r="Q2181" t="s">
        <v>9786</v>
      </c>
    </row>
    <row r="2182" spans="1:17" x14ac:dyDescent="0.2">
      <c r="A2182" t="s">
        <v>2827</v>
      </c>
      <c r="B2182" s="6" t="s">
        <v>2828</v>
      </c>
      <c r="C2182">
        <v>6</v>
      </c>
      <c r="D2182" s="6" t="s">
        <v>2839</v>
      </c>
      <c r="E2182" s="8" t="s">
        <v>2878</v>
      </c>
      <c r="F2182" s="6" t="s">
        <v>1389</v>
      </c>
      <c r="H2182">
        <v>4.0000000000000001E-3</v>
      </c>
      <c r="Q2182" t="s">
        <v>9789</v>
      </c>
    </row>
    <row r="2183" spans="1:17" x14ac:dyDescent="0.2">
      <c r="A2183" t="s">
        <v>2827</v>
      </c>
      <c r="B2183" s="6" t="s">
        <v>2828</v>
      </c>
      <c r="C2183">
        <v>6</v>
      </c>
      <c r="D2183" s="6" t="s">
        <v>2839</v>
      </c>
      <c r="E2183" s="8" t="s">
        <v>2879</v>
      </c>
      <c r="F2183" s="6" t="s">
        <v>1389</v>
      </c>
      <c r="H2183">
        <v>2.5999999999999999E-2</v>
      </c>
      <c r="M2183">
        <v>5</v>
      </c>
    </row>
    <row r="2184" spans="1:17" x14ac:dyDescent="0.2">
      <c r="A2184" t="s">
        <v>2827</v>
      </c>
      <c r="B2184" s="6" t="s">
        <v>2828</v>
      </c>
      <c r="C2184">
        <v>6</v>
      </c>
      <c r="D2184" s="6" t="s">
        <v>2839</v>
      </c>
      <c r="E2184" s="8" t="s">
        <v>2881</v>
      </c>
      <c r="F2184" s="6" t="s">
        <v>1389</v>
      </c>
      <c r="H2184">
        <f>0.59-0.4</f>
        <v>0.18999999999999995</v>
      </c>
    </row>
    <row r="2185" spans="1:17" x14ac:dyDescent="0.2">
      <c r="A2185" t="s">
        <v>2827</v>
      </c>
      <c r="B2185" s="6" t="s">
        <v>2828</v>
      </c>
      <c r="C2185">
        <v>6</v>
      </c>
      <c r="D2185" s="6" t="s">
        <v>2839</v>
      </c>
      <c r="E2185" s="8" t="s">
        <v>2882</v>
      </c>
      <c r="F2185" s="6" t="s">
        <v>1425</v>
      </c>
      <c r="H2185">
        <v>5.7000000000000002E-2</v>
      </c>
      <c r="Q2185" t="s">
        <v>9792</v>
      </c>
    </row>
    <row r="2186" spans="1:17" x14ac:dyDescent="0.2">
      <c r="A2186" t="s">
        <v>2827</v>
      </c>
      <c r="B2186" s="6" t="s">
        <v>2828</v>
      </c>
      <c r="C2186">
        <v>6</v>
      </c>
      <c r="D2186" s="6" t="s">
        <v>2839</v>
      </c>
      <c r="E2186" s="8" t="s">
        <v>2880</v>
      </c>
      <c r="F2186" s="6" t="s">
        <v>1425</v>
      </c>
      <c r="H2186">
        <v>3.6999999999999998E-2</v>
      </c>
      <c r="Q2186" t="s">
        <v>9791</v>
      </c>
    </row>
    <row r="2187" spans="1:17" x14ac:dyDescent="0.2">
      <c r="A2187" t="s">
        <v>2827</v>
      </c>
      <c r="B2187" s="6" t="s">
        <v>2828</v>
      </c>
      <c r="C2187">
        <v>6</v>
      </c>
      <c r="D2187" s="6" t="s">
        <v>2839</v>
      </c>
      <c r="E2187" s="8" t="s">
        <v>2883</v>
      </c>
      <c r="F2187" s="6" t="s">
        <v>1538</v>
      </c>
      <c r="H2187">
        <v>4.4999999999999998E-2</v>
      </c>
      <c r="Q2187" t="s">
        <v>9793</v>
      </c>
    </row>
    <row r="2188" spans="1:17" x14ac:dyDescent="0.2">
      <c r="A2188" t="s">
        <v>2827</v>
      </c>
      <c r="B2188" s="6" t="s">
        <v>2828</v>
      </c>
      <c r="C2188">
        <v>6</v>
      </c>
      <c r="D2188" s="6" t="s">
        <v>2839</v>
      </c>
      <c r="E2188" s="8" t="s">
        <v>2885</v>
      </c>
      <c r="F2188" s="6" t="s">
        <v>1538</v>
      </c>
      <c r="H2188">
        <v>8.0000000000000002E-3</v>
      </c>
      <c r="Q2188" t="s">
        <v>9795</v>
      </c>
    </row>
    <row r="2189" spans="1:17" x14ac:dyDescent="0.2">
      <c r="A2189" t="s">
        <v>2827</v>
      </c>
      <c r="B2189" s="6" t="s">
        <v>2828</v>
      </c>
      <c r="C2189">
        <v>6</v>
      </c>
      <c r="D2189" s="6" t="s">
        <v>2839</v>
      </c>
      <c r="E2189" s="8" t="s">
        <v>2886</v>
      </c>
      <c r="F2189" s="6" t="s">
        <v>1538</v>
      </c>
      <c r="H2189">
        <v>4.0000000000000001E-3</v>
      </c>
      <c r="Q2189" t="s">
        <v>9796</v>
      </c>
    </row>
    <row r="2190" spans="1:17" x14ac:dyDescent="0.2">
      <c r="A2190" t="s">
        <v>2827</v>
      </c>
      <c r="B2190" s="6" t="s">
        <v>2828</v>
      </c>
      <c r="C2190">
        <v>6</v>
      </c>
      <c r="D2190" s="6" t="s">
        <v>2839</v>
      </c>
      <c r="E2190" s="8" t="s">
        <v>2884</v>
      </c>
      <c r="F2190" s="6" t="s">
        <v>1538</v>
      </c>
      <c r="H2190">
        <v>1.4E-2</v>
      </c>
      <c r="Q2190" t="s">
        <v>9794</v>
      </c>
    </row>
    <row r="2191" spans="1:17" x14ac:dyDescent="0.2">
      <c r="A2191" t="s">
        <v>2827</v>
      </c>
      <c r="B2191" s="6" t="s">
        <v>2828</v>
      </c>
      <c r="C2191">
        <v>6</v>
      </c>
      <c r="D2191" s="6" t="s">
        <v>2839</v>
      </c>
      <c r="E2191" s="8" t="s">
        <v>2887</v>
      </c>
      <c r="F2191" s="6" t="s">
        <v>1538</v>
      </c>
      <c r="H2191">
        <v>1.6E-2</v>
      </c>
      <c r="Q2191" t="s">
        <v>9797</v>
      </c>
    </row>
    <row r="2192" spans="1:17" x14ac:dyDescent="0.2">
      <c r="A2192" t="s">
        <v>2827</v>
      </c>
      <c r="B2192" s="6" t="s">
        <v>2828</v>
      </c>
      <c r="C2192">
        <v>6</v>
      </c>
      <c r="D2192" s="6" t="s">
        <v>2839</v>
      </c>
      <c r="E2192" s="8" t="s">
        <v>2888</v>
      </c>
      <c r="F2192" s="6" t="s">
        <v>1538</v>
      </c>
      <c r="H2192">
        <v>8.5999999999999993E-2</v>
      </c>
      <c r="M2192">
        <v>5</v>
      </c>
    </row>
    <row r="2193" spans="1:17" x14ac:dyDescent="0.2">
      <c r="A2193" t="s">
        <v>2827</v>
      </c>
      <c r="B2193" s="6" t="s">
        <v>2828</v>
      </c>
      <c r="C2193">
        <v>6</v>
      </c>
      <c r="D2193" s="6" t="s">
        <v>2839</v>
      </c>
      <c r="E2193" s="8" t="s">
        <v>2881</v>
      </c>
      <c r="F2193" s="6" t="s">
        <v>1538</v>
      </c>
      <c r="H2193">
        <v>0.10100000000000001</v>
      </c>
    </row>
    <row r="2194" spans="1:17" x14ac:dyDescent="0.2">
      <c r="A2194" t="s">
        <v>2827</v>
      </c>
      <c r="B2194" s="6" t="s">
        <v>2828</v>
      </c>
      <c r="C2194">
        <v>6</v>
      </c>
      <c r="D2194" s="6" t="s">
        <v>2839</v>
      </c>
      <c r="E2194" s="8" t="s">
        <v>2889</v>
      </c>
      <c r="F2194" s="6" t="s">
        <v>5930</v>
      </c>
      <c r="H2194">
        <v>1.2E-2</v>
      </c>
      <c r="Q2194" t="s">
        <v>5966</v>
      </c>
    </row>
    <row r="2195" spans="1:17" x14ac:dyDescent="0.2">
      <c r="A2195" t="s">
        <v>2827</v>
      </c>
      <c r="B2195" s="6" t="s">
        <v>2828</v>
      </c>
      <c r="C2195">
        <v>6</v>
      </c>
      <c r="D2195" s="6" t="s">
        <v>2839</v>
      </c>
      <c r="E2195" s="8" t="s">
        <v>2890</v>
      </c>
      <c r="F2195" s="6" t="s">
        <v>5930</v>
      </c>
      <c r="H2195">
        <v>4.0000000000000001E-3</v>
      </c>
      <c r="Q2195" t="s">
        <v>5967</v>
      </c>
    </row>
    <row r="2196" spans="1:17" x14ac:dyDescent="0.2">
      <c r="A2196" t="s">
        <v>2827</v>
      </c>
      <c r="B2196" s="6" t="s">
        <v>2828</v>
      </c>
      <c r="C2196">
        <v>6</v>
      </c>
      <c r="D2196" s="6" t="s">
        <v>2839</v>
      </c>
      <c r="E2196" s="8" t="s">
        <v>2891</v>
      </c>
      <c r="F2196" s="6" t="s">
        <v>5930</v>
      </c>
      <c r="H2196">
        <v>1.2999999999999999E-2</v>
      </c>
      <c r="Q2196" t="s">
        <v>5968</v>
      </c>
    </row>
    <row r="2197" spans="1:17" x14ac:dyDescent="0.2">
      <c r="A2197" t="s">
        <v>2827</v>
      </c>
      <c r="B2197" s="6" t="s">
        <v>2828</v>
      </c>
      <c r="C2197">
        <v>6</v>
      </c>
      <c r="D2197" s="6" t="s">
        <v>2839</v>
      </c>
      <c r="E2197" s="8" t="s">
        <v>2892</v>
      </c>
      <c r="F2197" s="6" t="s">
        <v>5930</v>
      </c>
      <c r="H2197">
        <v>8.0000000000000002E-3</v>
      </c>
      <c r="Q2197" t="s">
        <v>5969</v>
      </c>
    </row>
    <row r="2198" spans="1:17" x14ac:dyDescent="0.2">
      <c r="A2198" t="s">
        <v>2827</v>
      </c>
      <c r="B2198" s="6" t="s">
        <v>2828</v>
      </c>
      <c r="C2198">
        <v>6</v>
      </c>
      <c r="D2198" s="6" t="s">
        <v>2839</v>
      </c>
      <c r="E2198" s="8" t="s">
        <v>2893</v>
      </c>
      <c r="F2198" s="6" t="s">
        <v>5930</v>
      </c>
      <c r="H2198">
        <v>5.0000000000000001E-3</v>
      </c>
      <c r="Q2198" t="s">
        <v>5970</v>
      </c>
    </row>
    <row r="2199" spans="1:17" x14ac:dyDescent="0.2">
      <c r="A2199" t="s">
        <v>2827</v>
      </c>
      <c r="B2199" s="6" t="s">
        <v>2828</v>
      </c>
      <c r="C2199">
        <v>6</v>
      </c>
      <c r="D2199" s="6" t="s">
        <v>2839</v>
      </c>
      <c r="E2199" s="8" t="s">
        <v>2894</v>
      </c>
      <c r="F2199" s="6" t="s">
        <v>5930</v>
      </c>
      <c r="H2199">
        <v>4.2000000000000003E-2</v>
      </c>
      <c r="M2199">
        <v>5</v>
      </c>
    </row>
    <row r="2200" spans="1:17" x14ac:dyDescent="0.2">
      <c r="A2200" t="s">
        <v>2827</v>
      </c>
      <c r="B2200" s="6" t="s">
        <v>2828</v>
      </c>
      <c r="C2200">
        <v>6</v>
      </c>
      <c r="D2200" s="6" t="s">
        <v>2839</v>
      </c>
      <c r="E2200" s="8" t="s">
        <v>2881</v>
      </c>
      <c r="F2200" s="6" t="s">
        <v>5930</v>
      </c>
      <c r="H2200">
        <f>0.695-0.593</f>
        <v>0.10199999999999998</v>
      </c>
    </row>
    <row r="2201" spans="1:17" x14ac:dyDescent="0.2">
      <c r="A2201" t="s">
        <v>2827</v>
      </c>
      <c r="B2201" s="6" t="s">
        <v>2828</v>
      </c>
      <c r="C2201">
        <v>6</v>
      </c>
      <c r="D2201" s="6" t="s">
        <v>2839</v>
      </c>
      <c r="E2201" s="8" t="s">
        <v>2895</v>
      </c>
      <c r="F2201" s="6" t="s">
        <v>1264</v>
      </c>
      <c r="H2201">
        <f>3.4-0.285</f>
        <v>3.1149999999999998</v>
      </c>
      <c r="O2201" t="s">
        <v>2903</v>
      </c>
    </row>
    <row r="2202" spans="1:17" x14ac:dyDescent="0.2">
      <c r="A2202" t="s">
        <v>2827</v>
      </c>
      <c r="B2202" s="6" t="s">
        <v>2828</v>
      </c>
      <c r="C2202">
        <v>6</v>
      </c>
      <c r="D2202" s="6" t="s">
        <v>2839</v>
      </c>
      <c r="E2202" s="8" t="s">
        <v>9798</v>
      </c>
      <c r="F2202" s="6" t="s">
        <v>7138</v>
      </c>
      <c r="H2202">
        <v>4.2000000000000003E-2</v>
      </c>
      <c r="Q2202" t="s">
        <v>9800</v>
      </c>
    </row>
    <row r="2203" spans="1:17" x14ac:dyDescent="0.2">
      <c r="A2203" t="s">
        <v>2827</v>
      </c>
      <c r="B2203" s="6" t="s">
        <v>2828</v>
      </c>
      <c r="C2203">
        <v>6</v>
      </c>
      <c r="D2203" s="6" t="s">
        <v>2839</v>
      </c>
      <c r="E2203" s="8" t="s">
        <v>2896</v>
      </c>
      <c r="F2203" s="6" t="s">
        <v>7138</v>
      </c>
      <c r="H2203">
        <v>2.7E-2</v>
      </c>
      <c r="Q2203" t="s">
        <v>9801</v>
      </c>
    </row>
    <row r="2204" spans="1:17" x14ac:dyDescent="0.2">
      <c r="A2204" t="s">
        <v>2827</v>
      </c>
      <c r="B2204" s="6" t="s">
        <v>2828</v>
      </c>
      <c r="C2204">
        <v>6</v>
      </c>
      <c r="D2204" s="6" t="s">
        <v>2839</v>
      </c>
      <c r="E2204" s="8" t="s">
        <v>2897</v>
      </c>
      <c r="F2204" s="6" t="s">
        <v>8388</v>
      </c>
      <c r="H2204">
        <v>1.4E-2</v>
      </c>
      <c r="Q2204" t="s">
        <v>9802</v>
      </c>
    </row>
    <row r="2205" spans="1:17" x14ac:dyDescent="0.2">
      <c r="A2205" t="s">
        <v>2827</v>
      </c>
      <c r="B2205" s="6" t="s">
        <v>2828</v>
      </c>
      <c r="C2205">
        <v>6</v>
      </c>
      <c r="D2205" s="6" t="s">
        <v>2839</v>
      </c>
      <c r="E2205" s="8" t="s">
        <v>2898</v>
      </c>
      <c r="F2205" s="6" t="s">
        <v>8388</v>
      </c>
      <c r="H2205">
        <v>1.0999999999999999E-2</v>
      </c>
      <c r="Q2205" t="s">
        <v>9803</v>
      </c>
    </row>
    <row r="2206" spans="1:17" x14ac:dyDescent="0.2">
      <c r="A2206" t="s">
        <v>2827</v>
      </c>
      <c r="B2206" s="6" t="s">
        <v>2828</v>
      </c>
      <c r="C2206">
        <v>6</v>
      </c>
      <c r="D2206" s="6" t="s">
        <v>2839</v>
      </c>
      <c r="E2206" s="8" t="s">
        <v>9799</v>
      </c>
      <c r="F2206" s="6" t="s">
        <v>7138</v>
      </c>
      <c r="H2206">
        <v>0.01</v>
      </c>
      <c r="Q2206" t="s">
        <v>9804</v>
      </c>
    </row>
    <row r="2207" spans="1:17" x14ac:dyDescent="0.2">
      <c r="A2207" t="s">
        <v>2827</v>
      </c>
      <c r="B2207" s="6" t="s">
        <v>2828</v>
      </c>
      <c r="C2207">
        <v>6</v>
      </c>
      <c r="D2207" s="6" t="s">
        <v>2839</v>
      </c>
      <c r="E2207" s="8" t="s">
        <v>2902</v>
      </c>
      <c r="F2207" s="6" t="s">
        <v>1344</v>
      </c>
      <c r="H2207">
        <v>3.4000000000000002E-2</v>
      </c>
    </row>
    <row r="2208" spans="1:17" x14ac:dyDescent="0.2">
      <c r="A2208" t="s">
        <v>2827</v>
      </c>
      <c r="B2208" s="6" t="s">
        <v>2828</v>
      </c>
      <c r="C2208">
        <v>6</v>
      </c>
      <c r="D2208" s="6" t="s">
        <v>2839</v>
      </c>
      <c r="E2208" s="8" t="s">
        <v>2900</v>
      </c>
      <c r="F2208" s="6" t="s">
        <v>1425</v>
      </c>
      <c r="H2208">
        <v>8.9999999999999993E-3</v>
      </c>
      <c r="Q2208" t="s">
        <v>9805</v>
      </c>
    </row>
    <row r="2209" spans="1:17" x14ac:dyDescent="0.2">
      <c r="A2209" t="s">
        <v>2827</v>
      </c>
      <c r="B2209" s="6" t="s">
        <v>2828</v>
      </c>
      <c r="C2209">
        <v>6</v>
      </c>
      <c r="D2209" s="6" t="s">
        <v>2839</v>
      </c>
      <c r="E2209" s="8" t="s">
        <v>2901</v>
      </c>
      <c r="F2209" s="6" t="s">
        <v>1425</v>
      </c>
      <c r="H2209">
        <v>2E-3</v>
      </c>
      <c r="Q2209" t="s">
        <v>9806</v>
      </c>
    </row>
    <row r="2210" spans="1:17" x14ac:dyDescent="0.2">
      <c r="A2210" t="s">
        <v>2827</v>
      </c>
      <c r="B2210" s="6" t="s">
        <v>2828</v>
      </c>
      <c r="C2210">
        <v>6</v>
      </c>
      <c r="D2210" s="6" t="s">
        <v>2839</v>
      </c>
      <c r="E2210" s="8" t="s">
        <v>2881</v>
      </c>
      <c r="F2210" s="6" t="s">
        <v>1425</v>
      </c>
      <c r="H2210">
        <f>0.655-0.424</f>
        <v>0.23100000000000004</v>
      </c>
    </row>
    <row r="2211" spans="1:17" x14ac:dyDescent="0.2">
      <c r="A2211" t="s">
        <v>2827</v>
      </c>
      <c r="B2211" s="6" t="s">
        <v>2828</v>
      </c>
      <c r="C2211">
        <v>6</v>
      </c>
      <c r="D2211" s="6" t="s">
        <v>2839</v>
      </c>
      <c r="E2211" s="8" t="s">
        <v>2899</v>
      </c>
      <c r="F2211" s="6" t="s">
        <v>2836</v>
      </c>
      <c r="H2211">
        <f>2.017-0.357</f>
        <v>1.66</v>
      </c>
      <c r="O2211" t="s">
        <v>2931</v>
      </c>
    </row>
    <row r="2212" spans="1:17" x14ac:dyDescent="0.2">
      <c r="A2212" t="s">
        <v>2827</v>
      </c>
      <c r="B2212" s="6" t="s">
        <v>2828</v>
      </c>
      <c r="C2212">
        <v>6</v>
      </c>
      <c r="D2212" s="6" t="s">
        <v>2839</v>
      </c>
      <c r="E2212" s="8" t="s">
        <v>2912</v>
      </c>
      <c r="F2212" s="6" t="s">
        <v>1425</v>
      </c>
      <c r="H2212">
        <v>1.2E-2</v>
      </c>
      <c r="Q2212" t="s">
        <v>9807</v>
      </c>
    </row>
    <row r="2213" spans="1:17" x14ac:dyDescent="0.2">
      <c r="A2213" t="s">
        <v>2827</v>
      </c>
      <c r="B2213" s="6" t="s">
        <v>2828</v>
      </c>
      <c r="C2213">
        <v>6</v>
      </c>
      <c r="D2213" s="6" t="s">
        <v>2839</v>
      </c>
      <c r="E2213" s="8" t="s">
        <v>2906</v>
      </c>
      <c r="F2213" s="6" t="s">
        <v>1425</v>
      </c>
      <c r="H2213">
        <v>3.0000000000000001E-3</v>
      </c>
      <c r="Q2213" t="s">
        <v>9808</v>
      </c>
    </row>
    <row r="2214" spans="1:17" x14ac:dyDescent="0.2">
      <c r="A2214" t="s">
        <v>2827</v>
      </c>
      <c r="B2214" s="6" t="s">
        <v>2828</v>
      </c>
      <c r="C2214">
        <v>6</v>
      </c>
      <c r="D2214" s="6" t="s">
        <v>2839</v>
      </c>
      <c r="E2214" s="8" t="s">
        <v>2907</v>
      </c>
      <c r="F2214" s="6" t="s">
        <v>1425</v>
      </c>
      <c r="H2214">
        <v>3.6999999999999998E-2</v>
      </c>
      <c r="M2214">
        <v>5</v>
      </c>
    </row>
    <row r="2215" spans="1:17" x14ac:dyDescent="0.2">
      <c r="A2215" t="s">
        <v>2827</v>
      </c>
      <c r="B2215" s="6" t="s">
        <v>2828</v>
      </c>
      <c r="C2215">
        <v>6</v>
      </c>
      <c r="D2215" s="6" t="s">
        <v>2839</v>
      </c>
      <c r="E2215" s="8" t="s">
        <v>2913</v>
      </c>
      <c r="F2215" s="6" t="s">
        <v>1538</v>
      </c>
      <c r="H2215">
        <v>6.0000000000000001E-3</v>
      </c>
    </row>
    <row r="2216" spans="1:17" x14ac:dyDescent="0.2">
      <c r="A2216" t="s">
        <v>2827</v>
      </c>
      <c r="B2216" s="6" t="s">
        <v>2828</v>
      </c>
      <c r="C2216">
        <v>6</v>
      </c>
      <c r="D2216" s="6" t="s">
        <v>2839</v>
      </c>
      <c r="E2216" s="8" t="s">
        <v>2908</v>
      </c>
      <c r="F2216" s="6" t="s">
        <v>1538</v>
      </c>
      <c r="H2216">
        <v>5.0000000000000001E-3</v>
      </c>
    </row>
    <row r="2217" spans="1:17" x14ac:dyDescent="0.2">
      <c r="A2217" t="s">
        <v>2827</v>
      </c>
      <c r="B2217" s="6" t="s">
        <v>2828</v>
      </c>
      <c r="C2217">
        <v>6</v>
      </c>
      <c r="D2217" s="6" t="s">
        <v>2839</v>
      </c>
      <c r="E2217" s="8" t="s">
        <v>2910</v>
      </c>
      <c r="F2217" s="6" t="s">
        <v>1538</v>
      </c>
      <c r="H2217">
        <v>1E-3</v>
      </c>
    </row>
    <row r="2218" spans="1:17" x14ac:dyDescent="0.2">
      <c r="A2218" t="s">
        <v>2827</v>
      </c>
      <c r="B2218" s="6" t="s">
        <v>2828</v>
      </c>
      <c r="C2218">
        <v>6</v>
      </c>
      <c r="D2218" s="6" t="s">
        <v>2839</v>
      </c>
      <c r="E2218" s="8" t="s">
        <v>2909</v>
      </c>
      <c r="F2218" s="6" t="s">
        <v>1538</v>
      </c>
      <c r="G2218" s="6" t="s">
        <v>114</v>
      </c>
    </row>
    <row r="2219" spans="1:17" x14ac:dyDescent="0.2">
      <c r="A2219" t="s">
        <v>2827</v>
      </c>
      <c r="B2219" s="6" t="s">
        <v>2828</v>
      </c>
      <c r="C2219">
        <v>6</v>
      </c>
      <c r="D2219" s="6" t="s">
        <v>2839</v>
      </c>
      <c r="E2219" s="8" t="s">
        <v>2911</v>
      </c>
      <c r="F2219" s="6" t="s">
        <v>1538</v>
      </c>
      <c r="H2219">
        <v>2E-3</v>
      </c>
    </row>
    <row r="2220" spans="1:17" x14ac:dyDescent="0.2">
      <c r="A2220" t="s">
        <v>2827</v>
      </c>
      <c r="B2220" s="6" t="s">
        <v>2828</v>
      </c>
      <c r="C2220">
        <v>6</v>
      </c>
      <c r="D2220" s="6" t="s">
        <v>2839</v>
      </c>
      <c r="E2220" s="8" t="s">
        <v>2914</v>
      </c>
      <c r="F2220" s="6" t="s">
        <v>1538</v>
      </c>
      <c r="H2220">
        <v>0.01</v>
      </c>
      <c r="M2220">
        <v>5</v>
      </c>
    </row>
    <row r="2221" spans="1:17" x14ac:dyDescent="0.2">
      <c r="A2221" t="s">
        <v>2827</v>
      </c>
      <c r="B2221" s="6" t="s">
        <v>2828</v>
      </c>
      <c r="C2221">
        <v>6</v>
      </c>
      <c r="D2221" s="6" t="s">
        <v>2839</v>
      </c>
      <c r="E2221" s="8" t="s">
        <v>2881</v>
      </c>
      <c r="F2221" s="6" t="s">
        <v>1389</v>
      </c>
      <c r="H2221">
        <v>4.8000000000000001E-2</v>
      </c>
    </row>
    <row r="2222" spans="1:17" x14ac:dyDescent="0.2">
      <c r="A2222" t="s">
        <v>2827</v>
      </c>
      <c r="B2222" s="6" t="s">
        <v>2828</v>
      </c>
      <c r="C2222">
        <v>6</v>
      </c>
      <c r="D2222" s="6" t="s">
        <v>2839</v>
      </c>
      <c r="E2222" s="8" t="s">
        <v>2881</v>
      </c>
      <c r="F2222" s="6" t="s">
        <v>1425</v>
      </c>
      <c r="H2222">
        <v>0.01</v>
      </c>
    </row>
    <row r="2223" spans="1:17" x14ac:dyDescent="0.2">
      <c r="A2223" t="s">
        <v>2827</v>
      </c>
      <c r="B2223" s="6" t="s">
        <v>2828</v>
      </c>
      <c r="C2223">
        <v>6</v>
      </c>
      <c r="D2223" s="6" t="s">
        <v>2839</v>
      </c>
      <c r="E2223" s="8" t="s">
        <v>2881</v>
      </c>
      <c r="F2223" s="6" t="s">
        <v>2930</v>
      </c>
      <c r="H2223">
        <v>0.05</v>
      </c>
      <c r="O2223" t="s">
        <v>2934</v>
      </c>
    </row>
    <row r="2224" spans="1:17" x14ac:dyDescent="0.2">
      <c r="A2224" t="s">
        <v>2827</v>
      </c>
      <c r="B2224" s="6" t="s">
        <v>2828</v>
      </c>
      <c r="C2224">
        <v>5</v>
      </c>
      <c r="D2224" s="6" t="s">
        <v>2839</v>
      </c>
      <c r="E2224" s="8" t="s">
        <v>2915</v>
      </c>
      <c r="F2224" s="6" t="s">
        <v>1264</v>
      </c>
      <c r="H2224">
        <f>4.6-0.344</f>
        <v>4.2559999999999993</v>
      </c>
      <c r="O2224" t="s">
        <v>2932</v>
      </c>
    </row>
    <row r="2225" spans="1:17" x14ac:dyDescent="0.2">
      <c r="A2225" t="s">
        <v>2827</v>
      </c>
      <c r="B2225" s="6" t="s">
        <v>2828</v>
      </c>
      <c r="C2225">
        <v>5</v>
      </c>
      <c r="D2225" s="6" t="s">
        <v>2839</v>
      </c>
      <c r="E2225" s="8" t="s">
        <v>2917</v>
      </c>
      <c r="F2225" s="6" t="s">
        <v>1425</v>
      </c>
      <c r="H2225">
        <v>5.0000000000000001E-3</v>
      </c>
      <c r="Q2225" t="s">
        <v>9813</v>
      </c>
    </row>
    <row r="2226" spans="1:17" x14ac:dyDescent="0.2">
      <c r="A2226" t="s">
        <v>2827</v>
      </c>
      <c r="B2226" s="6" t="s">
        <v>2828</v>
      </c>
      <c r="C2226">
        <v>5</v>
      </c>
      <c r="D2226" s="6" t="s">
        <v>2839</v>
      </c>
      <c r="E2226" s="8" t="s">
        <v>2918</v>
      </c>
      <c r="F2226" s="6" t="s">
        <v>1425</v>
      </c>
      <c r="H2226">
        <v>4.0000000000000001E-3</v>
      </c>
      <c r="Q2226" t="s">
        <v>9814</v>
      </c>
    </row>
    <row r="2227" spans="1:17" x14ac:dyDescent="0.2">
      <c r="A2227" t="s">
        <v>2827</v>
      </c>
      <c r="B2227" s="6" t="s">
        <v>2828</v>
      </c>
      <c r="C2227">
        <v>5</v>
      </c>
      <c r="D2227" s="6" t="s">
        <v>2839</v>
      </c>
      <c r="E2227" s="8" t="s">
        <v>2923</v>
      </c>
      <c r="F2227" s="6" t="s">
        <v>1425</v>
      </c>
      <c r="H2227">
        <v>0.06</v>
      </c>
      <c r="Q2227" t="s">
        <v>9810</v>
      </c>
    </row>
    <row r="2228" spans="1:17" x14ac:dyDescent="0.2">
      <c r="A2228" t="s">
        <v>2827</v>
      </c>
      <c r="B2228" s="6" t="s">
        <v>2828</v>
      </c>
      <c r="C2228">
        <v>5</v>
      </c>
      <c r="D2228" s="6" t="s">
        <v>2839</v>
      </c>
      <c r="E2228" s="8" t="s">
        <v>2924</v>
      </c>
      <c r="F2228" s="6" t="s">
        <v>1425</v>
      </c>
      <c r="H2228">
        <v>3.6999999999999998E-2</v>
      </c>
      <c r="Q2228" t="s">
        <v>9809</v>
      </c>
    </row>
    <row r="2229" spans="1:17" x14ac:dyDescent="0.2">
      <c r="A2229" t="s">
        <v>2827</v>
      </c>
      <c r="B2229" s="6" t="s">
        <v>2828</v>
      </c>
      <c r="C2229">
        <v>5</v>
      </c>
      <c r="D2229" s="6" t="s">
        <v>2839</v>
      </c>
      <c r="E2229" s="8" t="s">
        <v>2925</v>
      </c>
      <c r="F2229" s="6" t="s">
        <v>1538</v>
      </c>
      <c r="H2229">
        <v>4.2000000000000003E-2</v>
      </c>
      <c r="Q2229" t="s">
        <v>9811</v>
      </c>
    </row>
    <row r="2230" spans="1:17" x14ac:dyDescent="0.2">
      <c r="A2230" t="s">
        <v>2827</v>
      </c>
      <c r="B2230" s="6" t="s">
        <v>2828</v>
      </c>
      <c r="C2230">
        <v>5</v>
      </c>
      <c r="D2230" s="6" t="s">
        <v>2839</v>
      </c>
      <c r="E2230" s="8" t="s">
        <v>2926</v>
      </c>
      <c r="F2230" s="6" t="s">
        <v>1538</v>
      </c>
      <c r="H2230">
        <v>3.9E-2</v>
      </c>
      <c r="Q2230" t="s">
        <v>9812</v>
      </c>
    </row>
    <row r="2231" spans="1:17" x14ac:dyDescent="0.2">
      <c r="A2231" t="s">
        <v>2827</v>
      </c>
      <c r="B2231" s="6" t="s">
        <v>2828</v>
      </c>
      <c r="C2231">
        <v>5</v>
      </c>
      <c r="D2231" s="6" t="s">
        <v>2839</v>
      </c>
      <c r="E2231" s="8" t="s">
        <v>2921</v>
      </c>
      <c r="F2231" s="6" t="s">
        <v>1538</v>
      </c>
      <c r="H2231">
        <v>7.0000000000000001E-3</v>
      </c>
      <c r="Q2231" t="s">
        <v>9815</v>
      </c>
    </row>
    <row r="2232" spans="1:17" x14ac:dyDescent="0.2">
      <c r="A2232" t="s">
        <v>2827</v>
      </c>
      <c r="B2232" s="6" t="s">
        <v>2828</v>
      </c>
      <c r="C2232">
        <v>5</v>
      </c>
      <c r="D2232" s="6" t="s">
        <v>2839</v>
      </c>
      <c r="E2232" s="8" t="s">
        <v>2927</v>
      </c>
      <c r="F2232" s="6" t="s">
        <v>1538</v>
      </c>
      <c r="H2232">
        <v>2E-3</v>
      </c>
      <c r="Q2232" t="s">
        <v>9817</v>
      </c>
    </row>
    <row r="2233" spans="1:17" x14ac:dyDescent="0.2">
      <c r="A2233" t="s">
        <v>2827</v>
      </c>
      <c r="B2233" s="6" t="s">
        <v>2828</v>
      </c>
      <c r="C2233">
        <v>5</v>
      </c>
      <c r="D2233" s="6" t="s">
        <v>2839</v>
      </c>
      <c r="E2233" s="8" t="s">
        <v>2922</v>
      </c>
      <c r="F2233" s="6" t="s">
        <v>1538</v>
      </c>
      <c r="H2233">
        <v>2.5999999999999999E-2</v>
      </c>
      <c r="Q2233" t="s">
        <v>9816</v>
      </c>
    </row>
    <row r="2234" spans="1:17" x14ac:dyDescent="0.2">
      <c r="A2234" t="s">
        <v>2827</v>
      </c>
      <c r="B2234" s="6" t="s">
        <v>2828</v>
      </c>
      <c r="C2234">
        <v>5</v>
      </c>
      <c r="D2234" s="6" t="s">
        <v>2839</v>
      </c>
      <c r="E2234" s="8" t="s">
        <v>2920</v>
      </c>
      <c r="F2234" t="s">
        <v>5936</v>
      </c>
      <c r="G2234" s="6" t="s">
        <v>114</v>
      </c>
      <c r="Q2234" t="s">
        <v>5965</v>
      </c>
    </row>
    <row r="2235" spans="1:17" x14ac:dyDescent="0.2">
      <c r="A2235" t="s">
        <v>2827</v>
      </c>
      <c r="B2235" s="6" t="s">
        <v>2828</v>
      </c>
      <c r="C2235">
        <v>5</v>
      </c>
      <c r="D2235" s="6" t="s">
        <v>2839</v>
      </c>
      <c r="E2235" s="8" t="s">
        <v>2928</v>
      </c>
      <c r="F2235" s="6" t="s">
        <v>5995</v>
      </c>
      <c r="G2235" s="6" t="s">
        <v>114</v>
      </c>
      <c r="O2235" t="s">
        <v>2933</v>
      </c>
    </row>
    <row r="2236" spans="1:17" x14ac:dyDescent="0.2">
      <c r="A2236" t="s">
        <v>2827</v>
      </c>
      <c r="B2236" s="6" t="s">
        <v>2828</v>
      </c>
      <c r="C2236">
        <v>5</v>
      </c>
      <c r="D2236" s="6" t="s">
        <v>2839</v>
      </c>
      <c r="E2236" s="8" t="s">
        <v>2919</v>
      </c>
      <c r="F2236" t="s">
        <v>5936</v>
      </c>
      <c r="G2236" s="6" t="s">
        <v>114</v>
      </c>
      <c r="Q2236" t="s">
        <v>5964</v>
      </c>
    </row>
    <row r="2237" spans="1:17" x14ac:dyDescent="0.2">
      <c r="A2237" t="s">
        <v>2827</v>
      </c>
      <c r="B2237" s="6" t="s">
        <v>2828</v>
      </c>
      <c r="C2237">
        <v>5</v>
      </c>
      <c r="D2237" s="6" t="s">
        <v>2839</v>
      </c>
      <c r="E2237" s="8" t="s">
        <v>2929</v>
      </c>
      <c r="F2237" s="6" t="s">
        <v>7138</v>
      </c>
      <c r="G2237" s="6">
        <v>1</v>
      </c>
      <c r="Q2237" t="s">
        <v>9818</v>
      </c>
    </row>
    <row r="2238" spans="1:17" x14ac:dyDescent="0.2">
      <c r="A2238" t="s">
        <v>2827</v>
      </c>
      <c r="B2238" s="6" t="s">
        <v>2828</v>
      </c>
      <c r="C2238">
        <v>5</v>
      </c>
      <c r="D2238" s="6" t="s">
        <v>2839</v>
      </c>
      <c r="E2238" s="8" t="s">
        <v>2936</v>
      </c>
      <c r="F2238" s="6" t="s">
        <v>112</v>
      </c>
      <c r="H2238">
        <v>1.4E-2</v>
      </c>
    </row>
    <row r="2239" spans="1:17" x14ac:dyDescent="0.2">
      <c r="A2239" t="s">
        <v>2827</v>
      </c>
      <c r="B2239" s="6" t="s">
        <v>2828</v>
      </c>
      <c r="C2239">
        <v>5</v>
      </c>
      <c r="D2239" s="6" t="s">
        <v>2839</v>
      </c>
      <c r="E2239" s="8" t="s">
        <v>2937</v>
      </c>
      <c r="F2239" s="6" t="s">
        <v>2957</v>
      </c>
      <c r="H2239">
        <v>5.3999999999999999E-2</v>
      </c>
    </row>
    <row r="2240" spans="1:17" x14ac:dyDescent="0.2">
      <c r="A2240" t="s">
        <v>2827</v>
      </c>
      <c r="B2240" s="6" t="s">
        <v>2828</v>
      </c>
      <c r="C2240">
        <v>5</v>
      </c>
      <c r="D2240" s="6" t="s">
        <v>2839</v>
      </c>
      <c r="E2240" s="8" t="s">
        <v>2916</v>
      </c>
      <c r="F2240" s="6" t="s">
        <v>2836</v>
      </c>
      <c r="H2240">
        <f>0.553-0.311</f>
        <v>0.24200000000000005</v>
      </c>
      <c r="O2240" t="s">
        <v>875</v>
      </c>
    </row>
    <row r="2241" spans="1:17" x14ac:dyDescent="0.2">
      <c r="A2241" t="s">
        <v>2827</v>
      </c>
      <c r="B2241" s="6" t="s">
        <v>2828</v>
      </c>
      <c r="C2241">
        <v>5</v>
      </c>
      <c r="D2241" s="6" t="s">
        <v>2839</v>
      </c>
      <c r="E2241" s="8" t="s">
        <v>2938</v>
      </c>
      <c r="F2241" s="6" t="s">
        <v>1389</v>
      </c>
      <c r="H2241">
        <v>0.01</v>
      </c>
      <c r="Q2241" t="s">
        <v>9819</v>
      </c>
    </row>
    <row r="2242" spans="1:17" x14ac:dyDescent="0.2">
      <c r="A2242" t="s">
        <v>2827</v>
      </c>
      <c r="B2242" s="6" t="s">
        <v>2828</v>
      </c>
      <c r="C2242">
        <v>5</v>
      </c>
      <c r="D2242" s="6" t="s">
        <v>2839</v>
      </c>
      <c r="E2242" s="8" t="s">
        <v>2939</v>
      </c>
      <c r="F2242" s="6" t="s">
        <v>1389</v>
      </c>
      <c r="H2242">
        <v>3.0000000000000001E-3</v>
      </c>
      <c r="Q2242" t="s">
        <v>9822</v>
      </c>
    </row>
    <row r="2243" spans="1:17" x14ac:dyDescent="0.2">
      <c r="A2243" t="s">
        <v>2827</v>
      </c>
      <c r="B2243" s="6" t="s">
        <v>2828</v>
      </c>
      <c r="C2243">
        <v>5</v>
      </c>
      <c r="D2243" s="6" t="s">
        <v>2839</v>
      </c>
      <c r="E2243" s="8" t="s">
        <v>2940</v>
      </c>
      <c r="F2243" s="6" t="s">
        <v>1389</v>
      </c>
      <c r="H2243">
        <v>3.0000000000000001E-3</v>
      </c>
      <c r="Q2243" t="s">
        <v>9821</v>
      </c>
    </row>
    <row r="2244" spans="1:17" x14ac:dyDescent="0.2">
      <c r="A2244" t="s">
        <v>2827</v>
      </c>
      <c r="B2244" s="6" t="s">
        <v>2828</v>
      </c>
      <c r="C2244">
        <v>5</v>
      </c>
      <c r="D2244" s="6" t="s">
        <v>2839</v>
      </c>
      <c r="E2244" s="8" t="s">
        <v>2941</v>
      </c>
      <c r="F2244" s="6" t="s">
        <v>1389</v>
      </c>
      <c r="H2244">
        <v>2E-3</v>
      </c>
      <c r="Q2244" t="s">
        <v>9820</v>
      </c>
    </row>
    <row r="2245" spans="1:17" x14ac:dyDescent="0.2">
      <c r="A2245" t="s">
        <v>2827</v>
      </c>
      <c r="B2245" s="6" t="s">
        <v>2828</v>
      </c>
      <c r="C2245">
        <v>5</v>
      </c>
      <c r="D2245" s="6" t="s">
        <v>2839</v>
      </c>
      <c r="E2245" s="8" t="s">
        <v>2935</v>
      </c>
      <c r="F2245" s="6" t="s">
        <v>1389</v>
      </c>
      <c r="H2245">
        <v>8.0000000000000002E-3</v>
      </c>
      <c r="Q2245" t="s">
        <v>9823</v>
      </c>
    </row>
    <row r="2246" spans="1:17" x14ac:dyDescent="0.2">
      <c r="A2246" t="s">
        <v>2827</v>
      </c>
      <c r="B2246" s="6" t="s">
        <v>2828</v>
      </c>
      <c r="C2246">
        <v>5</v>
      </c>
      <c r="D2246" s="6" t="s">
        <v>2839</v>
      </c>
      <c r="E2246" s="8" t="s">
        <v>2942</v>
      </c>
      <c r="F2246" s="6" t="s">
        <v>1389</v>
      </c>
      <c r="H2246">
        <v>3.0000000000000001E-3</v>
      </c>
      <c r="Q2246" t="s">
        <v>9824</v>
      </c>
    </row>
    <row r="2247" spans="1:17" x14ac:dyDescent="0.2">
      <c r="A2247" t="s">
        <v>2827</v>
      </c>
      <c r="B2247" s="6" t="s">
        <v>2828</v>
      </c>
      <c r="C2247">
        <v>5</v>
      </c>
      <c r="D2247" s="6" t="s">
        <v>2839</v>
      </c>
      <c r="E2247" s="8" t="s">
        <v>2944</v>
      </c>
      <c r="F2247" s="6" t="s">
        <v>1389</v>
      </c>
      <c r="H2247">
        <v>0.38200000000000001</v>
      </c>
    </row>
    <row r="2248" spans="1:17" x14ac:dyDescent="0.2">
      <c r="A2248" t="s">
        <v>2827</v>
      </c>
      <c r="B2248" s="6" t="s">
        <v>2828</v>
      </c>
      <c r="C2248">
        <v>5</v>
      </c>
      <c r="D2248" s="6" t="s">
        <v>2839</v>
      </c>
      <c r="E2248" s="8" t="s">
        <v>2943</v>
      </c>
      <c r="F2248" s="6" t="s">
        <v>1389</v>
      </c>
      <c r="H2248">
        <v>3.3000000000000002E-2</v>
      </c>
      <c r="M2248">
        <v>5</v>
      </c>
    </row>
    <row r="2249" spans="1:17" x14ac:dyDescent="0.2">
      <c r="A2249" t="s">
        <v>2827</v>
      </c>
      <c r="B2249" s="6" t="s">
        <v>2828</v>
      </c>
      <c r="C2249">
        <v>5</v>
      </c>
      <c r="D2249" s="6" t="s">
        <v>2839</v>
      </c>
      <c r="E2249" s="8" t="s">
        <v>2944</v>
      </c>
      <c r="F2249" s="6" t="s">
        <v>1389</v>
      </c>
      <c r="H2249">
        <f>0.535-0.345</f>
        <v>0.19000000000000006</v>
      </c>
      <c r="O2249" t="s">
        <v>2961</v>
      </c>
    </row>
    <row r="2250" spans="1:17" x14ac:dyDescent="0.2">
      <c r="A2250" t="s">
        <v>2827</v>
      </c>
      <c r="B2250" s="6" t="s">
        <v>2828</v>
      </c>
      <c r="C2250">
        <v>5</v>
      </c>
      <c r="D2250" s="6" t="s">
        <v>2839</v>
      </c>
      <c r="E2250" s="8" t="s">
        <v>2944</v>
      </c>
      <c r="F2250" s="6" t="s">
        <v>1389</v>
      </c>
      <c r="H2250">
        <f>0.495-0.311</f>
        <v>0.184</v>
      </c>
    </row>
    <row r="2251" spans="1:17" x14ac:dyDescent="0.2">
      <c r="A2251" t="s">
        <v>2827</v>
      </c>
      <c r="B2251" s="6" t="s">
        <v>2828</v>
      </c>
      <c r="C2251">
        <v>5</v>
      </c>
      <c r="D2251" s="6" t="s">
        <v>2839</v>
      </c>
      <c r="E2251" s="8" t="s">
        <v>2944</v>
      </c>
      <c r="F2251" s="6" t="s">
        <v>1389</v>
      </c>
      <c r="H2251">
        <f>0.588-0.41</f>
        <v>0.17799999999999999</v>
      </c>
    </row>
    <row r="2252" spans="1:17" x14ac:dyDescent="0.2">
      <c r="A2252" t="s">
        <v>2827</v>
      </c>
      <c r="B2252" s="6" t="s">
        <v>2828</v>
      </c>
      <c r="C2252">
        <v>5</v>
      </c>
      <c r="D2252" s="6" t="s">
        <v>2839</v>
      </c>
      <c r="E2252" s="8" t="s">
        <v>2944</v>
      </c>
      <c r="F2252" s="6" t="s">
        <v>1389</v>
      </c>
      <c r="H2252">
        <f>0.531-0.344</f>
        <v>0.18700000000000006</v>
      </c>
    </row>
    <row r="2253" spans="1:17" x14ac:dyDescent="0.2">
      <c r="A2253" t="s">
        <v>2827</v>
      </c>
      <c r="B2253" s="6" t="s">
        <v>2828</v>
      </c>
      <c r="C2253">
        <v>5</v>
      </c>
      <c r="D2253" s="6" t="s">
        <v>2839</v>
      </c>
      <c r="E2253" s="8" t="s">
        <v>2944</v>
      </c>
      <c r="F2253" s="6" t="s">
        <v>1389</v>
      </c>
      <c r="H2253">
        <f>0.456-0.357</f>
        <v>9.9000000000000032E-2</v>
      </c>
    </row>
    <row r="2254" spans="1:17" x14ac:dyDescent="0.2">
      <c r="A2254" t="s">
        <v>2827</v>
      </c>
      <c r="B2254" s="6" t="s">
        <v>2828</v>
      </c>
      <c r="C2254">
        <v>5</v>
      </c>
      <c r="D2254" s="6" t="s">
        <v>2839</v>
      </c>
      <c r="E2254" s="8" t="s">
        <v>2944</v>
      </c>
      <c r="F2254" s="6" t="s">
        <v>1389</v>
      </c>
      <c r="H2254">
        <f>0.624-0.424</f>
        <v>0.2</v>
      </c>
    </row>
    <row r="2255" spans="1:17" x14ac:dyDescent="0.2">
      <c r="A2255" t="s">
        <v>2827</v>
      </c>
      <c r="B2255" s="6" t="s">
        <v>2828</v>
      </c>
      <c r="C2255">
        <v>5</v>
      </c>
      <c r="D2255" s="6" t="s">
        <v>2839</v>
      </c>
      <c r="E2255" s="8" t="s">
        <v>2944</v>
      </c>
      <c r="F2255" s="6" t="s">
        <v>1389</v>
      </c>
      <c r="H2255">
        <f>0.481-0.285</f>
        <v>0.19600000000000001</v>
      </c>
    </row>
    <row r="2256" spans="1:17" x14ac:dyDescent="0.2">
      <c r="A2256" t="s">
        <v>2827</v>
      </c>
      <c r="B2256" s="6" t="s">
        <v>2828</v>
      </c>
      <c r="C2256">
        <v>5</v>
      </c>
      <c r="D2256" s="6" t="s">
        <v>2839</v>
      </c>
      <c r="E2256" s="8" t="s">
        <v>2944</v>
      </c>
      <c r="F2256" s="6" t="s">
        <v>1389</v>
      </c>
      <c r="H2256">
        <f>0.791-0.589</f>
        <v>0.20200000000000007</v>
      </c>
    </row>
    <row r="2257" spans="1:17" x14ac:dyDescent="0.2">
      <c r="A2257" t="s">
        <v>2827</v>
      </c>
      <c r="B2257" s="6" t="s">
        <v>2828</v>
      </c>
      <c r="C2257">
        <v>3</v>
      </c>
      <c r="D2257" s="6" t="s">
        <v>2839</v>
      </c>
      <c r="E2257" s="8" t="s">
        <v>2945</v>
      </c>
      <c r="F2257" s="6" t="s">
        <v>5930</v>
      </c>
      <c r="H2257">
        <v>1.2999999999999999E-2</v>
      </c>
      <c r="Q2257" t="s">
        <v>5959</v>
      </c>
    </row>
    <row r="2258" spans="1:17" x14ac:dyDescent="0.2">
      <c r="A2258" t="s">
        <v>2827</v>
      </c>
      <c r="B2258" s="6" t="s">
        <v>2828</v>
      </c>
      <c r="C2258">
        <v>3</v>
      </c>
      <c r="D2258" s="6" t="s">
        <v>2839</v>
      </c>
      <c r="E2258" s="8" t="s">
        <v>2946</v>
      </c>
      <c r="F2258" s="6" t="s">
        <v>5930</v>
      </c>
      <c r="H2258">
        <v>8.0000000000000002E-3</v>
      </c>
      <c r="Q2258" t="s">
        <v>5960</v>
      </c>
    </row>
    <row r="2259" spans="1:17" x14ac:dyDescent="0.2">
      <c r="A2259" t="s">
        <v>2827</v>
      </c>
      <c r="B2259" s="6" t="s">
        <v>2828</v>
      </c>
      <c r="C2259">
        <v>3</v>
      </c>
      <c r="D2259" s="6" t="s">
        <v>2839</v>
      </c>
      <c r="E2259" s="8" t="s">
        <v>2947</v>
      </c>
      <c r="F2259" s="6" t="s">
        <v>5930</v>
      </c>
      <c r="H2259">
        <v>7.0000000000000001E-3</v>
      </c>
      <c r="Q2259" t="s">
        <v>5961</v>
      </c>
    </row>
    <row r="2260" spans="1:17" x14ac:dyDescent="0.2">
      <c r="A2260" t="s">
        <v>2827</v>
      </c>
      <c r="B2260" s="6" t="s">
        <v>2828</v>
      </c>
      <c r="C2260">
        <v>3</v>
      </c>
      <c r="D2260" s="6" t="s">
        <v>2839</v>
      </c>
      <c r="E2260" s="8" t="s">
        <v>2948</v>
      </c>
      <c r="F2260" s="6" t="s">
        <v>5930</v>
      </c>
      <c r="H2260">
        <v>4.0000000000000001E-3</v>
      </c>
      <c r="Q2260" t="s">
        <v>5962</v>
      </c>
    </row>
    <row r="2261" spans="1:17" x14ac:dyDescent="0.2">
      <c r="A2261" t="s">
        <v>2827</v>
      </c>
      <c r="B2261" s="6" t="s">
        <v>2828</v>
      </c>
      <c r="C2261">
        <v>3</v>
      </c>
      <c r="D2261" s="6" t="s">
        <v>2839</v>
      </c>
      <c r="E2261" s="8" t="s">
        <v>2949</v>
      </c>
      <c r="F2261" s="6" t="s">
        <v>5930</v>
      </c>
      <c r="H2261">
        <v>1E-3</v>
      </c>
      <c r="Q2261" t="s">
        <v>5963</v>
      </c>
    </row>
    <row r="2262" spans="1:17" x14ac:dyDescent="0.2">
      <c r="A2262" t="s">
        <v>2827</v>
      </c>
      <c r="B2262" s="6" t="s">
        <v>2828</v>
      </c>
      <c r="C2262">
        <v>3</v>
      </c>
      <c r="D2262" s="6" t="s">
        <v>2839</v>
      </c>
      <c r="E2262" s="8" t="s">
        <v>2950</v>
      </c>
      <c r="F2262" s="6" t="s">
        <v>5930</v>
      </c>
      <c r="H2262">
        <v>1.6E-2</v>
      </c>
      <c r="M2262">
        <v>5</v>
      </c>
    </row>
    <row r="2263" spans="1:17" x14ac:dyDescent="0.2">
      <c r="A2263" t="s">
        <v>2827</v>
      </c>
      <c r="B2263" s="6" t="s">
        <v>2828</v>
      </c>
      <c r="C2263">
        <v>3</v>
      </c>
      <c r="D2263" s="6" t="s">
        <v>2839</v>
      </c>
      <c r="E2263" s="8" t="s">
        <v>2952</v>
      </c>
      <c r="F2263" s="6" t="s">
        <v>5930</v>
      </c>
      <c r="H2263">
        <v>2.9000000000000001E-2</v>
      </c>
    </row>
    <row r="2264" spans="1:17" x14ac:dyDescent="0.2">
      <c r="A2264" t="s">
        <v>2827</v>
      </c>
      <c r="B2264" s="6" t="s">
        <v>2828</v>
      </c>
      <c r="C2264">
        <v>3</v>
      </c>
      <c r="D2264" s="6" t="s">
        <v>2839</v>
      </c>
      <c r="E2264" s="8" t="s">
        <v>2951</v>
      </c>
      <c r="F2264" s="6" t="s">
        <v>2958</v>
      </c>
      <c r="H2264">
        <f>3.5-0.345</f>
        <v>3.1550000000000002</v>
      </c>
      <c r="O2264" t="s">
        <v>2960</v>
      </c>
    </row>
    <row r="2265" spans="1:17" x14ac:dyDescent="0.2">
      <c r="A2265" t="s">
        <v>2827</v>
      </c>
      <c r="B2265" s="6" t="s">
        <v>2828</v>
      </c>
      <c r="C2265">
        <v>3</v>
      </c>
      <c r="D2265" s="6" t="s">
        <v>2839</v>
      </c>
      <c r="E2265" s="8" t="s">
        <v>2954</v>
      </c>
      <c r="F2265" s="6" t="s">
        <v>2959</v>
      </c>
      <c r="H2265">
        <f>0.671-0.424</f>
        <v>0.24700000000000005</v>
      </c>
    </row>
    <row r="2266" spans="1:17" x14ac:dyDescent="0.2">
      <c r="A2266" t="s">
        <v>2827</v>
      </c>
      <c r="B2266" s="6" t="s">
        <v>2828</v>
      </c>
      <c r="C2266">
        <v>3</v>
      </c>
      <c r="D2266" s="6" t="s">
        <v>2839</v>
      </c>
      <c r="E2266" s="8" t="s">
        <v>2953</v>
      </c>
      <c r="F2266" s="6" t="s">
        <v>5848</v>
      </c>
      <c r="H2266">
        <v>9.5000000000000001E-2</v>
      </c>
      <c r="Q2266" t="s">
        <v>6264</v>
      </c>
    </row>
    <row r="2267" spans="1:17" x14ac:dyDescent="0.2">
      <c r="A2267" t="s">
        <v>2827</v>
      </c>
      <c r="B2267" s="6" t="s">
        <v>2828</v>
      </c>
      <c r="C2267">
        <v>3</v>
      </c>
      <c r="D2267" s="6" t="s">
        <v>2839</v>
      </c>
      <c r="E2267" s="8" t="s">
        <v>2955</v>
      </c>
      <c r="F2267" s="6" t="s">
        <v>1425</v>
      </c>
      <c r="H2267">
        <v>0.05</v>
      </c>
      <c r="Q2267" t="s">
        <v>9825</v>
      </c>
    </row>
    <row r="2268" spans="1:17" x14ac:dyDescent="0.2">
      <c r="A2268" t="s">
        <v>2827</v>
      </c>
      <c r="B2268" s="6" t="s">
        <v>2828</v>
      </c>
      <c r="C2268">
        <v>3</v>
      </c>
      <c r="D2268" s="6" t="s">
        <v>2839</v>
      </c>
      <c r="E2268" s="8" t="s">
        <v>2956</v>
      </c>
      <c r="F2268" s="6" t="s">
        <v>1425</v>
      </c>
      <c r="H2268">
        <v>4.3999999999999997E-2</v>
      </c>
      <c r="Q2268" t="s">
        <v>9826</v>
      </c>
    </row>
    <row r="2269" spans="1:17" x14ac:dyDescent="0.2">
      <c r="A2269" t="s">
        <v>2827</v>
      </c>
      <c r="B2269" s="6" t="s">
        <v>2828</v>
      </c>
      <c r="C2269">
        <v>3</v>
      </c>
      <c r="D2269" s="6" t="s">
        <v>2839</v>
      </c>
      <c r="E2269" s="8" t="s">
        <v>2962</v>
      </c>
      <c r="F2269" s="6" t="s">
        <v>6231</v>
      </c>
      <c r="H2269">
        <v>2.1999999999999999E-2</v>
      </c>
      <c r="Q2269" t="s">
        <v>9827</v>
      </c>
    </row>
    <row r="2270" spans="1:17" x14ac:dyDescent="0.2">
      <c r="A2270" t="s">
        <v>2827</v>
      </c>
      <c r="B2270" s="6" t="s">
        <v>2828</v>
      </c>
      <c r="C2270">
        <v>3</v>
      </c>
      <c r="D2270" s="6" t="s">
        <v>2839</v>
      </c>
      <c r="E2270" s="8" t="s">
        <v>2963</v>
      </c>
      <c r="F2270" s="6" t="s">
        <v>1425</v>
      </c>
      <c r="H2270">
        <v>3.0000000000000001E-3</v>
      </c>
      <c r="Q2270" t="s">
        <v>9828</v>
      </c>
    </row>
    <row r="2271" spans="1:17" x14ac:dyDescent="0.2">
      <c r="A2271" t="s">
        <v>2827</v>
      </c>
      <c r="B2271" s="6" t="s">
        <v>2828</v>
      </c>
      <c r="C2271">
        <v>3</v>
      </c>
      <c r="D2271" s="6" t="s">
        <v>2839</v>
      </c>
      <c r="E2271" s="8" t="s">
        <v>2964</v>
      </c>
      <c r="F2271" s="6" t="s">
        <v>1425</v>
      </c>
      <c r="H2271">
        <v>3.0000000000000001E-3</v>
      </c>
      <c r="Q2271" t="s">
        <v>9829</v>
      </c>
    </row>
    <row r="2272" spans="1:17" x14ac:dyDescent="0.2">
      <c r="A2272" t="s">
        <v>2827</v>
      </c>
      <c r="B2272" s="6" t="s">
        <v>2828</v>
      </c>
      <c r="C2272">
        <v>3</v>
      </c>
      <c r="D2272" s="6" t="s">
        <v>2839</v>
      </c>
      <c r="E2272" s="8" t="s">
        <v>2965</v>
      </c>
      <c r="F2272" s="6" t="s">
        <v>1425</v>
      </c>
      <c r="H2272">
        <v>2E-3</v>
      </c>
      <c r="Q2272" t="s">
        <v>9830</v>
      </c>
    </row>
    <row r="2273" spans="1:17" x14ac:dyDescent="0.2">
      <c r="A2273" t="s">
        <v>2827</v>
      </c>
      <c r="B2273" s="6" t="s">
        <v>2828</v>
      </c>
      <c r="C2273">
        <v>3</v>
      </c>
      <c r="D2273" s="6" t="s">
        <v>2839</v>
      </c>
      <c r="E2273" s="8" t="s">
        <v>2967</v>
      </c>
      <c r="F2273" s="6" t="s">
        <v>1538</v>
      </c>
      <c r="G2273" s="6" t="s">
        <v>114</v>
      </c>
      <c r="Q2273" t="s">
        <v>9834</v>
      </c>
    </row>
    <row r="2274" spans="1:17" x14ac:dyDescent="0.2">
      <c r="A2274" t="s">
        <v>2827</v>
      </c>
      <c r="B2274" s="6" t="s">
        <v>2828</v>
      </c>
      <c r="C2274">
        <v>3</v>
      </c>
      <c r="D2274" s="6" t="s">
        <v>2839</v>
      </c>
      <c r="E2274" s="8" t="s">
        <v>2969</v>
      </c>
      <c r="F2274" s="6" t="s">
        <v>1538</v>
      </c>
      <c r="G2274" s="6" t="s">
        <v>114</v>
      </c>
      <c r="Q2274" t="s">
        <v>9833</v>
      </c>
    </row>
    <row r="2275" spans="1:17" x14ac:dyDescent="0.2">
      <c r="A2275" t="s">
        <v>2827</v>
      </c>
      <c r="B2275" s="6" t="s">
        <v>2828</v>
      </c>
      <c r="C2275">
        <v>3</v>
      </c>
      <c r="D2275" s="6" t="s">
        <v>2839</v>
      </c>
      <c r="E2275" s="8" t="s">
        <v>2966</v>
      </c>
      <c r="F2275" s="6" t="s">
        <v>1538</v>
      </c>
      <c r="H2275">
        <v>1E-3</v>
      </c>
      <c r="Q2275" t="s">
        <v>9831</v>
      </c>
    </row>
    <row r="2276" spans="1:17" x14ac:dyDescent="0.2">
      <c r="A2276" t="s">
        <v>2827</v>
      </c>
      <c r="B2276" s="6" t="s">
        <v>2828</v>
      </c>
      <c r="C2276">
        <v>3</v>
      </c>
      <c r="D2276" s="6" t="s">
        <v>2839</v>
      </c>
      <c r="E2276" s="8" t="s">
        <v>2972</v>
      </c>
      <c r="F2276" s="6" t="s">
        <v>1538</v>
      </c>
      <c r="H2276">
        <v>2E-3</v>
      </c>
      <c r="Q2276" t="s">
        <v>9832</v>
      </c>
    </row>
    <row r="2277" spans="1:17" x14ac:dyDescent="0.2">
      <c r="A2277" t="s">
        <v>2827</v>
      </c>
      <c r="B2277" s="6" t="s">
        <v>2828</v>
      </c>
      <c r="C2277">
        <v>3</v>
      </c>
      <c r="D2277" s="6" t="s">
        <v>2839</v>
      </c>
      <c r="E2277" s="8" t="s">
        <v>2973</v>
      </c>
      <c r="F2277" s="6" t="s">
        <v>1538</v>
      </c>
      <c r="H2277">
        <f>0.8-0.4</f>
        <v>0.4</v>
      </c>
      <c r="Q2277" t="s">
        <v>9836</v>
      </c>
    </row>
    <row r="2278" spans="1:17" x14ac:dyDescent="0.2">
      <c r="A2278" t="s">
        <v>2827</v>
      </c>
      <c r="B2278" s="6" t="s">
        <v>2828</v>
      </c>
      <c r="C2278">
        <v>3</v>
      </c>
      <c r="D2278" s="6" t="s">
        <v>2839</v>
      </c>
      <c r="E2278" s="8" t="s">
        <v>2968</v>
      </c>
      <c r="F2278" s="6" t="s">
        <v>1538</v>
      </c>
      <c r="H2278">
        <v>3.4000000000000002E-2</v>
      </c>
      <c r="Q2278" t="s">
        <v>9835</v>
      </c>
    </row>
    <row r="2279" spans="1:17" x14ac:dyDescent="0.2">
      <c r="A2279" t="s">
        <v>2827</v>
      </c>
      <c r="B2279" s="6" t="s">
        <v>2828</v>
      </c>
      <c r="C2279">
        <v>3</v>
      </c>
      <c r="D2279" s="6" t="s">
        <v>2839</v>
      </c>
      <c r="E2279" s="8" t="s">
        <v>2974</v>
      </c>
      <c r="F2279" s="6" t="s">
        <v>1538</v>
      </c>
      <c r="H2279">
        <f>0.8-0.4</f>
        <v>0.4</v>
      </c>
    </row>
    <row r="2280" spans="1:17" x14ac:dyDescent="0.2">
      <c r="A2280" t="s">
        <v>2827</v>
      </c>
      <c r="B2280" s="6" t="s">
        <v>2828</v>
      </c>
      <c r="C2280">
        <v>3</v>
      </c>
      <c r="D2280" s="6" t="s">
        <v>2839</v>
      </c>
      <c r="E2280" s="8" t="s">
        <v>2976</v>
      </c>
      <c r="F2280" s="6" t="s">
        <v>1538</v>
      </c>
      <c r="H2280">
        <v>3.4000000000000002E-2</v>
      </c>
      <c r="Q2280" t="s">
        <v>9839</v>
      </c>
    </row>
    <row r="2281" spans="1:17" x14ac:dyDescent="0.2">
      <c r="A2281" t="s">
        <v>2827</v>
      </c>
      <c r="B2281" s="6" t="s">
        <v>2828</v>
      </c>
      <c r="C2281">
        <v>3</v>
      </c>
      <c r="D2281" s="6" t="s">
        <v>2839</v>
      </c>
      <c r="E2281" s="8" t="s">
        <v>2975</v>
      </c>
      <c r="F2281" s="6" t="s">
        <v>1538</v>
      </c>
      <c r="H2281">
        <f>0.617-0.285</f>
        <v>0.33200000000000002</v>
      </c>
    </row>
    <row r="2282" spans="1:17" x14ac:dyDescent="0.2">
      <c r="A2282" t="s">
        <v>2827</v>
      </c>
      <c r="B2282" s="6" t="s">
        <v>2828</v>
      </c>
      <c r="C2282">
        <v>3</v>
      </c>
      <c r="D2282" s="6" t="s">
        <v>2839</v>
      </c>
      <c r="E2282" s="8" t="s">
        <v>2977</v>
      </c>
      <c r="F2282" s="6" t="s">
        <v>1538</v>
      </c>
      <c r="H2282">
        <v>6.0000000000000001E-3</v>
      </c>
      <c r="Q2282" t="s">
        <v>9840</v>
      </c>
    </row>
    <row r="2283" spans="1:17" x14ac:dyDescent="0.2">
      <c r="A2283" t="s">
        <v>2827</v>
      </c>
      <c r="B2283" s="6" t="s">
        <v>2828</v>
      </c>
      <c r="C2283">
        <v>3</v>
      </c>
      <c r="D2283" s="6" t="s">
        <v>2839</v>
      </c>
      <c r="E2283" s="8" t="s">
        <v>2978</v>
      </c>
      <c r="F2283" s="6" t="s">
        <v>1538</v>
      </c>
      <c r="H2283">
        <v>2.8000000000000001E-2</v>
      </c>
      <c r="Q2283" t="s">
        <v>9841</v>
      </c>
    </row>
    <row r="2284" spans="1:17" x14ac:dyDescent="0.2">
      <c r="A2284" t="s">
        <v>2827</v>
      </c>
      <c r="B2284" s="6" t="s">
        <v>2828</v>
      </c>
      <c r="C2284">
        <v>3</v>
      </c>
      <c r="D2284" s="6" t="s">
        <v>2839</v>
      </c>
      <c r="E2284" s="8" t="s">
        <v>2971</v>
      </c>
      <c r="F2284" s="6" t="s">
        <v>1538</v>
      </c>
      <c r="H2284">
        <v>0.10100000000000001</v>
      </c>
      <c r="M2284">
        <v>5</v>
      </c>
    </row>
    <row r="2285" spans="1:17" x14ac:dyDescent="0.2">
      <c r="A2285" t="s">
        <v>2827</v>
      </c>
      <c r="B2285" s="6" t="s">
        <v>2828</v>
      </c>
      <c r="C2285">
        <v>3</v>
      </c>
      <c r="D2285" s="6" t="s">
        <v>2839</v>
      </c>
      <c r="E2285" s="8" t="s">
        <v>2952</v>
      </c>
      <c r="F2285" s="6" t="s">
        <v>1538</v>
      </c>
      <c r="H2285">
        <v>0.53100000000000003</v>
      </c>
    </row>
    <row r="2286" spans="1:17" x14ac:dyDescent="0.2">
      <c r="A2286" t="s">
        <v>2827</v>
      </c>
      <c r="B2286" s="6" t="s">
        <v>2828</v>
      </c>
      <c r="C2286">
        <v>3</v>
      </c>
      <c r="D2286" s="6" t="s">
        <v>2839</v>
      </c>
      <c r="E2286" s="8" t="s">
        <v>2979</v>
      </c>
      <c r="F2286" s="6" t="s">
        <v>1538</v>
      </c>
      <c r="H2286">
        <v>1.4E-2</v>
      </c>
      <c r="Q2286" t="s">
        <v>9842</v>
      </c>
    </row>
    <row r="2287" spans="1:17" x14ac:dyDescent="0.2">
      <c r="A2287" t="s">
        <v>2827</v>
      </c>
      <c r="B2287" s="6" t="s">
        <v>2828</v>
      </c>
      <c r="C2287">
        <v>3</v>
      </c>
      <c r="D2287" s="6" t="s">
        <v>2839</v>
      </c>
      <c r="E2287" s="8" t="s">
        <v>2980</v>
      </c>
      <c r="F2287" s="6" t="s">
        <v>1538</v>
      </c>
      <c r="H2287">
        <v>1.2999999999999999E-2</v>
      </c>
      <c r="Q2287" t="s">
        <v>9843</v>
      </c>
    </row>
    <row r="2288" spans="1:17" x14ac:dyDescent="0.2">
      <c r="A2288" t="s">
        <v>2827</v>
      </c>
      <c r="B2288" s="6" t="s">
        <v>2828</v>
      </c>
      <c r="C2288">
        <v>3</v>
      </c>
      <c r="D2288" s="6" t="s">
        <v>2839</v>
      </c>
      <c r="E2288" s="8" t="s">
        <v>2982</v>
      </c>
      <c r="F2288" s="6" t="s">
        <v>1538</v>
      </c>
      <c r="H2288">
        <v>1E-3</v>
      </c>
      <c r="Q2288" t="s">
        <v>9844</v>
      </c>
    </row>
    <row r="2289" spans="1:17" x14ac:dyDescent="0.2">
      <c r="A2289" t="s">
        <v>2827</v>
      </c>
      <c r="B2289" s="6" t="s">
        <v>2828</v>
      </c>
      <c r="C2289">
        <v>3</v>
      </c>
      <c r="D2289" s="6" t="s">
        <v>2839</v>
      </c>
      <c r="E2289" s="8" t="s">
        <v>2981</v>
      </c>
      <c r="F2289" s="6" t="s">
        <v>1538</v>
      </c>
      <c r="H2289">
        <v>0.01</v>
      </c>
      <c r="Q2289" t="s">
        <v>9845</v>
      </c>
    </row>
    <row r="2290" spans="1:17" x14ac:dyDescent="0.2">
      <c r="A2290" t="s">
        <v>2827</v>
      </c>
      <c r="B2290" s="6" t="s">
        <v>2828</v>
      </c>
      <c r="C2290">
        <v>3</v>
      </c>
      <c r="D2290" s="6" t="s">
        <v>2839</v>
      </c>
      <c r="E2290" s="8" t="s">
        <v>2983</v>
      </c>
      <c r="F2290" s="6" t="s">
        <v>1538</v>
      </c>
      <c r="H2290">
        <v>2E-3</v>
      </c>
      <c r="Q2290" t="s">
        <v>9846</v>
      </c>
    </row>
    <row r="2291" spans="1:17" x14ac:dyDescent="0.2">
      <c r="A2291" t="s">
        <v>2827</v>
      </c>
      <c r="B2291" s="6" t="s">
        <v>2828</v>
      </c>
      <c r="C2291">
        <v>3</v>
      </c>
      <c r="D2291" s="6" t="s">
        <v>2839</v>
      </c>
      <c r="E2291" s="8" t="s">
        <v>2984</v>
      </c>
      <c r="F2291" s="6" t="s">
        <v>1538</v>
      </c>
      <c r="H2291">
        <v>1.7000000000000001E-2</v>
      </c>
      <c r="M2291">
        <v>5</v>
      </c>
    </row>
    <row r="2292" spans="1:17" x14ac:dyDescent="0.2">
      <c r="A2292" t="s">
        <v>2827</v>
      </c>
      <c r="B2292" s="6" t="s">
        <v>2828</v>
      </c>
      <c r="C2292">
        <v>3</v>
      </c>
      <c r="D2292" s="6" t="s">
        <v>2839</v>
      </c>
      <c r="E2292" s="8" t="s">
        <v>2952</v>
      </c>
      <c r="F2292" s="6" t="s">
        <v>1538</v>
      </c>
      <c r="H2292">
        <v>2.5999999999999999E-2</v>
      </c>
    </row>
    <row r="2293" spans="1:17" x14ac:dyDescent="0.2">
      <c r="A2293" t="s">
        <v>2827</v>
      </c>
      <c r="B2293" s="6" t="s">
        <v>2828</v>
      </c>
      <c r="C2293">
        <v>3</v>
      </c>
      <c r="D2293" s="6" t="s">
        <v>2839</v>
      </c>
      <c r="E2293" s="8" t="s">
        <v>2985</v>
      </c>
      <c r="F2293" s="6" t="s">
        <v>1425</v>
      </c>
      <c r="H2293">
        <v>6.0000000000000001E-3</v>
      </c>
      <c r="Q2293" t="s">
        <v>9850</v>
      </c>
    </row>
    <row r="2294" spans="1:17" x14ac:dyDescent="0.2">
      <c r="A2294" t="s">
        <v>2827</v>
      </c>
      <c r="B2294" s="6" t="s">
        <v>2828</v>
      </c>
      <c r="C2294">
        <v>3</v>
      </c>
      <c r="D2294" s="6" t="s">
        <v>2839</v>
      </c>
      <c r="E2294" s="8" t="s">
        <v>2988</v>
      </c>
      <c r="F2294" s="6" t="s">
        <v>1425</v>
      </c>
      <c r="H2294">
        <v>1.2999999999999999E-2</v>
      </c>
      <c r="Q2294" t="s">
        <v>9851</v>
      </c>
    </row>
    <row r="2295" spans="1:17" x14ac:dyDescent="0.2">
      <c r="A2295" t="s">
        <v>2827</v>
      </c>
      <c r="B2295" s="6" t="s">
        <v>2828</v>
      </c>
      <c r="C2295">
        <v>3</v>
      </c>
      <c r="D2295" s="6" t="s">
        <v>2839</v>
      </c>
      <c r="E2295" s="8" t="s">
        <v>2987</v>
      </c>
      <c r="F2295" s="6" t="s">
        <v>1425</v>
      </c>
      <c r="H2295">
        <v>2.3E-2</v>
      </c>
      <c r="Q2295" t="s">
        <v>9849</v>
      </c>
    </row>
    <row r="2296" spans="1:17" x14ac:dyDescent="0.2">
      <c r="A2296" t="s">
        <v>2827</v>
      </c>
      <c r="B2296" s="6" t="s">
        <v>2828</v>
      </c>
      <c r="C2296">
        <v>3</v>
      </c>
      <c r="D2296" s="6" t="s">
        <v>2839</v>
      </c>
      <c r="E2296" s="8" t="s">
        <v>2986</v>
      </c>
      <c r="F2296" s="6" t="s">
        <v>1425</v>
      </c>
      <c r="H2296">
        <v>8.9999999999999993E-3</v>
      </c>
      <c r="Q2296" t="s">
        <v>9848</v>
      </c>
    </row>
    <row r="2297" spans="1:17" x14ac:dyDescent="0.2">
      <c r="A2297" t="s">
        <v>2827</v>
      </c>
      <c r="B2297" s="6" t="s">
        <v>2828</v>
      </c>
      <c r="C2297">
        <v>3</v>
      </c>
      <c r="D2297" s="6" t="s">
        <v>2839</v>
      </c>
      <c r="E2297" s="8" t="s">
        <v>2990</v>
      </c>
      <c r="F2297" s="6" t="s">
        <v>1425</v>
      </c>
      <c r="H2297">
        <v>6.9000000000000006E-2</v>
      </c>
      <c r="Q2297" t="s">
        <v>9847</v>
      </c>
    </row>
    <row r="2298" spans="1:17" x14ac:dyDescent="0.2">
      <c r="A2298" t="s">
        <v>2827</v>
      </c>
      <c r="B2298" s="6" t="s">
        <v>2828</v>
      </c>
      <c r="C2298">
        <v>3</v>
      </c>
      <c r="D2298" s="6" t="s">
        <v>2839</v>
      </c>
      <c r="E2298" s="8" t="s">
        <v>2989</v>
      </c>
      <c r="F2298" s="6" t="s">
        <v>1425</v>
      </c>
      <c r="H2298">
        <v>9.1999999999999998E-2</v>
      </c>
      <c r="M2298">
        <v>5</v>
      </c>
    </row>
    <row r="2299" spans="1:17" x14ac:dyDescent="0.2">
      <c r="A2299" t="s">
        <v>2827</v>
      </c>
      <c r="B2299" s="6" t="s">
        <v>2828</v>
      </c>
      <c r="C2299">
        <v>3</v>
      </c>
      <c r="D2299" s="6" t="s">
        <v>2839</v>
      </c>
      <c r="E2299" s="8" t="s">
        <v>2952</v>
      </c>
      <c r="F2299" s="6" t="s">
        <v>1425</v>
      </c>
      <c r="H2299">
        <v>0.30199999999999999</v>
      </c>
    </row>
    <row r="2300" spans="1:17" x14ac:dyDescent="0.2">
      <c r="A2300" t="s">
        <v>2827</v>
      </c>
      <c r="B2300" s="6" t="s">
        <v>2828</v>
      </c>
      <c r="C2300">
        <v>3</v>
      </c>
      <c r="D2300" s="6" t="s">
        <v>2839</v>
      </c>
      <c r="E2300" s="8" t="s">
        <v>2991</v>
      </c>
      <c r="F2300" s="6" t="s">
        <v>2993</v>
      </c>
      <c r="H2300">
        <f>0.528-0.424+0.518-0.4</f>
        <v>0.22200000000000009</v>
      </c>
      <c r="O2300" t="s">
        <v>2994</v>
      </c>
    </row>
    <row r="2301" spans="1:17" x14ac:dyDescent="0.2">
      <c r="A2301" t="s">
        <v>2827</v>
      </c>
      <c r="B2301" s="6" t="s">
        <v>2828</v>
      </c>
      <c r="C2301">
        <v>3</v>
      </c>
      <c r="D2301" s="6" t="s">
        <v>2839</v>
      </c>
      <c r="E2301" s="8" t="s">
        <v>2954</v>
      </c>
      <c r="F2301" s="6" t="s">
        <v>1389</v>
      </c>
      <c r="H2301">
        <f>0.565-0.295</f>
        <v>0.26999999999999996</v>
      </c>
    </row>
    <row r="2302" spans="1:17" x14ac:dyDescent="0.2">
      <c r="A2302" t="s">
        <v>2827</v>
      </c>
      <c r="B2302" s="6" t="s">
        <v>2828</v>
      </c>
      <c r="C2302">
        <v>3</v>
      </c>
      <c r="D2302" s="6" t="s">
        <v>2839</v>
      </c>
      <c r="E2302" s="8" t="s">
        <v>2995</v>
      </c>
      <c r="F2302" s="6" t="s">
        <v>2789</v>
      </c>
      <c r="H2302">
        <v>0.104</v>
      </c>
    </row>
    <row r="2303" spans="1:17" x14ac:dyDescent="0.2">
      <c r="A2303" t="s">
        <v>2827</v>
      </c>
      <c r="B2303" s="6" t="s">
        <v>2828</v>
      </c>
      <c r="C2303">
        <v>3</v>
      </c>
      <c r="D2303" s="6" t="s">
        <v>2839</v>
      </c>
      <c r="E2303" s="8" t="s">
        <v>2997</v>
      </c>
      <c r="F2303" s="6" t="s">
        <v>1344</v>
      </c>
      <c r="H2303">
        <v>4.1099999999999998E-2</v>
      </c>
      <c r="O2303" t="s">
        <v>3026</v>
      </c>
    </row>
    <row r="2304" spans="1:17" x14ac:dyDescent="0.2">
      <c r="A2304" t="s">
        <v>2827</v>
      </c>
      <c r="B2304" s="6" t="s">
        <v>2828</v>
      </c>
      <c r="C2304">
        <v>3</v>
      </c>
      <c r="D2304" s="6" t="s">
        <v>2839</v>
      </c>
      <c r="E2304" s="8" t="s">
        <v>2996</v>
      </c>
      <c r="F2304" s="6" t="s">
        <v>338</v>
      </c>
      <c r="H2304">
        <v>0.01</v>
      </c>
      <c r="M2304">
        <v>2</v>
      </c>
    </row>
    <row r="2305" spans="1:17" x14ac:dyDescent="0.2">
      <c r="A2305" t="s">
        <v>2827</v>
      </c>
      <c r="B2305" s="6" t="s">
        <v>2828</v>
      </c>
      <c r="C2305">
        <v>3</v>
      </c>
      <c r="D2305" s="6" t="s">
        <v>2839</v>
      </c>
      <c r="E2305" s="8" t="s">
        <v>2998</v>
      </c>
      <c r="F2305" s="6" t="s">
        <v>1389</v>
      </c>
      <c r="H2305">
        <v>3.0000000000000001E-3</v>
      </c>
      <c r="Q2305" t="s">
        <v>9853</v>
      </c>
    </row>
    <row r="2306" spans="1:17" x14ac:dyDescent="0.2">
      <c r="A2306" t="s">
        <v>2827</v>
      </c>
      <c r="B2306" s="6" t="s">
        <v>2828</v>
      </c>
      <c r="C2306">
        <v>3</v>
      </c>
      <c r="D2306" s="6" t="s">
        <v>2839</v>
      </c>
      <c r="E2306" s="8" t="s">
        <v>2999</v>
      </c>
      <c r="F2306" s="6" t="s">
        <v>1389</v>
      </c>
      <c r="H2306">
        <v>1.0999999999999999E-2</v>
      </c>
      <c r="Q2306" t="s">
        <v>9852</v>
      </c>
    </row>
    <row r="2307" spans="1:17" x14ac:dyDescent="0.2">
      <c r="A2307" t="s">
        <v>2827</v>
      </c>
      <c r="B2307" s="6" t="s">
        <v>2828</v>
      </c>
      <c r="C2307">
        <v>3</v>
      </c>
      <c r="D2307" s="6" t="s">
        <v>2839</v>
      </c>
      <c r="E2307" s="8" t="s">
        <v>3000</v>
      </c>
      <c r="F2307" s="6" t="s">
        <v>1389</v>
      </c>
      <c r="H2307">
        <v>0.01</v>
      </c>
      <c r="Q2307" t="s">
        <v>9854</v>
      </c>
    </row>
    <row r="2308" spans="1:17" x14ac:dyDescent="0.2">
      <c r="A2308" t="s">
        <v>2827</v>
      </c>
      <c r="B2308" s="6" t="s">
        <v>2828</v>
      </c>
      <c r="C2308">
        <v>3</v>
      </c>
      <c r="D2308" s="6" t="s">
        <v>2839</v>
      </c>
      <c r="E2308" s="8" t="s">
        <v>3001</v>
      </c>
      <c r="F2308" s="6" t="s">
        <v>1389</v>
      </c>
      <c r="H2308">
        <v>6.0000000000000001E-3</v>
      </c>
      <c r="Q2308" t="s">
        <v>9855</v>
      </c>
    </row>
    <row r="2309" spans="1:17" x14ac:dyDescent="0.2">
      <c r="A2309" t="s">
        <v>2827</v>
      </c>
      <c r="B2309" s="6" t="s">
        <v>2828</v>
      </c>
      <c r="C2309">
        <v>3</v>
      </c>
      <c r="D2309" s="6" t="s">
        <v>2839</v>
      </c>
      <c r="E2309" s="8" t="s">
        <v>3002</v>
      </c>
      <c r="F2309" s="6" t="s">
        <v>1389</v>
      </c>
      <c r="H2309">
        <v>4.0000000000000001E-3</v>
      </c>
      <c r="Q2309" t="s">
        <v>9856</v>
      </c>
    </row>
    <row r="2310" spans="1:17" x14ac:dyDescent="0.2">
      <c r="A2310" t="s">
        <v>2827</v>
      </c>
      <c r="B2310" s="6" t="s">
        <v>2828</v>
      </c>
      <c r="C2310">
        <v>3</v>
      </c>
      <c r="D2310" s="6" t="s">
        <v>2839</v>
      </c>
      <c r="E2310" s="8" t="s">
        <v>3003</v>
      </c>
      <c r="F2310" s="6" t="s">
        <v>1389</v>
      </c>
      <c r="H2310">
        <v>2.7E-2</v>
      </c>
      <c r="M2310">
        <v>5</v>
      </c>
    </row>
    <row r="2311" spans="1:17" x14ac:dyDescent="0.2">
      <c r="A2311" t="s">
        <v>2827</v>
      </c>
      <c r="B2311" s="6" t="s">
        <v>2828</v>
      </c>
      <c r="C2311">
        <v>3</v>
      </c>
      <c r="D2311" s="6" t="s">
        <v>2839</v>
      </c>
      <c r="E2311" s="8" t="s">
        <v>2952</v>
      </c>
      <c r="F2311" s="6" t="s">
        <v>1389</v>
      </c>
      <c r="H2311">
        <f>0.503-0.295</f>
        <v>0.20800000000000002</v>
      </c>
    </row>
    <row r="2312" spans="1:17" x14ac:dyDescent="0.2">
      <c r="A2312" t="s">
        <v>2827</v>
      </c>
      <c r="B2312" s="6" t="s">
        <v>2828</v>
      </c>
      <c r="C2312">
        <v>3</v>
      </c>
      <c r="D2312" s="6" t="s">
        <v>2839</v>
      </c>
      <c r="E2312" s="8" t="s">
        <v>2970</v>
      </c>
      <c r="F2312" s="6" t="s">
        <v>1538</v>
      </c>
      <c r="H2312">
        <v>8.5999999999999993E-2</v>
      </c>
      <c r="Q2312" t="s">
        <v>9837</v>
      </c>
    </row>
    <row r="2313" spans="1:17" x14ac:dyDescent="0.2">
      <c r="A2313" t="s">
        <v>2827</v>
      </c>
      <c r="B2313" s="6" t="s">
        <v>2828</v>
      </c>
      <c r="C2313">
        <v>3</v>
      </c>
      <c r="D2313" s="6" t="s">
        <v>2839</v>
      </c>
      <c r="E2313" s="8" t="s">
        <v>3004</v>
      </c>
      <c r="F2313" s="6" t="s">
        <v>1538</v>
      </c>
      <c r="H2313">
        <v>1E-3</v>
      </c>
      <c r="Q2313" t="s">
        <v>9838</v>
      </c>
    </row>
    <row r="2314" spans="1:17" x14ac:dyDescent="0.2">
      <c r="A2314" t="s">
        <v>2827</v>
      </c>
      <c r="B2314" s="6" t="s">
        <v>2828</v>
      </c>
      <c r="C2314">
        <v>3</v>
      </c>
      <c r="D2314" s="6" t="s">
        <v>2839</v>
      </c>
      <c r="E2314" s="8" t="s">
        <v>2952</v>
      </c>
      <c r="F2314" s="6" t="s">
        <v>1538</v>
      </c>
      <c r="H2314">
        <f>0.777-0.41</f>
        <v>0.36700000000000005</v>
      </c>
    </row>
    <row r="2315" spans="1:17" x14ac:dyDescent="0.2">
      <c r="A2315" t="s">
        <v>2827</v>
      </c>
      <c r="B2315" s="6" t="s">
        <v>2828</v>
      </c>
      <c r="C2315">
        <v>2</v>
      </c>
      <c r="D2315" s="6" t="s">
        <v>2839</v>
      </c>
      <c r="E2315" s="8" t="s">
        <v>3005</v>
      </c>
      <c r="F2315" s="6" t="s">
        <v>1264</v>
      </c>
      <c r="H2315">
        <f>1.574-0.344</f>
        <v>1.23</v>
      </c>
      <c r="O2315" t="s">
        <v>3024</v>
      </c>
    </row>
    <row r="2316" spans="1:17" x14ac:dyDescent="0.2">
      <c r="A2316" t="s">
        <v>2827</v>
      </c>
      <c r="B2316" s="6" t="s">
        <v>2828</v>
      </c>
      <c r="C2316">
        <v>2</v>
      </c>
      <c r="D2316" s="6" t="s">
        <v>2839</v>
      </c>
      <c r="E2316" s="8" t="s">
        <v>3006</v>
      </c>
      <c r="F2316" s="6" t="s">
        <v>2789</v>
      </c>
      <c r="H2316">
        <v>0.107</v>
      </c>
      <c r="O2316" t="s">
        <v>2836</v>
      </c>
    </row>
    <row r="2317" spans="1:17" x14ac:dyDescent="0.2">
      <c r="A2317" t="s">
        <v>2827</v>
      </c>
      <c r="B2317" s="6" t="s">
        <v>2828</v>
      </c>
      <c r="C2317">
        <v>2</v>
      </c>
      <c r="D2317" s="6" t="s">
        <v>2839</v>
      </c>
      <c r="E2317" s="8" t="s">
        <v>3007</v>
      </c>
      <c r="F2317" s="6" t="s">
        <v>1344</v>
      </c>
      <c r="H2317">
        <v>0.02</v>
      </c>
      <c r="O2317" t="s">
        <v>3025</v>
      </c>
    </row>
    <row r="2318" spans="1:17" x14ac:dyDescent="0.2">
      <c r="A2318" t="s">
        <v>2827</v>
      </c>
      <c r="B2318" s="6" t="s">
        <v>2828</v>
      </c>
      <c r="C2318">
        <v>2</v>
      </c>
      <c r="D2318" s="6" t="s">
        <v>2839</v>
      </c>
      <c r="E2318" s="8" t="s">
        <v>3008</v>
      </c>
      <c r="F2318" s="6" t="s">
        <v>7138</v>
      </c>
      <c r="H2318">
        <v>0.32300000000000001</v>
      </c>
      <c r="Q2318" t="s">
        <v>9857</v>
      </c>
    </row>
    <row r="2319" spans="1:17" x14ac:dyDescent="0.2">
      <c r="A2319" t="s">
        <v>2827</v>
      </c>
      <c r="B2319" s="6" t="s">
        <v>2828</v>
      </c>
      <c r="C2319">
        <v>2</v>
      </c>
      <c r="D2319" s="6" t="s">
        <v>2839</v>
      </c>
      <c r="E2319" s="8" t="s">
        <v>3009</v>
      </c>
      <c r="F2319" s="6" t="s">
        <v>7138</v>
      </c>
      <c r="H2319">
        <v>6.9000000000000006E-2</v>
      </c>
      <c r="Q2319" t="s">
        <v>9858</v>
      </c>
    </row>
    <row r="2320" spans="1:17" x14ac:dyDescent="0.2">
      <c r="A2320" t="s">
        <v>2827</v>
      </c>
      <c r="B2320" s="6" t="s">
        <v>2828</v>
      </c>
      <c r="C2320">
        <v>2</v>
      </c>
      <c r="D2320" s="6" t="s">
        <v>2839</v>
      </c>
      <c r="E2320" s="8" t="s">
        <v>3010</v>
      </c>
      <c r="F2320" s="6" t="s">
        <v>7138</v>
      </c>
      <c r="H2320">
        <v>0.16</v>
      </c>
      <c r="Q2320" t="s">
        <v>9859</v>
      </c>
    </row>
    <row r="2321" spans="1:17" x14ac:dyDescent="0.2">
      <c r="A2321" t="s">
        <v>2827</v>
      </c>
      <c r="B2321" s="6" t="s">
        <v>2828</v>
      </c>
      <c r="C2321">
        <v>2</v>
      </c>
      <c r="D2321" s="6" t="s">
        <v>2839</v>
      </c>
      <c r="E2321" s="8" t="s">
        <v>3011</v>
      </c>
      <c r="F2321" t="s">
        <v>9043</v>
      </c>
      <c r="H2321">
        <v>1.7000000000000001E-2</v>
      </c>
      <c r="P2321" t="s">
        <v>5999</v>
      </c>
      <c r="Q2321" t="s">
        <v>5952</v>
      </c>
    </row>
    <row r="2322" spans="1:17" x14ac:dyDescent="0.2">
      <c r="A2322" t="s">
        <v>2827</v>
      </c>
      <c r="B2322" s="6" t="s">
        <v>2828</v>
      </c>
      <c r="C2322">
        <v>2</v>
      </c>
      <c r="D2322" s="6" t="s">
        <v>2839</v>
      </c>
      <c r="E2322" s="8" t="s">
        <v>3012</v>
      </c>
      <c r="F2322" t="s">
        <v>9043</v>
      </c>
      <c r="H2322">
        <v>1E-3</v>
      </c>
      <c r="Q2322" t="s">
        <v>5953</v>
      </c>
    </row>
    <row r="2323" spans="1:17" x14ac:dyDescent="0.2">
      <c r="A2323" t="s">
        <v>2827</v>
      </c>
      <c r="B2323" s="6" t="s">
        <v>2828</v>
      </c>
      <c r="C2323">
        <v>2</v>
      </c>
      <c r="D2323" s="6" t="s">
        <v>2839</v>
      </c>
      <c r="E2323" s="8" t="s">
        <v>3013</v>
      </c>
      <c r="F2323" t="s">
        <v>9043</v>
      </c>
      <c r="H2323">
        <v>1.7000000000000001E-2</v>
      </c>
      <c r="Q2323" t="s">
        <v>5957</v>
      </c>
    </row>
    <row r="2324" spans="1:17" x14ac:dyDescent="0.2">
      <c r="A2324" t="s">
        <v>2827</v>
      </c>
      <c r="B2324" s="6" t="s">
        <v>2828</v>
      </c>
      <c r="C2324">
        <v>2</v>
      </c>
      <c r="D2324" s="6" t="s">
        <v>2839</v>
      </c>
      <c r="E2324" s="8" t="s">
        <v>3014</v>
      </c>
      <c r="F2324" t="s">
        <v>9043</v>
      </c>
      <c r="H2324">
        <v>1.6E-2</v>
      </c>
      <c r="Q2324" t="s">
        <v>5958</v>
      </c>
    </row>
    <row r="2325" spans="1:17" x14ac:dyDescent="0.2">
      <c r="A2325" t="s">
        <v>2827</v>
      </c>
      <c r="B2325" s="6" t="s">
        <v>2828</v>
      </c>
      <c r="C2325">
        <v>2</v>
      </c>
      <c r="D2325" s="6" t="s">
        <v>2839</v>
      </c>
      <c r="E2325" s="8" t="s">
        <v>3015</v>
      </c>
      <c r="F2325" t="s">
        <v>9043</v>
      </c>
      <c r="H2325">
        <v>1.2E-2</v>
      </c>
      <c r="Q2325" t="s">
        <v>5955</v>
      </c>
    </row>
    <row r="2326" spans="1:17" x14ac:dyDescent="0.2">
      <c r="A2326" t="s">
        <v>2827</v>
      </c>
      <c r="B2326" s="6" t="s">
        <v>2828</v>
      </c>
      <c r="C2326">
        <v>2</v>
      </c>
      <c r="D2326" s="6" t="s">
        <v>2839</v>
      </c>
      <c r="E2326" s="8" t="s">
        <v>3016</v>
      </c>
      <c r="F2326" t="s">
        <v>9043</v>
      </c>
      <c r="H2326">
        <v>3.0000000000000001E-3</v>
      </c>
      <c r="Q2326" t="s">
        <v>5956</v>
      </c>
    </row>
    <row r="2327" spans="1:17" x14ac:dyDescent="0.2">
      <c r="A2327" t="s">
        <v>2827</v>
      </c>
      <c r="B2327" s="6" t="s">
        <v>2828</v>
      </c>
      <c r="C2327">
        <v>2</v>
      </c>
      <c r="D2327" s="6" t="s">
        <v>2839</v>
      </c>
      <c r="E2327" s="8" t="s">
        <v>3018</v>
      </c>
      <c r="F2327" t="s">
        <v>9043</v>
      </c>
      <c r="H2327">
        <v>1E-3</v>
      </c>
      <c r="Q2327" t="s">
        <v>5954</v>
      </c>
    </row>
    <row r="2328" spans="1:17" x14ac:dyDescent="0.2">
      <c r="A2328" t="s">
        <v>2827</v>
      </c>
      <c r="B2328" s="6" t="s">
        <v>2828</v>
      </c>
      <c r="C2328">
        <v>2</v>
      </c>
      <c r="D2328" s="6" t="s">
        <v>2839</v>
      </c>
      <c r="E2328" s="8" t="s">
        <v>3017</v>
      </c>
      <c r="F2328" t="s">
        <v>9043</v>
      </c>
      <c r="H2328">
        <v>4.4999999999999998E-2</v>
      </c>
      <c r="M2328">
        <v>5</v>
      </c>
    </row>
    <row r="2329" spans="1:17" x14ac:dyDescent="0.2">
      <c r="A2329" t="s">
        <v>2827</v>
      </c>
      <c r="B2329" s="6" t="s">
        <v>2828</v>
      </c>
      <c r="C2329">
        <v>2</v>
      </c>
      <c r="D2329" s="6" t="s">
        <v>2839</v>
      </c>
      <c r="E2329" s="8" t="s">
        <v>3019</v>
      </c>
      <c r="F2329" s="6" t="s">
        <v>1425</v>
      </c>
      <c r="H2329">
        <f>0.819-0.345</f>
        <v>0.47399999999999998</v>
      </c>
    </row>
    <row r="2330" spans="1:17" x14ac:dyDescent="0.2">
      <c r="A2330" t="s">
        <v>2827</v>
      </c>
      <c r="B2330" s="6" t="s">
        <v>2828</v>
      </c>
      <c r="C2330">
        <v>2</v>
      </c>
      <c r="D2330" s="6" t="s">
        <v>2839</v>
      </c>
      <c r="E2330" s="8" t="s">
        <v>3020</v>
      </c>
      <c r="F2330" s="6" t="s">
        <v>6261</v>
      </c>
      <c r="H2330">
        <v>1.7999999999999999E-2</v>
      </c>
      <c r="O2330" t="s">
        <v>6263</v>
      </c>
      <c r="Q2330" t="s">
        <v>6256</v>
      </c>
    </row>
    <row r="2331" spans="1:17" x14ac:dyDescent="0.2">
      <c r="A2331" t="s">
        <v>2827</v>
      </c>
      <c r="B2331" s="6" t="s">
        <v>2828</v>
      </c>
      <c r="C2331">
        <v>2</v>
      </c>
      <c r="D2331" s="6" t="s">
        <v>2839</v>
      </c>
      <c r="E2331" s="8" t="s">
        <v>3021</v>
      </c>
      <c r="F2331" s="6" t="s">
        <v>6261</v>
      </c>
      <c r="H2331">
        <v>7.3999999999999996E-2</v>
      </c>
      <c r="O2331" t="s">
        <v>6262</v>
      </c>
      <c r="Q2331" t="s">
        <v>6257</v>
      </c>
    </row>
    <row r="2332" spans="1:17" x14ac:dyDescent="0.2">
      <c r="A2332" t="s">
        <v>2827</v>
      </c>
      <c r="B2332" s="6" t="s">
        <v>2828</v>
      </c>
      <c r="C2332">
        <v>2</v>
      </c>
      <c r="D2332" s="6" t="s">
        <v>2839</v>
      </c>
      <c r="E2332" s="8" t="s">
        <v>3029</v>
      </c>
      <c r="F2332" s="6" t="s">
        <v>6261</v>
      </c>
      <c r="H2332">
        <v>0.01</v>
      </c>
      <c r="O2332" t="s">
        <v>6262</v>
      </c>
      <c r="Q2332" t="s">
        <v>6258</v>
      </c>
    </row>
    <row r="2333" spans="1:17" x14ac:dyDescent="0.2">
      <c r="A2333" t="s">
        <v>2827</v>
      </c>
      <c r="B2333" s="6" t="s">
        <v>2828</v>
      </c>
      <c r="C2333">
        <v>2</v>
      </c>
      <c r="D2333" s="6" t="s">
        <v>2839</v>
      </c>
      <c r="E2333" s="8" t="s">
        <v>3030</v>
      </c>
      <c r="F2333" s="6" t="s">
        <v>1425</v>
      </c>
      <c r="H2333">
        <f>0.739-0.345+0.784-0.311+0.1909</f>
        <v>1.0579000000000001</v>
      </c>
    </row>
    <row r="2334" spans="1:17" x14ac:dyDescent="0.2">
      <c r="A2334" t="s">
        <v>2827</v>
      </c>
      <c r="B2334" s="6" t="s">
        <v>2828</v>
      </c>
      <c r="C2334">
        <v>2</v>
      </c>
      <c r="D2334" s="6" t="s">
        <v>2839</v>
      </c>
      <c r="E2334" s="8" t="s">
        <v>3031</v>
      </c>
      <c r="F2334" s="6" t="s">
        <v>1425</v>
      </c>
      <c r="H2334">
        <f>0.837-0.311</f>
        <v>0.52600000000000002</v>
      </c>
    </row>
    <row r="2335" spans="1:17" x14ac:dyDescent="0.2">
      <c r="A2335" t="s">
        <v>2827</v>
      </c>
      <c r="B2335" s="6" t="s">
        <v>2828</v>
      </c>
      <c r="C2335">
        <v>2</v>
      </c>
      <c r="D2335" s="6" t="s">
        <v>2839</v>
      </c>
      <c r="E2335" s="8" t="s">
        <v>3033</v>
      </c>
      <c r="F2335" s="6" t="s">
        <v>6261</v>
      </c>
      <c r="H2335">
        <v>0.05</v>
      </c>
      <c r="O2335" t="s">
        <v>6262</v>
      </c>
      <c r="Q2335" t="s">
        <v>6259</v>
      </c>
    </row>
    <row r="2336" spans="1:17" x14ac:dyDescent="0.2">
      <c r="A2336" t="s">
        <v>2827</v>
      </c>
      <c r="B2336" s="6" t="s">
        <v>2828</v>
      </c>
      <c r="C2336">
        <v>2</v>
      </c>
      <c r="D2336" s="6" t="s">
        <v>2839</v>
      </c>
      <c r="E2336" s="8" t="s">
        <v>3034</v>
      </c>
      <c r="F2336" s="6" t="s">
        <v>6261</v>
      </c>
      <c r="H2336">
        <v>3.0000000000000001E-3</v>
      </c>
      <c r="Q2336" t="s">
        <v>6260</v>
      </c>
    </row>
    <row r="2337" spans="1:17" x14ac:dyDescent="0.2">
      <c r="A2337" t="s">
        <v>2827</v>
      </c>
      <c r="B2337" s="6" t="s">
        <v>2828</v>
      </c>
      <c r="C2337">
        <v>2</v>
      </c>
      <c r="D2337" s="6" t="s">
        <v>2839</v>
      </c>
      <c r="E2337" s="8" t="s">
        <v>3032</v>
      </c>
      <c r="F2337" s="6" t="s">
        <v>1425</v>
      </c>
      <c r="H2337">
        <v>0.312</v>
      </c>
    </row>
    <row r="2338" spans="1:17" x14ac:dyDescent="0.2">
      <c r="A2338" t="s">
        <v>2827</v>
      </c>
      <c r="B2338" s="6" t="s">
        <v>2828</v>
      </c>
      <c r="C2338">
        <v>2</v>
      </c>
      <c r="D2338" s="6" t="s">
        <v>2839</v>
      </c>
      <c r="E2338" s="8" t="s">
        <v>3035</v>
      </c>
      <c r="F2338" s="6" t="s">
        <v>1425</v>
      </c>
      <c r="H2338">
        <v>0.13</v>
      </c>
      <c r="M2338">
        <v>5</v>
      </c>
    </row>
    <row r="2339" spans="1:17" x14ac:dyDescent="0.2">
      <c r="A2339" t="s">
        <v>2827</v>
      </c>
      <c r="B2339" s="6" t="s">
        <v>2828</v>
      </c>
      <c r="C2339">
        <v>2</v>
      </c>
      <c r="D2339" s="6" t="s">
        <v>2839</v>
      </c>
      <c r="E2339" s="8" t="s">
        <v>3019</v>
      </c>
      <c r="F2339" s="6" t="s">
        <v>1538</v>
      </c>
      <c r="H2339">
        <f>0.86-0.357</f>
        <v>0.503</v>
      </c>
    </row>
    <row r="2340" spans="1:17" x14ac:dyDescent="0.2">
      <c r="A2340" t="s">
        <v>2827</v>
      </c>
      <c r="B2340" s="6" t="s">
        <v>2828</v>
      </c>
      <c r="C2340">
        <v>2</v>
      </c>
      <c r="D2340" s="6" t="s">
        <v>2839</v>
      </c>
      <c r="E2340" s="8" t="s">
        <v>3036</v>
      </c>
      <c r="F2340" s="6" t="s">
        <v>1538</v>
      </c>
      <c r="H2340">
        <v>1.6E-2</v>
      </c>
      <c r="Q2340" t="s">
        <v>6251</v>
      </c>
    </row>
    <row r="2341" spans="1:17" x14ac:dyDescent="0.2">
      <c r="A2341" t="s">
        <v>2827</v>
      </c>
      <c r="B2341" s="6" t="s">
        <v>2828</v>
      </c>
      <c r="C2341">
        <v>2</v>
      </c>
      <c r="D2341" s="6" t="s">
        <v>2839</v>
      </c>
      <c r="E2341" s="8" t="s">
        <v>3037</v>
      </c>
      <c r="F2341" s="6" t="s">
        <v>1538</v>
      </c>
      <c r="H2341">
        <v>7.0000000000000001E-3</v>
      </c>
      <c r="Q2341" t="s">
        <v>6252</v>
      </c>
    </row>
    <row r="2342" spans="1:17" x14ac:dyDescent="0.2">
      <c r="A2342" t="s">
        <v>2827</v>
      </c>
      <c r="B2342" s="6" t="s">
        <v>2828</v>
      </c>
      <c r="C2342">
        <v>2</v>
      </c>
      <c r="D2342" s="6" t="s">
        <v>2839</v>
      </c>
      <c r="E2342" s="8" t="s">
        <v>3040</v>
      </c>
      <c r="F2342" s="6" t="s">
        <v>1538</v>
      </c>
      <c r="H2342">
        <v>5.7000000000000002E-2</v>
      </c>
      <c r="Q2342" t="s">
        <v>6253</v>
      </c>
    </row>
    <row r="2343" spans="1:17" x14ac:dyDescent="0.2">
      <c r="A2343" t="s">
        <v>2827</v>
      </c>
      <c r="B2343" s="6" t="s">
        <v>2828</v>
      </c>
      <c r="C2343">
        <v>2</v>
      </c>
      <c r="D2343" s="6" t="s">
        <v>2839</v>
      </c>
      <c r="E2343" s="8" t="s">
        <v>3039</v>
      </c>
      <c r="F2343" s="6" t="s">
        <v>1538</v>
      </c>
      <c r="H2343">
        <v>7.0000000000000001E-3</v>
      </c>
      <c r="Q2343" t="s">
        <v>6255</v>
      </c>
    </row>
    <row r="2344" spans="1:17" x14ac:dyDescent="0.2">
      <c r="A2344" t="s">
        <v>2827</v>
      </c>
      <c r="B2344" s="6" t="s">
        <v>2828</v>
      </c>
      <c r="C2344">
        <v>2</v>
      </c>
      <c r="D2344" s="6" t="s">
        <v>2839</v>
      </c>
      <c r="E2344" s="8" t="s">
        <v>3038</v>
      </c>
      <c r="F2344" s="6" t="s">
        <v>1538</v>
      </c>
      <c r="H2344">
        <v>7.0000000000000001E-3</v>
      </c>
      <c r="Q2344" t="s">
        <v>6254</v>
      </c>
    </row>
    <row r="2345" spans="1:17" x14ac:dyDescent="0.2">
      <c r="A2345" t="s">
        <v>2827</v>
      </c>
      <c r="B2345" s="6" t="s">
        <v>2828</v>
      </c>
      <c r="C2345">
        <v>2</v>
      </c>
      <c r="D2345" s="6" t="s">
        <v>2839</v>
      </c>
      <c r="E2345" s="8" t="s">
        <v>3041</v>
      </c>
      <c r="F2345" s="6" t="s">
        <v>1538</v>
      </c>
      <c r="H2345">
        <v>9.4E-2</v>
      </c>
      <c r="M2345">
        <v>5</v>
      </c>
    </row>
    <row r="2346" spans="1:17" x14ac:dyDescent="0.2">
      <c r="A2346" t="s">
        <v>2827</v>
      </c>
      <c r="B2346" s="6" t="s">
        <v>2828</v>
      </c>
      <c r="C2346">
        <v>2</v>
      </c>
      <c r="D2346" s="6" t="s">
        <v>2839</v>
      </c>
      <c r="E2346" s="8" t="s">
        <v>3030</v>
      </c>
      <c r="F2346" s="6" t="s">
        <v>1538</v>
      </c>
      <c r="H2346">
        <f>1.232-0.357</f>
        <v>0.875</v>
      </c>
    </row>
    <row r="2347" spans="1:17" x14ac:dyDescent="0.2">
      <c r="A2347" t="s">
        <v>2827</v>
      </c>
      <c r="B2347" s="6" t="s">
        <v>2828</v>
      </c>
      <c r="C2347">
        <v>2</v>
      </c>
      <c r="D2347" s="6" t="s">
        <v>2839</v>
      </c>
      <c r="E2347" s="8" t="s">
        <v>3042</v>
      </c>
      <c r="F2347" s="6" t="s">
        <v>1425</v>
      </c>
      <c r="H2347">
        <v>3.0000000000000001E-3</v>
      </c>
      <c r="Q2347" t="s">
        <v>9860</v>
      </c>
    </row>
    <row r="2348" spans="1:17" x14ac:dyDescent="0.2">
      <c r="A2348" t="s">
        <v>2827</v>
      </c>
      <c r="B2348" s="6" t="s">
        <v>2828</v>
      </c>
      <c r="C2348">
        <v>2</v>
      </c>
      <c r="D2348" s="6" t="s">
        <v>2839</v>
      </c>
      <c r="E2348" s="8" t="s">
        <v>3043</v>
      </c>
      <c r="F2348" s="6" t="s">
        <v>1425</v>
      </c>
      <c r="H2348">
        <v>1.0999999999999999E-2</v>
      </c>
      <c r="Q2348" t="s">
        <v>9861</v>
      </c>
    </row>
    <row r="2349" spans="1:17" x14ac:dyDescent="0.2">
      <c r="A2349" t="s">
        <v>2827</v>
      </c>
      <c r="B2349" s="6" t="s">
        <v>2828</v>
      </c>
      <c r="C2349">
        <v>2</v>
      </c>
      <c r="D2349" s="6" t="s">
        <v>2839</v>
      </c>
      <c r="E2349" s="8" t="s">
        <v>3048</v>
      </c>
      <c r="F2349" s="6" t="s">
        <v>6250</v>
      </c>
      <c r="H2349">
        <v>8.9999999999999993E-3</v>
      </c>
      <c r="Q2349" t="s">
        <v>6245</v>
      </c>
    </row>
    <row r="2350" spans="1:17" x14ac:dyDescent="0.2">
      <c r="A2350" t="s">
        <v>2827</v>
      </c>
      <c r="B2350" s="6" t="s">
        <v>2828</v>
      </c>
      <c r="C2350">
        <v>2</v>
      </c>
      <c r="D2350" s="6" t="s">
        <v>2839</v>
      </c>
      <c r="E2350" s="8" t="s">
        <v>3049</v>
      </c>
      <c r="F2350" s="6" t="s">
        <v>6250</v>
      </c>
      <c r="H2350">
        <v>6.0000000000000001E-3</v>
      </c>
      <c r="Q2350" t="s">
        <v>6246</v>
      </c>
    </row>
    <row r="2351" spans="1:17" x14ac:dyDescent="0.2">
      <c r="A2351" t="s">
        <v>2827</v>
      </c>
      <c r="B2351" s="6" t="s">
        <v>2828</v>
      </c>
      <c r="C2351">
        <v>2</v>
      </c>
      <c r="D2351" s="6" t="s">
        <v>2839</v>
      </c>
      <c r="E2351" s="8" t="s">
        <v>3050</v>
      </c>
      <c r="F2351" s="6" t="s">
        <v>6250</v>
      </c>
      <c r="H2351">
        <v>5.0000000000000001E-3</v>
      </c>
      <c r="Q2351" t="s">
        <v>6247</v>
      </c>
    </row>
    <row r="2352" spans="1:17" x14ac:dyDescent="0.2">
      <c r="A2352" t="s">
        <v>2827</v>
      </c>
      <c r="B2352" s="6" t="s">
        <v>2828</v>
      </c>
      <c r="C2352">
        <v>2</v>
      </c>
      <c r="D2352" s="6" t="s">
        <v>2839</v>
      </c>
      <c r="E2352" s="8" t="s">
        <v>3051</v>
      </c>
      <c r="F2352" s="6" t="s">
        <v>6250</v>
      </c>
      <c r="H2352">
        <v>4.0000000000000001E-3</v>
      </c>
      <c r="Q2352" t="s">
        <v>6248</v>
      </c>
    </row>
    <row r="2353" spans="1:17" x14ac:dyDescent="0.2">
      <c r="A2353" t="s">
        <v>2827</v>
      </c>
      <c r="B2353" s="6" t="s">
        <v>2828</v>
      </c>
      <c r="C2353">
        <v>2</v>
      </c>
      <c r="D2353" s="6" t="s">
        <v>2839</v>
      </c>
      <c r="E2353" s="8" t="s">
        <v>3052</v>
      </c>
      <c r="F2353" s="6" t="s">
        <v>6250</v>
      </c>
      <c r="H2353">
        <v>2E-3</v>
      </c>
      <c r="Q2353" t="s">
        <v>6249</v>
      </c>
    </row>
    <row r="2354" spans="1:17" x14ac:dyDescent="0.2">
      <c r="A2354" t="s">
        <v>2827</v>
      </c>
      <c r="B2354" s="6" t="s">
        <v>2828</v>
      </c>
      <c r="C2354">
        <v>2</v>
      </c>
      <c r="D2354" s="6" t="s">
        <v>2839</v>
      </c>
      <c r="E2354" s="8" t="s">
        <v>3053</v>
      </c>
      <c r="F2354" s="6" t="s">
        <v>1389</v>
      </c>
      <c r="H2354">
        <v>2.1000000000000001E-2</v>
      </c>
      <c r="M2354">
        <v>4</v>
      </c>
    </row>
    <row r="2355" spans="1:17" x14ac:dyDescent="0.2">
      <c r="A2355" t="s">
        <v>2827</v>
      </c>
      <c r="B2355" s="6" t="s">
        <v>2828</v>
      </c>
      <c r="C2355">
        <v>2</v>
      </c>
      <c r="D2355" s="6" t="s">
        <v>2839</v>
      </c>
      <c r="E2355" s="8" t="s">
        <v>3044</v>
      </c>
      <c r="F2355" s="6" t="s">
        <v>1538</v>
      </c>
      <c r="H2355">
        <v>1E-3</v>
      </c>
      <c r="Q2355" t="s">
        <v>9862</v>
      </c>
    </row>
    <row r="2356" spans="1:17" x14ac:dyDescent="0.2">
      <c r="A2356" t="s">
        <v>2827</v>
      </c>
      <c r="B2356" s="6" t="s">
        <v>2828</v>
      </c>
      <c r="C2356">
        <v>2</v>
      </c>
      <c r="D2356" s="6" t="s">
        <v>2839</v>
      </c>
      <c r="E2356" s="8" t="s">
        <v>3045</v>
      </c>
      <c r="F2356" s="6" t="s">
        <v>1538</v>
      </c>
      <c r="G2356" t="s">
        <v>114</v>
      </c>
      <c r="Q2356" t="s">
        <v>9863</v>
      </c>
    </row>
    <row r="2357" spans="1:17" x14ac:dyDescent="0.2">
      <c r="A2357" t="s">
        <v>2827</v>
      </c>
      <c r="B2357" s="6" t="s">
        <v>2828</v>
      </c>
      <c r="C2357">
        <v>2</v>
      </c>
      <c r="D2357" s="6" t="s">
        <v>2839</v>
      </c>
      <c r="E2357" s="8" t="s">
        <v>3046</v>
      </c>
      <c r="F2357" s="6" t="s">
        <v>1538</v>
      </c>
      <c r="H2357">
        <v>1E-3</v>
      </c>
      <c r="Q2357" t="s">
        <v>9864</v>
      </c>
    </row>
    <row r="2358" spans="1:17" x14ac:dyDescent="0.2">
      <c r="A2358" t="s">
        <v>2827</v>
      </c>
      <c r="B2358" s="6" t="s">
        <v>2828</v>
      </c>
      <c r="C2358">
        <v>2</v>
      </c>
      <c r="D2358" s="6" t="s">
        <v>2839</v>
      </c>
      <c r="E2358" s="8" t="s">
        <v>3047</v>
      </c>
      <c r="F2358" s="6" t="s">
        <v>1538</v>
      </c>
      <c r="H2358">
        <v>2E-3</v>
      </c>
      <c r="Q2358" t="s">
        <v>9865</v>
      </c>
    </row>
    <row r="2359" spans="1:17" x14ac:dyDescent="0.2">
      <c r="A2359" t="s">
        <v>2827</v>
      </c>
      <c r="B2359" s="6" t="s">
        <v>2828</v>
      </c>
      <c r="C2359">
        <v>2</v>
      </c>
      <c r="D2359" s="6" t="s">
        <v>2839</v>
      </c>
      <c r="E2359" s="8" t="s">
        <v>3054</v>
      </c>
      <c r="F2359" s="6" t="s">
        <v>1538</v>
      </c>
      <c r="H2359">
        <v>5.0000000000000001E-3</v>
      </c>
      <c r="Q2359" t="s">
        <v>9866</v>
      </c>
    </row>
    <row r="2360" spans="1:17" x14ac:dyDescent="0.2">
      <c r="A2360" t="s">
        <v>2827</v>
      </c>
      <c r="B2360" s="6" t="s">
        <v>2828</v>
      </c>
      <c r="C2360">
        <v>2</v>
      </c>
      <c r="D2360" s="6" t="s">
        <v>2839</v>
      </c>
      <c r="E2360" s="8" t="s">
        <v>3055</v>
      </c>
      <c r="F2360" s="6" t="s">
        <v>1538</v>
      </c>
      <c r="H2360">
        <v>1.2E-2</v>
      </c>
      <c r="M2360">
        <v>5</v>
      </c>
    </row>
    <row r="2361" spans="1:17" x14ac:dyDescent="0.2">
      <c r="A2361" t="s">
        <v>2827</v>
      </c>
      <c r="B2361" s="6" t="s">
        <v>2828</v>
      </c>
      <c r="C2361">
        <v>2</v>
      </c>
      <c r="D2361" s="6" t="s">
        <v>2839</v>
      </c>
      <c r="E2361" s="8" t="s">
        <v>3030</v>
      </c>
      <c r="F2361" s="6" t="s">
        <v>1538</v>
      </c>
      <c r="H2361">
        <v>2.5000000000000001E-2</v>
      </c>
    </row>
    <row r="2362" spans="1:17" x14ac:dyDescent="0.2">
      <c r="A2362" t="s">
        <v>2827</v>
      </c>
      <c r="B2362" s="6" t="s">
        <v>2828</v>
      </c>
      <c r="C2362">
        <v>1</v>
      </c>
      <c r="D2362" s="6" t="s">
        <v>2839</v>
      </c>
      <c r="E2362" s="8" t="s">
        <v>3056</v>
      </c>
      <c r="F2362" s="6" t="s">
        <v>1264</v>
      </c>
      <c r="H2362">
        <f>9.8-1.8</f>
        <v>8</v>
      </c>
      <c r="O2362" t="s">
        <v>3058</v>
      </c>
    </row>
    <row r="2363" spans="1:17" x14ac:dyDescent="0.2">
      <c r="A2363" t="s">
        <v>2827</v>
      </c>
      <c r="B2363" s="6" t="s">
        <v>2828</v>
      </c>
      <c r="C2363">
        <v>1</v>
      </c>
      <c r="D2363" s="6" t="s">
        <v>2839</v>
      </c>
      <c r="E2363" s="8" t="s">
        <v>3057</v>
      </c>
      <c r="F2363" s="6" t="s">
        <v>998</v>
      </c>
      <c r="H2363">
        <f>8.4-0.335</f>
        <v>8.0649999999999995</v>
      </c>
    </row>
    <row r="2364" spans="1:17" x14ac:dyDescent="0.2">
      <c r="A2364" t="s">
        <v>2827</v>
      </c>
      <c r="B2364" s="6" t="s">
        <v>2828</v>
      </c>
      <c r="C2364">
        <v>1</v>
      </c>
      <c r="D2364" s="6" t="s">
        <v>2839</v>
      </c>
      <c r="E2364" s="8" t="s">
        <v>3102</v>
      </c>
      <c r="F2364" s="6" t="s">
        <v>1459</v>
      </c>
      <c r="H2364">
        <f>2.4-0.593</f>
        <v>1.8069999999999999</v>
      </c>
    </row>
    <row r="2365" spans="1:17" x14ac:dyDescent="0.2">
      <c r="A2365" t="s">
        <v>2827</v>
      </c>
      <c r="B2365" s="6" t="s">
        <v>2828</v>
      </c>
      <c r="C2365">
        <v>1</v>
      </c>
      <c r="D2365" s="6" t="s">
        <v>2839</v>
      </c>
      <c r="E2365" s="8" t="s">
        <v>3063</v>
      </c>
      <c r="F2365" s="6" t="s">
        <v>112</v>
      </c>
      <c r="H2365">
        <f>1.023-0.589</f>
        <v>0.43399999999999994</v>
      </c>
      <c r="O2365" t="s">
        <v>3103</v>
      </c>
    </row>
    <row r="2366" spans="1:17" x14ac:dyDescent="0.2">
      <c r="A2366" t="s">
        <v>2827</v>
      </c>
      <c r="B2366" s="6" t="s">
        <v>2828</v>
      </c>
      <c r="C2366">
        <v>1</v>
      </c>
      <c r="D2366" s="6" t="s">
        <v>2839</v>
      </c>
      <c r="E2366" s="8" t="s">
        <v>3104</v>
      </c>
      <c r="F2366" s="6" t="s">
        <v>5995</v>
      </c>
      <c r="H2366">
        <v>4.1000000000000002E-2</v>
      </c>
    </row>
    <row r="2367" spans="1:17" x14ac:dyDescent="0.2">
      <c r="A2367" t="s">
        <v>2827</v>
      </c>
      <c r="B2367" s="6" t="s">
        <v>2828</v>
      </c>
      <c r="C2367">
        <v>1</v>
      </c>
      <c r="D2367" s="6" t="s">
        <v>2839</v>
      </c>
      <c r="E2367" s="8" t="s">
        <v>3106</v>
      </c>
      <c r="F2367" s="6" t="s">
        <v>3107</v>
      </c>
      <c r="H2367">
        <v>2E-3</v>
      </c>
      <c r="Q2367" t="s">
        <v>9867</v>
      </c>
    </row>
    <row r="2368" spans="1:17" x14ac:dyDescent="0.2">
      <c r="A2368" t="s">
        <v>3028</v>
      </c>
      <c r="B2368" s="6" t="s">
        <v>3027</v>
      </c>
      <c r="C2368">
        <v>2</v>
      </c>
      <c r="D2368" s="6" t="s">
        <v>3060</v>
      </c>
      <c r="E2368" s="8" t="s">
        <v>3064</v>
      </c>
      <c r="F2368" s="6" t="s">
        <v>1538</v>
      </c>
      <c r="H2368">
        <v>4.2000000000000003E-2</v>
      </c>
      <c r="Q2368" t="s">
        <v>9869</v>
      </c>
    </row>
    <row r="2369" spans="1:17" x14ac:dyDescent="0.2">
      <c r="A2369" t="s">
        <v>3028</v>
      </c>
      <c r="B2369" s="6" t="s">
        <v>3027</v>
      </c>
      <c r="C2369">
        <v>2</v>
      </c>
      <c r="D2369" s="6" t="s">
        <v>3060</v>
      </c>
      <c r="E2369" s="8" t="s">
        <v>3066</v>
      </c>
      <c r="F2369" s="6" t="s">
        <v>1538</v>
      </c>
      <c r="H2369">
        <v>6.0000000000000001E-3</v>
      </c>
      <c r="Q2369" t="s">
        <v>9870</v>
      </c>
    </row>
    <row r="2370" spans="1:17" x14ac:dyDescent="0.2">
      <c r="A2370" t="s">
        <v>3028</v>
      </c>
      <c r="B2370" s="6" t="s">
        <v>3027</v>
      </c>
      <c r="C2370">
        <v>2</v>
      </c>
      <c r="D2370" s="6" t="s">
        <v>3060</v>
      </c>
      <c r="E2370" s="8" t="s">
        <v>3067</v>
      </c>
      <c r="F2370" s="6" t="s">
        <v>1538</v>
      </c>
      <c r="H2370">
        <v>1.6E-2</v>
      </c>
      <c r="Q2370" t="s">
        <v>9871</v>
      </c>
    </row>
    <row r="2371" spans="1:17" x14ac:dyDescent="0.2">
      <c r="A2371" t="s">
        <v>3028</v>
      </c>
      <c r="B2371" s="6" t="s">
        <v>3027</v>
      </c>
      <c r="C2371">
        <v>2</v>
      </c>
      <c r="D2371" s="6" t="s">
        <v>3060</v>
      </c>
      <c r="E2371" s="8" t="s">
        <v>3068</v>
      </c>
      <c r="F2371" s="6" t="s">
        <v>1538</v>
      </c>
      <c r="H2371">
        <v>2.1999999999999999E-2</v>
      </c>
      <c r="Q2371" t="s">
        <v>9872</v>
      </c>
    </row>
    <row r="2372" spans="1:17" x14ac:dyDescent="0.2">
      <c r="A2372" t="s">
        <v>3028</v>
      </c>
      <c r="B2372" s="6" t="s">
        <v>3027</v>
      </c>
      <c r="C2372">
        <v>2</v>
      </c>
      <c r="D2372" s="6" t="s">
        <v>3060</v>
      </c>
      <c r="E2372" s="8" t="s">
        <v>3071</v>
      </c>
      <c r="F2372" s="6" t="s">
        <v>1538</v>
      </c>
      <c r="H2372">
        <v>7.8E-2</v>
      </c>
      <c r="Q2372" t="s">
        <v>9873</v>
      </c>
    </row>
    <row r="2373" spans="1:17" x14ac:dyDescent="0.2">
      <c r="A2373" t="s">
        <v>3028</v>
      </c>
      <c r="B2373" s="6" t="s">
        <v>3027</v>
      </c>
      <c r="C2373">
        <v>2</v>
      </c>
      <c r="D2373" s="6" t="s">
        <v>3060</v>
      </c>
      <c r="E2373" s="8" t="s">
        <v>3070</v>
      </c>
      <c r="F2373" s="6" t="s">
        <v>1538</v>
      </c>
      <c r="H2373">
        <v>1.4999999999999999E-2</v>
      </c>
      <c r="I2373">
        <v>127</v>
      </c>
      <c r="K2373">
        <v>118</v>
      </c>
      <c r="O2373" t="s">
        <v>3097</v>
      </c>
      <c r="Q2373" t="s">
        <v>6268</v>
      </c>
    </row>
    <row r="2374" spans="1:17" x14ac:dyDescent="0.2">
      <c r="A2374" t="s">
        <v>3028</v>
      </c>
      <c r="B2374" s="6" t="s">
        <v>3027</v>
      </c>
      <c r="C2374">
        <v>2</v>
      </c>
      <c r="D2374" s="6" t="s">
        <v>3060</v>
      </c>
      <c r="E2374" s="8" t="s">
        <v>3069</v>
      </c>
      <c r="F2374" s="6" t="s">
        <v>1538</v>
      </c>
      <c r="H2374">
        <v>2.5000000000000001E-2</v>
      </c>
      <c r="I2374">
        <v>138</v>
      </c>
      <c r="K2374">
        <v>133</v>
      </c>
      <c r="O2374" t="s">
        <v>3097</v>
      </c>
      <c r="Q2374" t="s">
        <v>6267</v>
      </c>
    </row>
    <row r="2375" spans="1:17" x14ac:dyDescent="0.2">
      <c r="A2375" t="s">
        <v>3028</v>
      </c>
      <c r="B2375" s="6" t="s">
        <v>3027</v>
      </c>
      <c r="C2375">
        <v>2</v>
      </c>
      <c r="D2375" s="6" t="s">
        <v>3060</v>
      </c>
      <c r="E2375" s="8" t="s">
        <v>3073</v>
      </c>
      <c r="F2375" s="6" t="s">
        <v>1538</v>
      </c>
      <c r="H2375">
        <v>4.5999999999999999E-2</v>
      </c>
      <c r="I2375">
        <v>160</v>
      </c>
      <c r="K2375">
        <v>154</v>
      </c>
      <c r="O2375" t="s">
        <v>3097</v>
      </c>
      <c r="Q2375" t="s">
        <v>6269</v>
      </c>
    </row>
    <row r="2376" spans="1:17" x14ac:dyDescent="0.2">
      <c r="A2376" t="s">
        <v>3028</v>
      </c>
      <c r="B2376" s="6" t="s">
        <v>3027</v>
      </c>
      <c r="C2376">
        <v>2</v>
      </c>
      <c r="D2376" s="6" t="s">
        <v>3060</v>
      </c>
      <c r="E2376" s="8" t="s">
        <v>3065</v>
      </c>
      <c r="F2376" s="6" t="s">
        <v>1538</v>
      </c>
      <c r="H2376">
        <v>5.6000000000000001E-2</v>
      </c>
      <c r="I2376">
        <v>169</v>
      </c>
      <c r="K2376">
        <v>162</v>
      </c>
      <c r="O2376" t="s">
        <v>3097</v>
      </c>
      <c r="Q2376" t="s">
        <v>6265</v>
      </c>
    </row>
    <row r="2377" spans="1:17" x14ac:dyDescent="0.2">
      <c r="A2377" t="s">
        <v>3028</v>
      </c>
      <c r="B2377" s="6" t="s">
        <v>3027</v>
      </c>
      <c r="C2377">
        <v>2</v>
      </c>
      <c r="D2377" s="6" t="s">
        <v>3060</v>
      </c>
      <c r="E2377" s="8" t="s">
        <v>3072</v>
      </c>
      <c r="F2377" s="6" t="s">
        <v>1538</v>
      </c>
      <c r="H2377">
        <v>3.4000000000000002E-2</v>
      </c>
      <c r="I2377">
        <v>152</v>
      </c>
      <c r="K2377">
        <v>144</v>
      </c>
      <c r="O2377" t="s">
        <v>3097</v>
      </c>
      <c r="Q2377" t="s">
        <v>6266</v>
      </c>
    </row>
    <row r="2378" spans="1:17" x14ac:dyDescent="0.2">
      <c r="A2378" t="s">
        <v>3028</v>
      </c>
      <c r="B2378" s="6" t="s">
        <v>3027</v>
      </c>
      <c r="C2378">
        <v>2</v>
      </c>
      <c r="D2378" s="6" t="s">
        <v>3060</v>
      </c>
      <c r="E2378" s="8" t="s">
        <v>3077</v>
      </c>
      <c r="F2378" s="6" t="s">
        <v>1538</v>
      </c>
      <c r="H2378">
        <v>0.16</v>
      </c>
    </row>
    <row r="2379" spans="1:17" x14ac:dyDescent="0.2">
      <c r="A2379" t="s">
        <v>3028</v>
      </c>
      <c r="B2379" s="6" t="s">
        <v>3027</v>
      </c>
      <c r="C2379">
        <v>2</v>
      </c>
      <c r="D2379" s="6" t="s">
        <v>3060</v>
      </c>
      <c r="E2379" s="8" t="s">
        <v>3078</v>
      </c>
      <c r="F2379" s="6" t="s">
        <v>1538</v>
      </c>
      <c r="H2379">
        <v>0.78500000000000003</v>
      </c>
    </row>
    <row r="2380" spans="1:17" x14ac:dyDescent="0.2">
      <c r="A2380" t="s">
        <v>3028</v>
      </c>
      <c r="B2380" s="6" t="s">
        <v>3027</v>
      </c>
      <c r="C2380">
        <v>2</v>
      </c>
      <c r="D2380" s="6" t="s">
        <v>3060</v>
      </c>
      <c r="E2380" s="8" t="s">
        <v>3074</v>
      </c>
      <c r="F2380" s="6" t="s">
        <v>1389</v>
      </c>
      <c r="H2380">
        <v>1.4E-2</v>
      </c>
      <c r="Q2380" t="s">
        <v>9874</v>
      </c>
    </row>
    <row r="2381" spans="1:17" x14ac:dyDescent="0.2">
      <c r="A2381" t="s">
        <v>3028</v>
      </c>
      <c r="B2381" s="6" t="s">
        <v>3027</v>
      </c>
      <c r="C2381">
        <v>2</v>
      </c>
      <c r="D2381" s="6" t="s">
        <v>3060</v>
      </c>
      <c r="E2381" s="8" t="s">
        <v>3075</v>
      </c>
      <c r="F2381" s="6" t="s">
        <v>1389</v>
      </c>
      <c r="H2381">
        <v>1E-3</v>
      </c>
      <c r="Q2381" t="s">
        <v>9875</v>
      </c>
    </row>
    <row r="2382" spans="1:17" x14ac:dyDescent="0.2">
      <c r="A2382" t="s">
        <v>3028</v>
      </c>
      <c r="B2382" s="6" t="s">
        <v>3027</v>
      </c>
      <c r="C2382">
        <v>2</v>
      </c>
      <c r="D2382" s="6" t="s">
        <v>3060</v>
      </c>
      <c r="E2382" s="8" t="s">
        <v>3076</v>
      </c>
      <c r="F2382" s="6" t="s">
        <v>1389</v>
      </c>
      <c r="H2382">
        <v>5.0000000000000001E-3</v>
      </c>
      <c r="Q2382" t="s">
        <v>9876</v>
      </c>
    </row>
    <row r="2383" spans="1:17" x14ac:dyDescent="0.2">
      <c r="A2383" t="s">
        <v>3028</v>
      </c>
      <c r="B2383" s="6" t="s">
        <v>3027</v>
      </c>
      <c r="C2383">
        <v>2</v>
      </c>
      <c r="D2383" s="6" t="s">
        <v>3060</v>
      </c>
      <c r="E2383" s="8" t="s">
        <v>3079</v>
      </c>
      <c r="F2383" s="6" t="s">
        <v>1389</v>
      </c>
      <c r="H2383">
        <v>3.0000000000000001E-3</v>
      </c>
      <c r="Q2383" t="s">
        <v>9877</v>
      </c>
    </row>
    <row r="2384" spans="1:17" x14ac:dyDescent="0.2">
      <c r="A2384" t="s">
        <v>3028</v>
      </c>
      <c r="B2384" s="6" t="s">
        <v>3027</v>
      </c>
      <c r="C2384">
        <v>2</v>
      </c>
      <c r="D2384" s="6" t="s">
        <v>3060</v>
      </c>
      <c r="E2384" s="8" t="s">
        <v>3080</v>
      </c>
      <c r="F2384" s="6" t="s">
        <v>1389</v>
      </c>
      <c r="H2384">
        <v>5.0000000000000001E-3</v>
      </c>
      <c r="Q2384" t="s">
        <v>9878</v>
      </c>
    </row>
    <row r="2385" spans="1:17" x14ac:dyDescent="0.2">
      <c r="A2385" t="s">
        <v>3028</v>
      </c>
      <c r="B2385" s="6" t="s">
        <v>3027</v>
      </c>
      <c r="C2385">
        <v>2</v>
      </c>
      <c r="D2385" s="6" t="s">
        <v>3060</v>
      </c>
      <c r="E2385" s="8" t="s">
        <v>3081</v>
      </c>
      <c r="F2385" s="6" t="s">
        <v>1389</v>
      </c>
      <c r="H2385">
        <v>1.2999999999999999E-2</v>
      </c>
      <c r="I2385">
        <v>109</v>
      </c>
      <c r="K2385">
        <v>99</v>
      </c>
      <c r="O2385" t="s">
        <v>3099</v>
      </c>
      <c r="Q2385" t="s">
        <v>9879</v>
      </c>
    </row>
    <row r="2386" spans="1:17" x14ac:dyDescent="0.2">
      <c r="A2386" t="s">
        <v>3028</v>
      </c>
      <c r="B2386" s="6" t="s">
        <v>3027</v>
      </c>
      <c r="C2386">
        <v>2</v>
      </c>
      <c r="D2386" s="6" t="s">
        <v>3060</v>
      </c>
      <c r="E2386" s="8" t="s">
        <v>3082</v>
      </c>
      <c r="F2386" s="6" t="s">
        <v>1389</v>
      </c>
      <c r="H2386">
        <v>8.9999999999999993E-3</v>
      </c>
      <c r="I2386">
        <v>94</v>
      </c>
      <c r="K2386">
        <v>85</v>
      </c>
      <c r="O2386" t="s">
        <v>3100</v>
      </c>
      <c r="Q2386" t="s">
        <v>9880</v>
      </c>
    </row>
    <row r="2387" spans="1:17" x14ac:dyDescent="0.2">
      <c r="A2387" t="s">
        <v>3028</v>
      </c>
      <c r="B2387" s="6" t="s">
        <v>3027</v>
      </c>
      <c r="C2387">
        <v>2</v>
      </c>
      <c r="D2387" s="6" t="s">
        <v>3060</v>
      </c>
      <c r="E2387" s="8" t="s">
        <v>3083</v>
      </c>
      <c r="F2387" s="6" t="s">
        <v>1389</v>
      </c>
      <c r="H2387">
        <v>5.0000000000000001E-3</v>
      </c>
      <c r="I2387">
        <v>82</v>
      </c>
      <c r="K2387">
        <v>75</v>
      </c>
      <c r="O2387" t="s">
        <v>3101</v>
      </c>
      <c r="Q2387" t="s">
        <v>9881</v>
      </c>
    </row>
    <row r="2388" spans="1:17" x14ac:dyDescent="0.2">
      <c r="A2388" t="s">
        <v>3028</v>
      </c>
      <c r="B2388" s="6" t="s">
        <v>3027</v>
      </c>
      <c r="C2388">
        <v>2</v>
      </c>
      <c r="D2388" s="6" t="s">
        <v>3060</v>
      </c>
      <c r="E2388" s="8" t="s">
        <v>3084</v>
      </c>
      <c r="F2388" s="6" t="s">
        <v>1389</v>
      </c>
      <c r="H2388">
        <v>4.0000000000000001E-3</v>
      </c>
      <c r="I2388">
        <v>74</v>
      </c>
      <c r="K2388">
        <v>67</v>
      </c>
      <c r="O2388" t="s">
        <v>3101</v>
      </c>
      <c r="Q2388" t="s">
        <v>9882</v>
      </c>
    </row>
    <row r="2389" spans="1:17" x14ac:dyDescent="0.2">
      <c r="A2389" t="s">
        <v>3028</v>
      </c>
      <c r="B2389" s="6" t="s">
        <v>3027</v>
      </c>
      <c r="C2389">
        <v>2</v>
      </c>
      <c r="D2389" s="6" t="s">
        <v>3060</v>
      </c>
      <c r="E2389" s="8" t="s">
        <v>3085</v>
      </c>
      <c r="F2389" s="6" t="s">
        <v>1389</v>
      </c>
      <c r="H2389">
        <v>2E-3</v>
      </c>
      <c r="I2389">
        <v>66</v>
      </c>
      <c r="K2389">
        <v>60</v>
      </c>
      <c r="O2389" t="s">
        <v>3101</v>
      </c>
      <c r="Q2389" t="s">
        <v>9883</v>
      </c>
    </row>
    <row r="2390" spans="1:17" x14ac:dyDescent="0.2">
      <c r="A2390" t="s">
        <v>3028</v>
      </c>
      <c r="B2390" s="6" t="s">
        <v>3027</v>
      </c>
      <c r="C2390">
        <v>2</v>
      </c>
      <c r="D2390" s="6" t="s">
        <v>3060</v>
      </c>
      <c r="E2390" s="8" t="s">
        <v>3077</v>
      </c>
      <c r="F2390" s="6" t="s">
        <v>1389</v>
      </c>
      <c r="H2390">
        <v>2.1999999999999999E-2</v>
      </c>
    </row>
    <row r="2391" spans="1:17" x14ac:dyDescent="0.2">
      <c r="A2391" t="s">
        <v>3028</v>
      </c>
      <c r="B2391" s="6" t="s">
        <v>3027</v>
      </c>
      <c r="C2391">
        <v>2</v>
      </c>
      <c r="D2391" s="6" t="s">
        <v>3060</v>
      </c>
      <c r="E2391" s="8" t="s">
        <v>3078</v>
      </c>
      <c r="F2391" s="6" t="s">
        <v>1389</v>
      </c>
      <c r="H2391">
        <v>8.4000000000000005E-2</v>
      </c>
    </row>
    <row r="2392" spans="1:17" x14ac:dyDescent="0.2">
      <c r="A2392" t="s">
        <v>3028</v>
      </c>
      <c r="B2392" s="6" t="s">
        <v>3027</v>
      </c>
      <c r="C2392">
        <v>2</v>
      </c>
      <c r="D2392" s="6" t="s">
        <v>3060</v>
      </c>
      <c r="E2392" s="8" t="s">
        <v>3086</v>
      </c>
      <c r="F2392" s="6" t="s">
        <v>1264</v>
      </c>
      <c r="H2392">
        <f>2.7-0.285</f>
        <v>2.415</v>
      </c>
    </row>
    <row r="2393" spans="1:17" x14ac:dyDescent="0.2">
      <c r="A2393" t="s">
        <v>3028</v>
      </c>
      <c r="B2393" s="6" t="s">
        <v>3027</v>
      </c>
      <c r="C2393">
        <v>2</v>
      </c>
      <c r="D2393" s="6" t="s">
        <v>3060</v>
      </c>
      <c r="E2393" s="8" t="s">
        <v>3087</v>
      </c>
      <c r="F2393" s="6" t="s">
        <v>1425</v>
      </c>
      <c r="H2393">
        <v>7.5999999999999998E-2</v>
      </c>
      <c r="Q2393" t="s">
        <v>9884</v>
      </c>
    </row>
    <row r="2394" spans="1:17" x14ac:dyDescent="0.2">
      <c r="A2394" t="s">
        <v>3028</v>
      </c>
      <c r="B2394" s="6" t="s">
        <v>3027</v>
      </c>
      <c r="C2394">
        <v>2</v>
      </c>
      <c r="D2394" s="6" t="s">
        <v>3060</v>
      </c>
      <c r="E2394" s="8" t="s">
        <v>3088</v>
      </c>
      <c r="F2394" s="6" t="s">
        <v>1425</v>
      </c>
      <c r="H2394">
        <v>4.9000000000000002E-2</v>
      </c>
      <c r="Q2394" t="s">
        <v>9885</v>
      </c>
    </row>
    <row r="2395" spans="1:17" x14ac:dyDescent="0.2">
      <c r="A2395" t="s">
        <v>3028</v>
      </c>
      <c r="B2395" s="6" t="s">
        <v>3027</v>
      </c>
      <c r="C2395">
        <v>2</v>
      </c>
      <c r="D2395" s="6" t="s">
        <v>3060</v>
      </c>
      <c r="E2395" s="8" t="s">
        <v>3089</v>
      </c>
      <c r="F2395" s="6" t="s">
        <v>1425</v>
      </c>
      <c r="H2395">
        <v>2.4E-2</v>
      </c>
      <c r="Q2395" t="s">
        <v>9886</v>
      </c>
    </row>
    <row r="2396" spans="1:17" x14ac:dyDescent="0.2">
      <c r="A2396" t="s">
        <v>3028</v>
      </c>
      <c r="B2396" s="6" t="s">
        <v>3027</v>
      </c>
      <c r="C2396">
        <v>2</v>
      </c>
      <c r="D2396" s="6" t="s">
        <v>3060</v>
      </c>
      <c r="E2396" s="8" t="s">
        <v>3092</v>
      </c>
      <c r="F2396" s="6" t="s">
        <v>1425</v>
      </c>
      <c r="H2396">
        <v>4.9000000000000002E-2</v>
      </c>
      <c r="K2396">
        <v>174</v>
      </c>
      <c r="O2396" t="s">
        <v>3187</v>
      </c>
      <c r="Q2396" t="s">
        <v>9887</v>
      </c>
    </row>
    <row r="2397" spans="1:17" x14ac:dyDescent="0.2">
      <c r="A2397" t="s">
        <v>3028</v>
      </c>
      <c r="B2397" s="6" t="s">
        <v>3027</v>
      </c>
      <c r="C2397">
        <v>2</v>
      </c>
      <c r="D2397" s="6" t="s">
        <v>3060</v>
      </c>
      <c r="E2397" s="8" t="s">
        <v>3093</v>
      </c>
      <c r="F2397" s="6" t="s">
        <v>1425</v>
      </c>
      <c r="H2397">
        <v>2.7E-2</v>
      </c>
      <c r="I2397">
        <v>151</v>
      </c>
      <c r="K2397">
        <v>133</v>
      </c>
      <c r="O2397" t="s">
        <v>3098</v>
      </c>
      <c r="Q2397" t="s">
        <v>9888</v>
      </c>
    </row>
    <row r="2398" spans="1:17" x14ac:dyDescent="0.2">
      <c r="A2398" t="s">
        <v>3028</v>
      </c>
      <c r="B2398" s="6" t="s">
        <v>3027</v>
      </c>
      <c r="C2398">
        <v>2</v>
      </c>
      <c r="D2398" s="6" t="s">
        <v>3060</v>
      </c>
      <c r="E2398" s="8" t="s">
        <v>3094</v>
      </c>
      <c r="F2398" s="6" t="s">
        <v>1425</v>
      </c>
      <c r="H2398">
        <v>4.0000000000000001E-3</v>
      </c>
      <c r="I2398">
        <v>88</v>
      </c>
      <c r="O2398" t="s">
        <v>3098</v>
      </c>
      <c r="Q2398" t="s">
        <v>9889</v>
      </c>
    </row>
    <row r="2399" spans="1:17" x14ac:dyDescent="0.2">
      <c r="A2399" t="s">
        <v>3028</v>
      </c>
      <c r="B2399" s="6" t="s">
        <v>3027</v>
      </c>
      <c r="C2399">
        <v>2</v>
      </c>
      <c r="D2399" s="6" t="s">
        <v>3060</v>
      </c>
      <c r="E2399" s="8" t="s">
        <v>3077</v>
      </c>
      <c r="F2399" s="6" t="s">
        <v>1425</v>
      </c>
      <c r="H2399">
        <v>0.14299999999999999</v>
      </c>
    </row>
    <row r="2400" spans="1:17" x14ac:dyDescent="0.2">
      <c r="A2400" t="s">
        <v>3028</v>
      </c>
      <c r="B2400" s="6" t="s">
        <v>3027</v>
      </c>
      <c r="C2400">
        <v>2</v>
      </c>
      <c r="D2400" s="6" t="s">
        <v>3060</v>
      </c>
      <c r="E2400" s="8" t="s">
        <v>3108</v>
      </c>
      <c r="F2400" s="6" t="s">
        <v>1425</v>
      </c>
      <c r="H2400">
        <v>1.2E-2</v>
      </c>
      <c r="I2400">
        <v>130</v>
      </c>
      <c r="K2400">
        <v>112</v>
      </c>
      <c r="O2400" t="s">
        <v>3098</v>
      </c>
      <c r="Q2400" t="s">
        <v>9893</v>
      </c>
    </row>
    <row r="2401" spans="1:17" x14ac:dyDescent="0.2">
      <c r="A2401" t="s">
        <v>3028</v>
      </c>
      <c r="B2401" s="6" t="s">
        <v>3027</v>
      </c>
      <c r="C2401">
        <v>2</v>
      </c>
      <c r="D2401" s="6" t="s">
        <v>3060</v>
      </c>
      <c r="E2401" s="8" t="s">
        <v>3113</v>
      </c>
      <c r="F2401" s="6" t="s">
        <v>1425</v>
      </c>
      <c r="H2401">
        <v>7.0000000000000001E-3</v>
      </c>
      <c r="I2401">
        <v>110</v>
      </c>
      <c r="K2401">
        <v>940</v>
      </c>
      <c r="O2401" t="s">
        <v>3098</v>
      </c>
      <c r="Q2401" t="s">
        <v>9892</v>
      </c>
    </row>
    <row r="2402" spans="1:17" x14ac:dyDescent="0.2">
      <c r="A2402" t="s">
        <v>3028</v>
      </c>
      <c r="B2402" s="6" t="s">
        <v>3027</v>
      </c>
      <c r="C2402">
        <v>2</v>
      </c>
      <c r="D2402" s="6" t="s">
        <v>3060</v>
      </c>
      <c r="E2402" s="8" t="s">
        <v>3090</v>
      </c>
      <c r="F2402" s="6" t="s">
        <v>1425</v>
      </c>
      <c r="H2402">
        <v>1.4E-2</v>
      </c>
      <c r="Q2402" t="s">
        <v>9890</v>
      </c>
    </row>
    <row r="2403" spans="1:17" x14ac:dyDescent="0.2">
      <c r="A2403" t="s">
        <v>3028</v>
      </c>
      <c r="B2403" s="6" t="s">
        <v>3027</v>
      </c>
      <c r="C2403">
        <v>2</v>
      </c>
      <c r="D2403" s="6" t="s">
        <v>3060</v>
      </c>
      <c r="E2403" s="8" t="s">
        <v>3091</v>
      </c>
      <c r="F2403" s="6" t="s">
        <v>1425</v>
      </c>
      <c r="H2403">
        <v>6.0000000000000001E-3</v>
      </c>
      <c r="Q2403" t="s">
        <v>9891</v>
      </c>
    </row>
    <row r="2404" spans="1:17" x14ac:dyDescent="0.2">
      <c r="A2404" t="s">
        <v>3028</v>
      </c>
      <c r="B2404" s="6" t="s">
        <v>3027</v>
      </c>
      <c r="C2404">
        <v>2</v>
      </c>
      <c r="D2404" s="6" t="s">
        <v>3060</v>
      </c>
      <c r="E2404" s="8" t="s">
        <v>3112</v>
      </c>
      <c r="F2404" s="6" t="s">
        <v>1538</v>
      </c>
      <c r="H2404">
        <v>2E-3</v>
      </c>
      <c r="Q2404" t="s">
        <v>9897</v>
      </c>
    </row>
    <row r="2405" spans="1:17" x14ac:dyDescent="0.2">
      <c r="A2405" t="s">
        <v>3028</v>
      </c>
      <c r="B2405" s="6" t="s">
        <v>3027</v>
      </c>
      <c r="C2405">
        <v>2</v>
      </c>
      <c r="D2405" s="6" t="s">
        <v>3060</v>
      </c>
      <c r="E2405" s="8" t="s">
        <v>3114</v>
      </c>
      <c r="F2405" s="6" t="s">
        <v>1538</v>
      </c>
      <c r="H2405">
        <v>3.0000000000000001E-3</v>
      </c>
      <c r="Q2405" t="s">
        <v>9898</v>
      </c>
    </row>
    <row r="2406" spans="1:17" x14ac:dyDescent="0.2">
      <c r="A2406" t="s">
        <v>3028</v>
      </c>
      <c r="B2406" s="6" t="s">
        <v>3027</v>
      </c>
      <c r="C2406">
        <v>2</v>
      </c>
      <c r="D2406" s="6" t="s">
        <v>3060</v>
      </c>
      <c r="E2406" s="8" t="s">
        <v>3115</v>
      </c>
      <c r="F2406" s="6" t="s">
        <v>1538</v>
      </c>
      <c r="H2406">
        <v>6.0000000000000001E-3</v>
      </c>
      <c r="I2406">
        <v>97</v>
      </c>
      <c r="K2406">
        <v>93</v>
      </c>
      <c r="O2406" t="s">
        <v>3098</v>
      </c>
      <c r="Q2406" t="s">
        <v>9899</v>
      </c>
    </row>
    <row r="2407" spans="1:17" x14ac:dyDescent="0.2">
      <c r="A2407" t="s">
        <v>3028</v>
      </c>
      <c r="B2407" s="6" t="s">
        <v>3027</v>
      </c>
      <c r="C2407">
        <v>2</v>
      </c>
      <c r="D2407" s="6" t="s">
        <v>3060</v>
      </c>
      <c r="E2407" s="8" t="s">
        <v>3116</v>
      </c>
      <c r="F2407" s="6" t="s">
        <v>1538</v>
      </c>
      <c r="H2407">
        <v>2E-3</v>
      </c>
      <c r="I2407">
        <v>78</v>
      </c>
      <c r="K2407">
        <v>75</v>
      </c>
      <c r="O2407" t="s">
        <v>3098</v>
      </c>
      <c r="Q2407" t="s">
        <v>9900</v>
      </c>
    </row>
    <row r="2408" spans="1:17" x14ac:dyDescent="0.2">
      <c r="A2408" t="s">
        <v>3028</v>
      </c>
      <c r="B2408" s="6" t="s">
        <v>3027</v>
      </c>
      <c r="C2408">
        <v>2</v>
      </c>
      <c r="D2408" s="6" t="s">
        <v>3060</v>
      </c>
      <c r="E2408" s="8" t="s">
        <v>3117</v>
      </c>
      <c r="F2408" s="6" t="s">
        <v>1538</v>
      </c>
      <c r="H2408">
        <v>1E-3</v>
      </c>
      <c r="I2408">
        <v>64</v>
      </c>
      <c r="K2408">
        <v>63</v>
      </c>
      <c r="O2408" t="s">
        <v>3098</v>
      </c>
      <c r="Q2408" t="s">
        <v>9901</v>
      </c>
    </row>
    <row r="2409" spans="1:17" x14ac:dyDescent="0.2">
      <c r="A2409" t="s">
        <v>3028</v>
      </c>
      <c r="B2409" s="6" t="s">
        <v>3027</v>
      </c>
      <c r="C2409">
        <v>2</v>
      </c>
      <c r="D2409" s="6" t="s">
        <v>3060</v>
      </c>
      <c r="E2409" s="8" t="s">
        <v>3118</v>
      </c>
      <c r="F2409" s="6" t="s">
        <v>1538</v>
      </c>
      <c r="G2409" s="6" t="s">
        <v>114</v>
      </c>
      <c r="I2409">
        <v>49</v>
      </c>
      <c r="K2409">
        <v>47</v>
      </c>
      <c r="O2409" t="s">
        <v>3098</v>
      </c>
      <c r="Q2409" t="s">
        <v>9902</v>
      </c>
    </row>
    <row r="2410" spans="1:17" x14ac:dyDescent="0.2">
      <c r="A2410" t="s">
        <v>3028</v>
      </c>
      <c r="B2410" s="6" t="s">
        <v>3027</v>
      </c>
      <c r="C2410">
        <v>2</v>
      </c>
      <c r="D2410" s="6" t="s">
        <v>3060</v>
      </c>
      <c r="E2410" s="8" t="s">
        <v>3109</v>
      </c>
      <c r="F2410" s="6" t="s">
        <v>1538</v>
      </c>
      <c r="H2410">
        <v>8.0000000000000002E-3</v>
      </c>
      <c r="Q2410" t="s">
        <v>9894</v>
      </c>
    </row>
    <row r="2411" spans="1:17" x14ac:dyDescent="0.2">
      <c r="A2411" t="s">
        <v>3028</v>
      </c>
      <c r="B2411" s="6" t="s">
        <v>3027</v>
      </c>
      <c r="C2411">
        <v>2</v>
      </c>
      <c r="D2411" s="6" t="s">
        <v>3060</v>
      </c>
      <c r="E2411" s="8" t="s">
        <v>3110</v>
      </c>
      <c r="F2411" s="6" t="s">
        <v>1538</v>
      </c>
      <c r="H2411">
        <v>3.0000000000000001E-3</v>
      </c>
      <c r="Q2411" t="s">
        <v>9895</v>
      </c>
    </row>
    <row r="2412" spans="1:17" x14ac:dyDescent="0.2">
      <c r="A2412" t="s">
        <v>3028</v>
      </c>
      <c r="B2412" s="6" t="s">
        <v>3027</v>
      </c>
      <c r="C2412">
        <v>2</v>
      </c>
      <c r="D2412" s="6" t="s">
        <v>3060</v>
      </c>
      <c r="E2412" s="8" t="s">
        <v>3111</v>
      </c>
      <c r="F2412" s="6" t="s">
        <v>1538</v>
      </c>
      <c r="H2412">
        <v>1E-3</v>
      </c>
      <c r="Q2412" t="s">
        <v>9896</v>
      </c>
    </row>
    <row r="2413" spans="1:17" x14ac:dyDescent="0.2">
      <c r="A2413" t="s">
        <v>3028</v>
      </c>
      <c r="B2413" s="6" t="s">
        <v>3027</v>
      </c>
      <c r="C2413">
        <v>2</v>
      </c>
      <c r="D2413" s="6" t="s">
        <v>3060</v>
      </c>
      <c r="E2413" s="8" t="s">
        <v>3119</v>
      </c>
      <c r="F2413" s="6" t="s">
        <v>1538</v>
      </c>
      <c r="H2413">
        <v>6.0000000000000001E-3</v>
      </c>
      <c r="I2413">
        <v>101</v>
      </c>
      <c r="K2413">
        <v>97</v>
      </c>
      <c r="O2413" t="s">
        <v>3098</v>
      </c>
      <c r="Q2413" t="s">
        <v>9903</v>
      </c>
    </row>
    <row r="2414" spans="1:17" x14ac:dyDescent="0.2">
      <c r="A2414" t="s">
        <v>3028</v>
      </c>
      <c r="B2414" s="6" t="s">
        <v>3027</v>
      </c>
      <c r="C2414">
        <v>2</v>
      </c>
      <c r="D2414" s="6" t="s">
        <v>3060</v>
      </c>
      <c r="E2414" s="8" t="s">
        <v>3078</v>
      </c>
      <c r="F2414" s="6" t="s">
        <v>1425</v>
      </c>
      <c r="H2414">
        <v>0.152</v>
      </c>
    </row>
    <row r="2415" spans="1:17" x14ac:dyDescent="0.2">
      <c r="A2415" t="s">
        <v>3028</v>
      </c>
      <c r="B2415" s="6" t="s">
        <v>3027</v>
      </c>
      <c r="C2415">
        <v>2</v>
      </c>
      <c r="D2415" s="6" t="s">
        <v>3060</v>
      </c>
      <c r="E2415" s="8" t="s">
        <v>3077</v>
      </c>
      <c r="F2415" s="6" t="s">
        <v>1538</v>
      </c>
      <c r="H2415">
        <v>1.0999999999999999E-2</v>
      </c>
    </row>
    <row r="2416" spans="1:17" x14ac:dyDescent="0.2">
      <c r="A2416" t="s">
        <v>3028</v>
      </c>
      <c r="B2416" s="6" t="s">
        <v>3027</v>
      </c>
      <c r="C2416">
        <v>2</v>
      </c>
      <c r="D2416" s="6" t="s">
        <v>3060</v>
      </c>
      <c r="E2416" s="8" t="s">
        <v>3078</v>
      </c>
      <c r="F2416" s="6" t="s">
        <v>1538</v>
      </c>
      <c r="H2416">
        <v>1.4999999999999999E-2</v>
      </c>
    </row>
    <row r="2417" spans="1:17" x14ac:dyDescent="0.2">
      <c r="A2417" t="s">
        <v>3028</v>
      </c>
      <c r="B2417" s="6" t="s">
        <v>3027</v>
      </c>
      <c r="C2417">
        <v>3</v>
      </c>
      <c r="D2417" s="6" t="s">
        <v>3060</v>
      </c>
      <c r="E2417" s="8" t="s">
        <v>3124</v>
      </c>
      <c r="F2417" t="s">
        <v>1264</v>
      </c>
      <c r="H2417">
        <f>2.4-0.424</f>
        <v>1.976</v>
      </c>
      <c r="O2417" t="s">
        <v>3136</v>
      </c>
    </row>
    <row r="2418" spans="1:17" x14ac:dyDescent="0.2">
      <c r="A2418" t="s">
        <v>3028</v>
      </c>
      <c r="B2418" s="6" t="s">
        <v>3027</v>
      </c>
      <c r="C2418">
        <v>2</v>
      </c>
      <c r="D2418" s="6" t="s">
        <v>3060</v>
      </c>
      <c r="E2418" s="8" t="s">
        <v>3125</v>
      </c>
      <c r="F2418" s="6" t="s">
        <v>5930</v>
      </c>
      <c r="H2418">
        <v>0.01</v>
      </c>
      <c r="Q2418" t="s">
        <v>5947</v>
      </c>
    </row>
    <row r="2419" spans="1:17" x14ac:dyDescent="0.2">
      <c r="A2419" t="s">
        <v>3028</v>
      </c>
      <c r="B2419" s="6" t="s">
        <v>3027</v>
      </c>
      <c r="C2419">
        <v>2</v>
      </c>
      <c r="D2419" s="6" t="s">
        <v>3060</v>
      </c>
      <c r="E2419" s="8" t="s">
        <v>3126</v>
      </c>
      <c r="F2419" s="6" t="s">
        <v>5848</v>
      </c>
      <c r="H2419">
        <v>5.8999999999999997E-2</v>
      </c>
      <c r="Q2419" t="s">
        <v>6270</v>
      </c>
    </row>
    <row r="2420" spans="1:17" x14ac:dyDescent="0.2">
      <c r="A2420" t="s">
        <v>3028</v>
      </c>
      <c r="B2420" s="6" t="s">
        <v>3027</v>
      </c>
      <c r="C2420">
        <v>2</v>
      </c>
      <c r="D2420" s="6" t="s">
        <v>3060</v>
      </c>
      <c r="E2420" s="8" t="s">
        <v>3127</v>
      </c>
      <c r="F2420" s="6" t="s">
        <v>5930</v>
      </c>
      <c r="H2420">
        <v>2E-3</v>
      </c>
      <c r="Q2420" t="s">
        <v>5948</v>
      </c>
    </row>
    <row r="2421" spans="1:17" x14ac:dyDescent="0.2">
      <c r="A2421" t="s">
        <v>3028</v>
      </c>
      <c r="B2421" s="6" t="s">
        <v>3027</v>
      </c>
      <c r="C2421">
        <v>2</v>
      </c>
      <c r="D2421" s="6" t="s">
        <v>3060</v>
      </c>
      <c r="E2421" s="8" t="s">
        <v>3128</v>
      </c>
      <c r="F2421" s="6" t="s">
        <v>5930</v>
      </c>
      <c r="H2421">
        <v>2E-3</v>
      </c>
      <c r="Q2421" t="s">
        <v>5949</v>
      </c>
    </row>
    <row r="2422" spans="1:17" x14ac:dyDescent="0.2">
      <c r="A2422" t="s">
        <v>3028</v>
      </c>
      <c r="B2422" s="6" t="s">
        <v>3027</v>
      </c>
      <c r="C2422">
        <v>2</v>
      </c>
      <c r="D2422" s="6" t="s">
        <v>3060</v>
      </c>
      <c r="E2422" s="8" t="s">
        <v>3129</v>
      </c>
      <c r="F2422" s="6" t="s">
        <v>5930</v>
      </c>
      <c r="H2422">
        <v>1E-3</v>
      </c>
      <c r="Q2422" t="s">
        <v>5950</v>
      </c>
    </row>
    <row r="2423" spans="1:17" x14ac:dyDescent="0.2">
      <c r="A2423" t="s">
        <v>3028</v>
      </c>
      <c r="B2423" s="6" t="s">
        <v>3027</v>
      </c>
      <c r="C2423">
        <v>2</v>
      </c>
      <c r="D2423" s="6" t="s">
        <v>3060</v>
      </c>
      <c r="E2423" s="8" t="s">
        <v>3130</v>
      </c>
      <c r="F2423" s="6" t="s">
        <v>5930</v>
      </c>
      <c r="H2423">
        <v>2E-3</v>
      </c>
      <c r="Q2423" t="s">
        <v>5951</v>
      </c>
    </row>
    <row r="2424" spans="1:17" x14ac:dyDescent="0.2">
      <c r="A2424" t="s">
        <v>3028</v>
      </c>
      <c r="B2424" s="6" t="s">
        <v>3027</v>
      </c>
      <c r="C2424">
        <v>2</v>
      </c>
      <c r="D2424" s="6" t="s">
        <v>3060</v>
      </c>
      <c r="E2424" s="8" t="s">
        <v>3131</v>
      </c>
      <c r="F2424" s="6" t="s">
        <v>1311</v>
      </c>
      <c r="H2424">
        <v>2E-3</v>
      </c>
      <c r="Q2424" t="s">
        <v>9905</v>
      </c>
    </row>
    <row r="2425" spans="1:17" x14ac:dyDescent="0.2">
      <c r="A2425" t="s">
        <v>3028</v>
      </c>
      <c r="B2425" s="6" t="s">
        <v>3027</v>
      </c>
      <c r="C2425">
        <v>2</v>
      </c>
      <c r="D2425" s="6" t="s">
        <v>3060</v>
      </c>
      <c r="E2425" s="8" t="s">
        <v>3132</v>
      </c>
      <c r="F2425" s="6" t="s">
        <v>1311</v>
      </c>
      <c r="H2425">
        <v>2E-3</v>
      </c>
      <c r="Q2425" t="s">
        <v>9906</v>
      </c>
    </row>
    <row r="2426" spans="1:17" x14ac:dyDescent="0.2">
      <c r="A2426" t="s">
        <v>3028</v>
      </c>
      <c r="B2426" s="6" t="s">
        <v>3027</v>
      </c>
      <c r="C2426">
        <v>2</v>
      </c>
      <c r="D2426" s="6" t="s">
        <v>3060</v>
      </c>
      <c r="E2426" s="8" t="s">
        <v>3078</v>
      </c>
      <c r="F2426" s="6" t="s">
        <v>1538</v>
      </c>
      <c r="H2426">
        <f>0.084+0.049</f>
        <v>0.13300000000000001</v>
      </c>
    </row>
    <row r="2427" spans="1:17" x14ac:dyDescent="0.2">
      <c r="A2427" t="s">
        <v>3028</v>
      </c>
      <c r="B2427" s="6" t="s">
        <v>3027</v>
      </c>
      <c r="C2427">
        <v>2</v>
      </c>
      <c r="D2427" s="6" t="s">
        <v>3060</v>
      </c>
      <c r="E2427" s="8" t="s">
        <v>3133</v>
      </c>
      <c r="F2427" s="6" t="s">
        <v>121</v>
      </c>
      <c r="H2427">
        <v>1.9E-2</v>
      </c>
    </row>
    <row r="2428" spans="1:17" x14ac:dyDescent="0.2">
      <c r="A2428" t="s">
        <v>3028</v>
      </c>
      <c r="B2428" s="6" t="s">
        <v>3027</v>
      </c>
      <c r="C2428">
        <v>2</v>
      </c>
      <c r="D2428" s="6" t="s">
        <v>3060</v>
      </c>
      <c r="E2428" s="8" t="s">
        <v>3123</v>
      </c>
      <c r="F2428" s="6" t="s">
        <v>106</v>
      </c>
      <c r="H2428">
        <v>5.0000000000000001E-3</v>
      </c>
    </row>
    <row r="2429" spans="1:17" x14ac:dyDescent="0.2">
      <c r="A2429" t="s">
        <v>3028</v>
      </c>
      <c r="B2429" s="6" t="s">
        <v>3027</v>
      </c>
      <c r="C2429">
        <v>2</v>
      </c>
      <c r="D2429" s="6" t="s">
        <v>3060</v>
      </c>
      <c r="E2429" s="8" t="s">
        <v>3122</v>
      </c>
      <c r="F2429" s="6" t="s">
        <v>2957</v>
      </c>
      <c r="H2429">
        <v>6.0000000000000001E-3</v>
      </c>
    </row>
    <row r="2430" spans="1:17" x14ac:dyDescent="0.2">
      <c r="A2430" t="s">
        <v>3028</v>
      </c>
      <c r="B2430" s="6" t="s">
        <v>3027</v>
      </c>
      <c r="C2430">
        <v>2</v>
      </c>
      <c r="D2430" s="6" t="s">
        <v>3060</v>
      </c>
      <c r="E2430" s="8" t="s">
        <v>3134</v>
      </c>
      <c r="F2430" s="6" t="s">
        <v>118</v>
      </c>
      <c r="H2430">
        <v>1.2999999999999999E-2</v>
      </c>
      <c r="O2430" t="s">
        <v>810</v>
      </c>
      <c r="P2430" t="s">
        <v>3150</v>
      </c>
    </row>
    <row r="2431" spans="1:17" x14ac:dyDescent="0.2">
      <c r="A2431" t="s">
        <v>3028</v>
      </c>
      <c r="B2431" s="6" t="s">
        <v>3027</v>
      </c>
      <c r="C2431">
        <v>2</v>
      </c>
      <c r="D2431" s="6" t="s">
        <v>3060</v>
      </c>
      <c r="E2431" s="8" t="s">
        <v>3120</v>
      </c>
      <c r="F2431" s="6" t="s">
        <v>7138</v>
      </c>
      <c r="H2431">
        <v>0.02</v>
      </c>
      <c r="M2431">
        <v>5</v>
      </c>
      <c r="Q2431" t="s">
        <v>9904</v>
      </c>
    </row>
    <row r="2432" spans="1:17" x14ac:dyDescent="0.2">
      <c r="A2432" t="s">
        <v>3028</v>
      </c>
      <c r="B2432" s="6" t="s">
        <v>3027</v>
      </c>
      <c r="C2432">
        <v>2</v>
      </c>
      <c r="D2432" s="6" t="s">
        <v>3060</v>
      </c>
      <c r="E2432" s="8" t="s">
        <v>3121</v>
      </c>
      <c r="F2432" s="6" t="s">
        <v>511</v>
      </c>
      <c r="H2432">
        <v>0.02</v>
      </c>
    </row>
    <row r="2433" spans="1:17" x14ac:dyDescent="0.2">
      <c r="A2433" t="s">
        <v>3028</v>
      </c>
      <c r="B2433" s="6" t="s">
        <v>3027</v>
      </c>
      <c r="C2433">
        <v>2</v>
      </c>
      <c r="D2433" s="6" t="s">
        <v>3060</v>
      </c>
      <c r="E2433" s="8" t="s">
        <v>3078</v>
      </c>
      <c r="F2433" s="6" t="s">
        <v>3251</v>
      </c>
      <c r="H2433">
        <v>6.7000000000000004E-2</v>
      </c>
    </row>
    <row r="2434" spans="1:17" x14ac:dyDescent="0.2">
      <c r="A2434" t="s">
        <v>3028</v>
      </c>
      <c r="B2434" s="6" t="s">
        <v>3027</v>
      </c>
      <c r="C2434">
        <v>3</v>
      </c>
      <c r="D2434" s="6" t="s">
        <v>3060</v>
      </c>
      <c r="E2434" s="8" t="s">
        <v>3151</v>
      </c>
      <c r="F2434" s="6" t="s">
        <v>1389</v>
      </c>
      <c r="H2434">
        <v>0.01</v>
      </c>
    </row>
    <row r="2435" spans="1:17" x14ac:dyDescent="0.2">
      <c r="A2435" t="s">
        <v>3028</v>
      </c>
      <c r="B2435" s="6" t="s">
        <v>3027</v>
      </c>
      <c r="C2435">
        <v>3</v>
      </c>
      <c r="D2435" s="6" t="s">
        <v>3060</v>
      </c>
      <c r="E2435" s="8" t="s">
        <v>3152</v>
      </c>
      <c r="F2435" s="6" t="s">
        <v>1389</v>
      </c>
      <c r="H2435">
        <v>6.0000000000000001E-3</v>
      </c>
    </row>
    <row r="2436" spans="1:17" x14ac:dyDescent="0.2">
      <c r="A2436" t="s">
        <v>3028</v>
      </c>
      <c r="B2436" s="6" t="s">
        <v>3027</v>
      </c>
      <c r="C2436">
        <v>3</v>
      </c>
      <c r="D2436" s="6" t="s">
        <v>3060</v>
      </c>
      <c r="E2436" s="8" t="s">
        <v>3153</v>
      </c>
      <c r="F2436" s="6" t="s">
        <v>1389</v>
      </c>
      <c r="H2436">
        <v>4.0000000000000001E-3</v>
      </c>
    </row>
    <row r="2437" spans="1:17" x14ac:dyDescent="0.2">
      <c r="A2437" t="s">
        <v>3028</v>
      </c>
      <c r="B2437" s="6" t="s">
        <v>3027</v>
      </c>
      <c r="C2437">
        <v>3</v>
      </c>
      <c r="D2437" s="6" t="s">
        <v>3060</v>
      </c>
      <c r="E2437" s="8" t="s">
        <v>3154</v>
      </c>
      <c r="F2437" s="6" t="s">
        <v>1389</v>
      </c>
      <c r="H2437">
        <v>3.0000000000000001E-3</v>
      </c>
    </row>
    <row r="2438" spans="1:17" x14ac:dyDescent="0.2">
      <c r="A2438" t="s">
        <v>3028</v>
      </c>
      <c r="B2438" s="6" t="s">
        <v>3027</v>
      </c>
      <c r="C2438">
        <v>3</v>
      </c>
      <c r="D2438" s="6" t="s">
        <v>3060</v>
      </c>
      <c r="E2438" s="8" t="s">
        <v>3155</v>
      </c>
      <c r="F2438" s="6" t="s">
        <v>1389</v>
      </c>
      <c r="H2438">
        <v>1E-3</v>
      </c>
    </row>
    <row r="2439" spans="1:17" x14ac:dyDescent="0.2">
      <c r="A2439" t="s">
        <v>3028</v>
      </c>
      <c r="B2439" s="6" t="s">
        <v>3027</v>
      </c>
      <c r="C2439">
        <v>3</v>
      </c>
      <c r="D2439" s="6" t="s">
        <v>3060</v>
      </c>
      <c r="E2439" s="8" t="s">
        <v>3156</v>
      </c>
      <c r="F2439" s="6" t="s">
        <v>1389</v>
      </c>
      <c r="H2439">
        <v>3.1E-2</v>
      </c>
    </row>
    <row r="2440" spans="1:17" x14ac:dyDescent="0.2">
      <c r="A2440" t="s">
        <v>3028</v>
      </c>
      <c r="B2440" s="6" t="s">
        <v>3027</v>
      </c>
      <c r="C2440">
        <v>3</v>
      </c>
      <c r="D2440" s="6" t="s">
        <v>3060</v>
      </c>
      <c r="E2440" s="8" t="s">
        <v>3157</v>
      </c>
      <c r="F2440" s="6" t="s">
        <v>1389</v>
      </c>
      <c r="H2440">
        <v>0.14699999999999999</v>
      </c>
    </row>
    <row r="2441" spans="1:17" x14ac:dyDescent="0.2">
      <c r="A2441" t="s">
        <v>3028</v>
      </c>
      <c r="B2441" s="6" t="s">
        <v>3027</v>
      </c>
      <c r="C2441">
        <v>3</v>
      </c>
      <c r="D2441" s="6" t="s">
        <v>3060</v>
      </c>
      <c r="E2441" s="8" t="s">
        <v>3158</v>
      </c>
      <c r="F2441" s="6" t="s">
        <v>6250</v>
      </c>
      <c r="H2441">
        <v>1.0999999999999999E-2</v>
      </c>
      <c r="I2441">
        <v>100</v>
      </c>
      <c r="K2441">
        <v>90</v>
      </c>
      <c r="O2441" t="s">
        <v>6277</v>
      </c>
      <c r="Q2441" t="s">
        <v>6271</v>
      </c>
    </row>
    <row r="2442" spans="1:17" x14ac:dyDescent="0.2">
      <c r="A2442" t="s">
        <v>3028</v>
      </c>
      <c r="B2442" s="6" t="s">
        <v>3027</v>
      </c>
      <c r="C2442">
        <v>3</v>
      </c>
      <c r="D2442" s="6" t="s">
        <v>3060</v>
      </c>
      <c r="E2442" s="8" t="s">
        <v>3159</v>
      </c>
      <c r="F2442" s="6" t="s">
        <v>6250</v>
      </c>
      <c r="H2442">
        <v>6.0000000000000001E-3</v>
      </c>
      <c r="I2442">
        <v>87</v>
      </c>
      <c r="K2442">
        <v>76</v>
      </c>
      <c r="O2442" t="s">
        <v>6277</v>
      </c>
      <c r="Q2442" t="s">
        <v>6272</v>
      </c>
    </row>
    <row r="2443" spans="1:17" x14ac:dyDescent="0.2">
      <c r="A2443" t="s">
        <v>3028</v>
      </c>
      <c r="B2443" s="6" t="s">
        <v>3027</v>
      </c>
      <c r="C2443">
        <v>3</v>
      </c>
      <c r="D2443" s="6" t="s">
        <v>3060</v>
      </c>
      <c r="E2443" s="8" t="s">
        <v>3160</v>
      </c>
      <c r="F2443" s="6" t="s">
        <v>6250</v>
      </c>
      <c r="H2443">
        <v>4.0000000000000001E-3</v>
      </c>
      <c r="I2443">
        <v>78</v>
      </c>
      <c r="K2443">
        <v>70</v>
      </c>
      <c r="O2443" t="s">
        <v>6277</v>
      </c>
      <c r="Q2443" t="s">
        <v>6273</v>
      </c>
    </row>
    <row r="2444" spans="1:17" x14ac:dyDescent="0.2">
      <c r="A2444" t="s">
        <v>3028</v>
      </c>
      <c r="B2444" s="6" t="s">
        <v>3027</v>
      </c>
      <c r="C2444">
        <v>3</v>
      </c>
      <c r="D2444" s="6" t="s">
        <v>3060</v>
      </c>
      <c r="E2444" s="8" t="s">
        <v>3161</v>
      </c>
      <c r="F2444" s="6" t="s">
        <v>6250</v>
      </c>
      <c r="H2444">
        <v>3.0000000000000001E-3</v>
      </c>
      <c r="I2444">
        <v>67</v>
      </c>
      <c r="K2444">
        <v>60</v>
      </c>
      <c r="O2444" t="s">
        <v>6276</v>
      </c>
      <c r="Q2444" t="s">
        <v>6274</v>
      </c>
    </row>
    <row r="2445" spans="1:17" x14ac:dyDescent="0.2">
      <c r="A2445" t="s">
        <v>3028</v>
      </c>
      <c r="B2445" s="6" t="s">
        <v>3027</v>
      </c>
      <c r="C2445">
        <v>3</v>
      </c>
      <c r="D2445" s="6" t="s">
        <v>3060</v>
      </c>
      <c r="E2445" s="8" t="s">
        <v>3162</v>
      </c>
      <c r="F2445" s="6" t="s">
        <v>6250</v>
      </c>
      <c r="G2445">
        <v>1</v>
      </c>
      <c r="I2445">
        <v>57</v>
      </c>
      <c r="K2445">
        <v>50</v>
      </c>
      <c r="O2445" t="s">
        <v>6277</v>
      </c>
      <c r="Q2445" t="s">
        <v>6275</v>
      </c>
    </row>
    <row r="2446" spans="1:17" x14ac:dyDescent="0.2">
      <c r="A2446" t="s">
        <v>3028</v>
      </c>
      <c r="B2446" s="6" t="s">
        <v>3027</v>
      </c>
      <c r="C2446">
        <v>3</v>
      </c>
      <c r="D2446" s="6" t="s">
        <v>3060</v>
      </c>
      <c r="E2446" s="8" t="s">
        <v>3157</v>
      </c>
      <c r="F2446" s="6" t="s">
        <v>1389</v>
      </c>
      <c r="H2446">
        <f>0.471-0.345</f>
        <v>0.126</v>
      </c>
    </row>
    <row r="2447" spans="1:17" x14ac:dyDescent="0.2">
      <c r="A2447" t="s">
        <v>3028</v>
      </c>
      <c r="B2447" s="6" t="s">
        <v>3027</v>
      </c>
      <c r="C2447">
        <v>3</v>
      </c>
      <c r="D2447" s="6" t="s">
        <v>3060</v>
      </c>
      <c r="E2447" s="8" t="s">
        <v>3163</v>
      </c>
      <c r="F2447" s="6" t="s">
        <v>3183</v>
      </c>
      <c r="H2447">
        <v>4.7E-2</v>
      </c>
    </row>
    <row r="2448" spans="1:17" x14ac:dyDescent="0.2">
      <c r="A2448" t="s">
        <v>3028</v>
      </c>
      <c r="B2448" s="6" t="s">
        <v>3027</v>
      </c>
      <c r="C2448">
        <v>3</v>
      </c>
      <c r="D2448" s="6" t="s">
        <v>3060</v>
      </c>
      <c r="E2448" s="8" t="s">
        <v>3168</v>
      </c>
      <c r="F2448" s="6" t="s">
        <v>118</v>
      </c>
      <c r="H2448">
        <v>1.7000000000000001E-2</v>
      </c>
      <c r="O2448" t="s">
        <v>3185</v>
      </c>
    </row>
    <row r="2449" spans="1:17" x14ac:dyDescent="0.2">
      <c r="A2449" t="s">
        <v>3028</v>
      </c>
      <c r="B2449" s="6" t="s">
        <v>3027</v>
      </c>
      <c r="C2449">
        <v>3</v>
      </c>
      <c r="D2449" s="6" t="s">
        <v>3060</v>
      </c>
      <c r="E2449" s="8" t="s">
        <v>3169</v>
      </c>
      <c r="F2449" s="6" t="s">
        <v>9908</v>
      </c>
      <c r="H2449">
        <v>0.02</v>
      </c>
      <c r="O2449" t="s">
        <v>8529</v>
      </c>
      <c r="Q2449" t="s">
        <v>9907</v>
      </c>
    </row>
    <row r="2450" spans="1:17" x14ac:dyDescent="0.2">
      <c r="A2450" t="s">
        <v>3028</v>
      </c>
      <c r="B2450" s="6" t="s">
        <v>3027</v>
      </c>
      <c r="C2450">
        <v>3</v>
      </c>
      <c r="D2450" s="6" t="s">
        <v>3060</v>
      </c>
      <c r="E2450" s="8" t="s">
        <v>3170</v>
      </c>
      <c r="F2450" s="6" t="s">
        <v>106</v>
      </c>
      <c r="H2450">
        <v>0.04</v>
      </c>
    </row>
    <row r="2451" spans="1:17" x14ac:dyDescent="0.2">
      <c r="A2451" t="s">
        <v>3028</v>
      </c>
      <c r="B2451" s="6" t="s">
        <v>3027</v>
      </c>
      <c r="C2451">
        <v>3</v>
      </c>
      <c r="D2451" s="6" t="s">
        <v>3060</v>
      </c>
      <c r="E2451" s="8" t="s">
        <v>3157</v>
      </c>
      <c r="F2451" s="6" t="s">
        <v>3184</v>
      </c>
      <c r="H2451">
        <v>3.3000000000000002E-2</v>
      </c>
      <c r="O2451" t="s">
        <v>3186</v>
      </c>
    </row>
    <row r="2452" spans="1:17" x14ac:dyDescent="0.2">
      <c r="A2452" t="s">
        <v>3028</v>
      </c>
      <c r="B2452" s="6" t="s">
        <v>3027</v>
      </c>
      <c r="C2452">
        <v>3</v>
      </c>
      <c r="D2452" s="6" t="s">
        <v>3060</v>
      </c>
      <c r="E2452" s="8" t="s">
        <v>3171</v>
      </c>
      <c r="F2452" s="6" t="s">
        <v>1311</v>
      </c>
      <c r="H2452">
        <v>3.0000000000000001E-3</v>
      </c>
      <c r="I2452">
        <v>69</v>
      </c>
      <c r="K2452">
        <v>59</v>
      </c>
      <c r="O2452" t="s">
        <v>6276</v>
      </c>
      <c r="Q2452" t="s">
        <v>6278</v>
      </c>
    </row>
    <row r="2453" spans="1:17" x14ac:dyDescent="0.2">
      <c r="A2453" t="s">
        <v>3028</v>
      </c>
      <c r="B2453" s="6" t="s">
        <v>3027</v>
      </c>
      <c r="C2453">
        <v>3</v>
      </c>
      <c r="D2453" s="6" t="s">
        <v>3060</v>
      </c>
      <c r="E2453" s="8" t="s">
        <v>3172</v>
      </c>
      <c r="F2453" s="6" t="s">
        <v>1311</v>
      </c>
      <c r="H2453">
        <v>2E-3</v>
      </c>
      <c r="I2453">
        <v>66</v>
      </c>
      <c r="K2453">
        <v>54</v>
      </c>
      <c r="O2453" t="s">
        <v>6276</v>
      </c>
      <c r="Q2453" t="s">
        <v>6279</v>
      </c>
    </row>
    <row r="2454" spans="1:17" x14ac:dyDescent="0.2">
      <c r="A2454" t="s">
        <v>3028</v>
      </c>
      <c r="B2454" s="6" t="s">
        <v>3027</v>
      </c>
      <c r="C2454">
        <v>3</v>
      </c>
      <c r="D2454" s="6" t="s">
        <v>3060</v>
      </c>
      <c r="E2454" s="8" t="s">
        <v>3173</v>
      </c>
      <c r="F2454" s="6" t="s">
        <v>9043</v>
      </c>
      <c r="H2454">
        <v>1.2E-2</v>
      </c>
      <c r="I2454">
        <v>218</v>
      </c>
      <c r="K2454">
        <v>204</v>
      </c>
      <c r="O2454" t="s">
        <v>3098</v>
      </c>
      <c r="Q2454" t="s">
        <v>5942</v>
      </c>
    </row>
    <row r="2455" spans="1:17" x14ac:dyDescent="0.2">
      <c r="A2455" t="s">
        <v>3028</v>
      </c>
      <c r="B2455" s="6" t="s">
        <v>3027</v>
      </c>
      <c r="C2455">
        <v>3</v>
      </c>
      <c r="D2455" s="6" t="s">
        <v>3060</v>
      </c>
      <c r="E2455" s="8" t="s">
        <v>3174</v>
      </c>
      <c r="F2455" s="6" t="s">
        <v>9043</v>
      </c>
      <c r="G2455">
        <v>1</v>
      </c>
      <c r="I2455">
        <v>84</v>
      </c>
      <c r="K2455">
        <v>78</v>
      </c>
      <c r="O2455" t="s">
        <v>3098</v>
      </c>
      <c r="Q2455" t="s">
        <v>5943</v>
      </c>
    </row>
    <row r="2456" spans="1:17" x14ac:dyDescent="0.2">
      <c r="A2456" t="s">
        <v>3028</v>
      </c>
      <c r="B2456" s="6" t="s">
        <v>3027</v>
      </c>
      <c r="C2456">
        <v>3</v>
      </c>
      <c r="D2456" s="6" t="s">
        <v>3060</v>
      </c>
      <c r="E2456" s="8" t="s">
        <v>3175</v>
      </c>
      <c r="F2456" s="6" t="s">
        <v>9043</v>
      </c>
      <c r="G2456">
        <v>1</v>
      </c>
      <c r="I2456">
        <v>96</v>
      </c>
      <c r="K2456">
        <v>89</v>
      </c>
      <c r="O2456" t="s">
        <v>3098</v>
      </c>
      <c r="Q2456" t="s">
        <v>5944</v>
      </c>
    </row>
    <row r="2457" spans="1:17" x14ac:dyDescent="0.2">
      <c r="A2457" t="s">
        <v>3028</v>
      </c>
      <c r="B2457" s="6" t="s">
        <v>3027</v>
      </c>
      <c r="C2457">
        <v>3</v>
      </c>
      <c r="D2457" s="6" t="s">
        <v>3060</v>
      </c>
      <c r="E2457" s="8" t="s">
        <v>3176</v>
      </c>
      <c r="F2457" s="6" t="s">
        <v>9043</v>
      </c>
      <c r="G2457">
        <v>1</v>
      </c>
      <c r="I2457">
        <v>74</v>
      </c>
      <c r="K2457">
        <v>68</v>
      </c>
      <c r="O2457" t="s">
        <v>3098</v>
      </c>
      <c r="Q2457" t="s">
        <v>5945</v>
      </c>
    </row>
    <row r="2458" spans="1:17" x14ac:dyDescent="0.2">
      <c r="A2458" t="s">
        <v>3028</v>
      </c>
      <c r="B2458" s="6" t="s">
        <v>3027</v>
      </c>
      <c r="C2458">
        <v>3</v>
      </c>
      <c r="D2458" s="6" t="s">
        <v>3060</v>
      </c>
      <c r="E2458" s="8" t="s">
        <v>3177</v>
      </c>
      <c r="F2458" s="6" t="s">
        <v>2561</v>
      </c>
      <c r="H2458">
        <v>0.01</v>
      </c>
      <c r="I2458">
        <v>127</v>
      </c>
      <c r="K2458">
        <v>113</v>
      </c>
      <c r="O2458" t="s">
        <v>6280</v>
      </c>
      <c r="Q2458" t="s">
        <v>6281</v>
      </c>
    </row>
    <row r="2459" spans="1:17" x14ac:dyDescent="0.2">
      <c r="A2459" t="s">
        <v>3028</v>
      </c>
      <c r="B2459" s="6" t="s">
        <v>3027</v>
      </c>
      <c r="C2459">
        <v>3</v>
      </c>
      <c r="D2459" s="6" t="s">
        <v>3060</v>
      </c>
      <c r="E2459" s="8" t="s">
        <v>3178</v>
      </c>
      <c r="F2459" s="6" t="s">
        <v>1538</v>
      </c>
      <c r="H2459">
        <v>0.04</v>
      </c>
      <c r="I2459">
        <v>172</v>
      </c>
      <c r="K2459">
        <v>162</v>
      </c>
      <c r="O2459" t="s">
        <v>3098</v>
      </c>
    </row>
    <row r="2460" spans="1:17" x14ac:dyDescent="0.2">
      <c r="A2460" t="s">
        <v>3028</v>
      </c>
      <c r="B2460" s="6" t="s">
        <v>3027</v>
      </c>
      <c r="C2460">
        <v>3</v>
      </c>
      <c r="D2460" s="6" t="s">
        <v>3060</v>
      </c>
      <c r="E2460" s="8" t="s">
        <v>3179</v>
      </c>
      <c r="F2460" s="6" t="s">
        <v>1538</v>
      </c>
      <c r="H2460">
        <v>0.01</v>
      </c>
      <c r="I2460">
        <v>114</v>
      </c>
      <c r="K2460">
        <v>105</v>
      </c>
      <c r="O2460" t="s">
        <v>3098</v>
      </c>
    </row>
    <row r="2461" spans="1:17" x14ac:dyDescent="0.2">
      <c r="A2461" t="s">
        <v>3028</v>
      </c>
      <c r="B2461" s="6" t="s">
        <v>3027</v>
      </c>
      <c r="C2461">
        <v>3</v>
      </c>
      <c r="D2461" s="6" t="s">
        <v>3060</v>
      </c>
      <c r="E2461" s="8" t="s">
        <v>3180</v>
      </c>
      <c r="F2461" s="6" t="s">
        <v>1538</v>
      </c>
      <c r="H2461">
        <v>0.03</v>
      </c>
      <c r="I2461">
        <v>146</v>
      </c>
      <c r="K2461">
        <v>139</v>
      </c>
      <c r="O2461" t="s">
        <v>3098</v>
      </c>
    </row>
    <row r="2462" spans="1:17" x14ac:dyDescent="0.2">
      <c r="A2462" t="s">
        <v>3028</v>
      </c>
      <c r="B2462" s="6" t="s">
        <v>3027</v>
      </c>
      <c r="C2462">
        <v>3</v>
      </c>
      <c r="D2462" s="6" t="s">
        <v>3060</v>
      </c>
      <c r="E2462" s="8" t="s">
        <v>3181</v>
      </c>
      <c r="F2462" s="6" t="s">
        <v>1538</v>
      </c>
      <c r="G2462">
        <v>4</v>
      </c>
      <c r="I2462">
        <v>91</v>
      </c>
      <c r="K2462">
        <v>86</v>
      </c>
      <c r="O2462" t="s">
        <v>3098</v>
      </c>
    </row>
    <row r="2463" spans="1:17" x14ac:dyDescent="0.2">
      <c r="A2463" t="s">
        <v>3028</v>
      </c>
      <c r="B2463" s="6" t="s">
        <v>3027</v>
      </c>
      <c r="C2463">
        <v>3</v>
      </c>
      <c r="D2463" s="6" t="s">
        <v>3060</v>
      </c>
      <c r="E2463" s="8" t="s">
        <v>3188</v>
      </c>
      <c r="F2463" s="6" t="s">
        <v>6282</v>
      </c>
      <c r="H2463">
        <v>2.5000000000000001E-2</v>
      </c>
      <c r="I2463">
        <v>157</v>
      </c>
      <c r="K2463">
        <v>131</v>
      </c>
      <c r="O2463" t="s">
        <v>6277</v>
      </c>
      <c r="Q2463" t="s">
        <v>6284</v>
      </c>
    </row>
    <row r="2464" spans="1:17" x14ac:dyDescent="0.2">
      <c r="A2464" t="s">
        <v>3028</v>
      </c>
      <c r="B2464" s="6" t="s">
        <v>3027</v>
      </c>
      <c r="C2464">
        <v>3</v>
      </c>
      <c r="D2464" s="6" t="s">
        <v>3060</v>
      </c>
      <c r="E2464" s="8" t="s">
        <v>3189</v>
      </c>
      <c r="F2464" s="6" t="s">
        <v>6283</v>
      </c>
      <c r="H2464">
        <v>1.2E-2</v>
      </c>
      <c r="I2464">
        <v>129</v>
      </c>
      <c r="K2464">
        <v>102</v>
      </c>
      <c r="O2464" t="s">
        <v>6277</v>
      </c>
      <c r="Q2464" t="s">
        <v>6285</v>
      </c>
    </row>
    <row r="2465" spans="1:17" x14ac:dyDescent="0.2">
      <c r="A2465" t="s">
        <v>3028</v>
      </c>
      <c r="B2465" s="6" t="s">
        <v>3027</v>
      </c>
      <c r="C2465">
        <v>4</v>
      </c>
      <c r="D2465" s="6" t="s">
        <v>3060</v>
      </c>
      <c r="E2465" s="8" t="s">
        <v>3190</v>
      </c>
      <c r="F2465" s="6" t="s">
        <v>1264</v>
      </c>
      <c r="H2465">
        <f>8.1-0.257</f>
        <v>7.843</v>
      </c>
      <c r="O2465" t="s">
        <v>3217</v>
      </c>
    </row>
    <row r="2466" spans="1:17" x14ac:dyDescent="0.2">
      <c r="A2466" t="s">
        <v>3028</v>
      </c>
      <c r="B2466" s="6" t="s">
        <v>3027</v>
      </c>
      <c r="C2466">
        <v>3</v>
      </c>
      <c r="D2466" s="6" t="s">
        <v>3060</v>
      </c>
      <c r="E2466" s="8" t="s">
        <v>3191</v>
      </c>
      <c r="F2466" s="6" t="s">
        <v>6283</v>
      </c>
      <c r="H2466">
        <v>4.0000000000000001E-3</v>
      </c>
      <c r="I2466">
        <v>99</v>
      </c>
      <c r="K2466">
        <v>82</v>
      </c>
      <c r="O2466" t="s">
        <v>6280</v>
      </c>
      <c r="Q2466" t="s">
        <v>6286</v>
      </c>
    </row>
    <row r="2467" spans="1:17" x14ac:dyDescent="0.2">
      <c r="A2467" t="s">
        <v>3028</v>
      </c>
      <c r="B2467" s="6" t="s">
        <v>3027</v>
      </c>
      <c r="C2467">
        <v>3</v>
      </c>
      <c r="D2467" s="6" t="s">
        <v>3060</v>
      </c>
      <c r="E2467" s="8" t="s">
        <v>3163</v>
      </c>
      <c r="F2467" s="6" t="s">
        <v>6283</v>
      </c>
      <c r="H2467">
        <v>8.9999999999999993E-3</v>
      </c>
      <c r="I2467">
        <v>121</v>
      </c>
      <c r="K2467">
        <v>100</v>
      </c>
      <c r="O2467" t="s">
        <v>6277</v>
      </c>
      <c r="Q2467" t="s">
        <v>6287</v>
      </c>
    </row>
    <row r="2468" spans="1:17" x14ac:dyDescent="0.2">
      <c r="A2468" t="s">
        <v>3028</v>
      </c>
      <c r="B2468" s="6" t="s">
        <v>3027</v>
      </c>
      <c r="C2468">
        <v>3</v>
      </c>
      <c r="D2468" s="6" t="s">
        <v>3060</v>
      </c>
      <c r="E2468" s="8" t="s">
        <v>3165</v>
      </c>
      <c r="F2468" s="6" t="s">
        <v>1425</v>
      </c>
      <c r="H2468">
        <v>0.01</v>
      </c>
      <c r="Q2468" t="s">
        <v>9909</v>
      </c>
    </row>
    <row r="2469" spans="1:17" x14ac:dyDescent="0.2">
      <c r="A2469" t="s">
        <v>3028</v>
      </c>
      <c r="B2469" s="6" t="s">
        <v>3027</v>
      </c>
      <c r="C2469">
        <v>3</v>
      </c>
      <c r="D2469" s="6" t="s">
        <v>3060</v>
      </c>
      <c r="E2469" s="8" t="s">
        <v>3166</v>
      </c>
      <c r="F2469" s="6" t="s">
        <v>1425</v>
      </c>
      <c r="H2469">
        <v>4.0000000000000001E-3</v>
      </c>
      <c r="Q2469" t="s">
        <v>9910</v>
      </c>
    </row>
    <row r="2470" spans="1:17" x14ac:dyDescent="0.2">
      <c r="A2470" t="s">
        <v>3028</v>
      </c>
      <c r="B2470" s="6" t="s">
        <v>3027</v>
      </c>
      <c r="C2470">
        <v>3</v>
      </c>
      <c r="D2470" s="6" t="s">
        <v>3060</v>
      </c>
      <c r="E2470" s="8" t="s">
        <v>3167</v>
      </c>
      <c r="F2470" s="6" t="s">
        <v>1425</v>
      </c>
      <c r="H2470">
        <v>5.0000000000000001E-3</v>
      </c>
      <c r="Q2470" t="s">
        <v>9911</v>
      </c>
    </row>
    <row r="2471" spans="1:17" x14ac:dyDescent="0.2">
      <c r="A2471" t="s">
        <v>3028</v>
      </c>
      <c r="B2471" s="6" t="s">
        <v>3027</v>
      </c>
      <c r="C2471">
        <v>3</v>
      </c>
      <c r="D2471" s="6" t="s">
        <v>3060</v>
      </c>
      <c r="E2471" s="8" t="s">
        <v>3193</v>
      </c>
      <c r="F2471" s="6" t="s">
        <v>1425</v>
      </c>
      <c r="H2471">
        <v>4.0000000000000001E-3</v>
      </c>
      <c r="Q2471" t="s">
        <v>9912</v>
      </c>
    </row>
    <row r="2472" spans="1:17" x14ac:dyDescent="0.2">
      <c r="A2472" t="s">
        <v>3028</v>
      </c>
      <c r="B2472" s="6" t="s">
        <v>3027</v>
      </c>
      <c r="C2472">
        <v>3</v>
      </c>
      <c r="D2472" s="6" t="s">
        <v>3060</v>
      </c>
      <c r="E2472" s="8" t="s">
        <v>3192</v>
      </c>
      <c r="F2472" s="6" t="s">
        <v>1425</v>
      </c>
      <c r="H2472">
        <v>8.0000000000000002E-3</v>
      </c>
      <c r="Q2472" t="s">
        <v>9913</v>
      </c>
    </row>
    <row r="2473" spans="1:17" x14ac:dyDescent="0.2">
      <c r="A2473" t="s">
        <v>3028</v>
      </c>
      <c r="B2473" s="6" t="s">
        <v>3027</v>
      </c>
      <c r="C2473">
        <v>3</v>
      </c>
      <c r="D2473" s="6" t="s">
        <v>3060</v>
      </c>
      <c r="E2473" s="8" t="s">
        <v>3164</v>
      </c>
      <c r="F2473" s="6" t="s">
        <v>1425</v>
      </c>
      <c r="H2473">
        <v>5.0000000000000001E-3</v>
      </c>
      <c r="I2473">
        <v>102</v>
      </c>
      <c r="K2473">
        <v>84</v>
      </c>
      <c r="O2473" t="s">
        <v>3098</v>
      </c>
      <c r="Q2473" t="s">
        <v>9914</v>
      </c>
    </row>
    <row r="2474" spans="1:17" x14ac:dyDescent="0.2">
      <c r="A2474" t="s">
        <v>3028</v>
      </c>
      <c r="B2474" s="6" t="s">
        <v>3027</v>
      </c>
      <c r="C2474" t="s">
        <v>462</v>
      </c>
      <c r="D2474" s="6" t="s">
        <v>3060</v>
      </c>
      <c r="E2474" s="8" t="s">
        <v>3195</v>
      </c>
      <c r="F2474" t="s">
        <v>740</v>
      </c>
      <c r="H2474">
        <v>4.4999999999999998E-2</v>
      </c>
    </row>
    <row r="2475" spans="1:17" x14ac:dyDescent="0.2">
      <c r="A2475" t="s">
        <v>3028</v>
      </c>
      <c r="B2475" s="6" t="s">
        <v>3027</v>
      </c>
      <c r="C2475">
        <v>4</v>
      </c>
      <c r="D2475" s="6" t="s">
        <v>3060</v>
      </c>
      <c r="E2475" s="8" t="s">
        <v>3196</v>
      </c>
      <c r="F2475" s="6" t="s">
        <v>121</v>
      </c>
      <c r="H2475">
        <v>3.0000000000000001E-3</v>
      </c>
    </row>
    <row r="2476" spans="1:17" x14ac:dyDescent="0.2">
      <c r="A2476" t="s">
        <v>3028</v>
      </c>
      <c r="B2476" s="6" t="s">
        <v>3027</v>
      </c>
      <c r="C2476">
        <v>4</v>
      </c>
      <c r="D2476" s="6" t="s">
        <v>3060</v>
      </c>
      <c r="E2476" s="8" t="s">
        <v>3199</v>
      </c>
      <c r="F2476" s="6" t="s">
        <v>106</v>
      </c>
      <c r="H2476">
        <v>4.0000000000000001E-3</v>
      </c>
    </row>
    <row r="2477" spans="1:17" x14ac:dyDescent="0.2">
      <c r="A2477" t="s">
        <v>3028</v>
      </c>
      <c r="B2477" s="6" t="s">
        <v>3027</v>
      </c>
      <c r="C2477">
        <v>4</v>
      </c>
      <c r="D2477" s="6" t="s">
        <v>3060</v>
      </c>
      <c r="E2477" s="8" t="s">
        <v>3200</v>
      </c>
      <c r="F2477" s="6" t="s">
        <v>7138</v>
      </c>
      <c r="G2477" s="6" t="s">
        <v>114</v>
      </c>
      <c r="M2477">
        <v>2</v>
      </c>
      <c r="Q2477" t="s">
        <v>9919</v>
      </c>
    </row>
    <row r="2478" spans="1:17" x14ac:dyDescent="0.2">
      <c r="A2478" t="s">
        <v>3028</v>
      </c>
      <c r="B2478" s="6" t="s">
        <v>3027</v>
      </c>
      <c r="C2478">
        <v>4</v>
      </c>
      <c r="D2478" s="6" t="s">
        <v>3060</v>
      </c>
      <c r="E2478" s="8" t="s">
        <v>3201</v>
      </c>
      <c r="F2478" s="6" t="s">
        <v>3183</v>
      </c>
      <c r="H2478">
        <v>1E-3</v>
      </c>
    </row>
    <row r="2479" spans="1:17" x14ac:dyDescent="0.2">
      <c r="A2479" t="s">
        <v>3028</v>
      </c>
      <c r="B2479" s="6" t="s">
        <v>3027</v>
      </c>
      <c r="C2479">
        <v>4</v>
      </c>
      <c r="D2479" s="6" t="s">
        <v>3060</v>
      </c>
      <c r="E2479" s="8" t="s">
        <v>3202</v>
      </c>
      <c r="F2479" s="6" t="s">
        <v>3183</v>
      </c>
      <c r="H2479">
        <v>8.1000000000000003E-2</v>
      </c>
    </row>
    <row r="2480" spans="1:17" x14ac:dyDescent="0.2">
      <c r="A2480" t="s">
        <v>3028</v>
      </c>
      <c r="B2480" s="6" t="s">
        <v>3027</v>
      </c>
      <c r="C2480">
        <v>4</v>
      </c>
      <c r="D2480" s="6" t="s">
        <v>3060</v>
      </c>
      <c r="E2480" s="8" t="s">
        <v>3203</v>
      </c>
      <c r="F2480" s="6" t="s">
        <v>3215</v>
      </c>
      <c r="H2480">
        <v>1.9E-2</v>
      </c>
    </row>
    <row r="2481" spans="1:17" x14ac:dyDescent="0.2">
      <c r="A2481" t="s">
        <v>3028</v>
      </c>
      <c r="B2481" s="6" t="s">
        <v>3027</v>
      </c>
      <c r="C2481">
        <v>4</v>
      </c>
      <c r="D2481" s="6" t="s">
        <v>3060</v>
      </c>
      <c r="E2481" s="8" t="s">
        <v>3204</v>
      </c>
      <c r="F2481" s="6" t="s">
        <v>2957</v>
      </c>
      <c r="H2481">
        <v>0.13100000000000001</v>
      </c>
    </row>
    <row r="2482" spans="1:17" x14ac:dyDescent="0.2">
      <c r="A2482" t="s">
        <v>3028</v>
      </c>
      <c r="B2482" s="6" t="s">
        <v>3027</v>
      </c>
      <c r="C2482">
        <v>3</v>
      </c>
      <c r="D2482" s="6" t="s">
        <v>3060</v>
      </c>
      <c r="E2482" s="8" t="s">
        <v>3205</v>
      </c>
      <c r="F2482" s="6" t="s">
        <v>698</v>
      </c>
      <c r="G2482" s="6" t="s">
        <v>114</v>
      </c>
    </row>
    <row r="2483" spans="1:17" x14ac:dyDescent="0.2">
      <c r="A2483" t="s">
        <v>3028</v>
      </c>
      <c r="B2483" s="6" t="s">
        <v>3027</v>
      </c>
      <c r="C2483">
        <v>3</v>
      </c>
      <c r="D2483" s="6" t="s">
        <v>3060</v>
      </c>
      <c r="E2483" s="8" t="s">
        <v>3157</v>
      </c>
      <c r="F2483" s="6" t="s">
        <v>1425</v>
      </c>
      <c r="H2483">
        <v>2.1999999999999999E-2</v>
      </c>
    </row>
    <row r="2484" spans="1:17" x14ac:dyDescent="0.2">
      <c r="A2484" t="s">
        <v>3028</v>
      </c>
      <c r="B2484" s="6" t="s">
        <v>3027</v>
      </c>
      <c r="C2484">
        <v>3</v>
      </c>
      <c r="D2484" s="6" t="s">
        <v>3060</v>
      </c>
      <c r="E2484" s="8" t="s">
        <v>3194</v>
      </c>
      <c r="F2484" s="6" t="s">
        <v>1538</v>
      </c>
      <c r="G2484" s="6" t="s">
        <v>114</v>
      </c>
      <c r="I2484">
        <v>50</v>
      </c>
      <c r="K2484">
        <v>47</v>
      </c>
      <c r="O2484" t="s">
        <v>3098</v>
      </c>
      <c r="Q2484" t="s">
        <v>9915</v>
      </c>
    </row>
    <row r="2485" spans="1:17" x14ac:dyDescent="0.2">
      <c r="A2485" t="s">
        <v>3028</v>
      </c>
      <c r="B2485" s="6" t="s">
        <v>3027</v>
      </c>
      <c r="C2485">
        <v>3</v>
      </c>
      <c r="D2485" s="6" t="s">
        <v>3060</v>
      </c>
      <c r="E2485" s="8" t="s">
        <v>3206</v>
      </c>
      <c r="F2485" s="6" t="s">
        <v>1538</v>
      </c>
      <c r="G2485" s="6" t="s">
        <v>114</v>
      </c>
      <c r="I2485">
        <v>51</v>
      </c>
      <c r="K2485">
        <v>47</v>
      </c>
      <c r="O2485" t="s">
        <v>3098</v>
      </c>
      <c r="Q2485" t="s">
        <v>9916</v>
      </c>
    </row>
    <row r="2486" spans="1:17" x14ac:dyDescent="0.2">
      <c r="A2486" t="s">
        <v>3028</v>
      </c>
      <c r="B2486" s="6" t="s">
        <v>3027</v>
      </c>
      <c r="C2486">
        <v>3</v>
      </c>
      <c r="D2486" s="6" t="s">
        <v>3060</v>
      </c>
      <c r="E2486" s="8" t="s">
        <v>3207</v>
      </c>
      <c r="F2486" s="6" t="s">
        <v>1538</v>
      </c>
      <c r="G2486" s="6" t="s">
        <v>114</v>
      </c>
      <c r="I2486">
        <v>56</v>
      </c>
      <c r="K2486">
        <v>53</v>
      </c>
      <c r="O2486" t="s">
        <v>3098</v>
      </c>
      <c r="Q2486" t="s">
        <v>9917</v>
      </c>
    </row>
    <row r="2487" spans="1:17" x14ac:dyDescent="0.2">
      <c r="A2487" t="s">
        <v>3028</v>
      </c>
      <c r="B2487" s="6" t="s">
        <v>3027</v>
      </c>
      <c r="C2487">
        <v>3</v>
      </c>
      <c r="D2487" s="6" t="s">
        <v>3060</v>
      </c>
      <c r="E2487" s="8" t="s">
        <v>3205</v>
      </c>
      <c r="F2487" s="6" t="s">
        <v>698</v>
      </c>
      <c r="G2487" s="6" t="s">
        <v>114</v>
      </c>
      <c r="Q2487" t="s">
        <v>9918</v>
      </c>
    </row>
    <row r="2488" spans="1:17" x14ac:dyDescent="0.2">
      <c r="A2488" t="s">
        <v>3028</v>
      </c>
      <c r="B2488" s="6" t="s">
        <v>3027</v>
      </c>
      <c r="C2488">
        <v>4</v>
      </c>
      <c r="D2488" s="6" t="s">
        <v>3060</v>
      </c>
      <c r="E2488" s="8" t="s">
        <v>3208</v>
      </c>
      <c r="F2488" s="6" t="s">
        <v>1389</v>
      </c>
      <c r="H2488">
        <v>4.0000000000000001E-3</v>
      </c>
      <c r="Q2488" t="s">
        <v>9934</v>
      </c>
    </row>
    <row r="2489" spans="1:17" x14ac:dyDescent="0.2">
      <c r="A2489" t="s">
        <v>3028</v>
      </c>
      <c r="B2489" s="6" t="s">
        <v>3027</v>
      </c>
      <c r="C2489">
        <v>4</v>
      </c>
      <c r="D2489" s="6" t="s">
        <v>3060</v>
      </c>
      <c r="E2489" s="8" t="s">
        <v>3209</v>
      </c>
      <c r="F2489" s="6" t="s">
        <v>1389</v>
      </c>
      <c r="H2489">
        <v>3.0000000000000001E-3</v>
      </c>
      <c r="Q2489" t="s">
        <v>9933</v>
      </c>
    </row>
    <row r="2490" spans="1:17" x14ac:dyDescent="0.2">
      <c r="A2490" t="s">
        <v>3028</v>
      </c>
      <c r="B2490" s="6" t="s">
        <v>3027</v>
      </c>
      <c r="C2490">
        <v>4</v>
      </c>
      <c r="D2490" s="6" t="s">
        <v>3060</v>
      </c>
      <c r="E2490" s="8" t="s">
        <v>3210</v>
      </c>
      <c r="F2490" s="6" t="s">
        <v>1389</v>
      </c>
      <c r="H2490">
        <v>5.0000000000000001E-3</v>
      </c>
      <c r="Q2490" t="s">
        <v>9932</v>
      </c>
    </row>
    <row r="2491" spans="1:17" x14ac:dyDescent="0.2">
      <c r="A2491" t="s">
        <v>3028</v>
      </c>
      <c r="B2491" s="6" t="s">
        <v>3027</v>
      </c>
      <c r="C2491">
        <v>4</v>
      </c>
      <c r="D2491" s="6" t="s">
        <v>3060</v>
      </c>
      <c r="E2491" s="8" t="s">
        <v>3211</v>
      </c>
      <c r="F2491" s="6" t="s">
        <v>7845</v>
      </c>
      <c r="G2491" s="6" t="s">
        <v>114</v>
      </c>
      <c r="Q2491" t="s">
        <v>9931</v>
      </c>
    </row>
    <row r="2492" spans="1:17" x14ac:dyDescent="0.2">
      <c r="A2492" t="s">
        <v>3028</v>
      </c>
      <c r="B2492" s="6" t="s">
        <v>3027</v>
      </c>
      <c r="C2492">
        <v>4</v>
      </c>
      <c r="D2492" s="6" t="s">
        <v>3060</v>
      </c>
      <c r="E2492" s="8" t="s">
        <v>3212</v>
      </c>
      <c r="F2492" s="6" t="s">
        <v>1389</v>
      </c>
      <c r="H2492">
        <v>6.0000000000000001E-3</v>
      </c>
      <c r="Q2492" t="s">
        <v>9930</v>
      </c>
    </row>
    <row r="2493" spans="1:17" x14ac:dyDescent="0.2">
      <c r="A2493" t="s">
        <v>3028</v>
      </c>
      <c r="B2493" s="6" t="s">
        <v>3027</v>
      </c>
      <c r="C2493">
        <v>4</v>
      </c>
      <c r="D2493" s="6" t="s">
        <v>3060</v>
      </c>
      <c r="E2493" s="8" t="s">
        <v>3213</v>
      </c>
      <c r="F2493" s="6" t="s">
        <v>1538</v>
      </c>
      <c r="H2493">
        <v>3.6999999999999998E-2</v>
      </c>
      <c r="I2493">
        <v>163</v>
      </c>
      <c r="K2493">
        <v>154</v>
      </c>
      <c r="O2493" t="s">
        <v>3098</v>
      </c>
      <c r="Q2493" t="s">
        <v>9924</v>
      </c>
    </row>
    <row r="2494" spans="1:17" x14ac:dyDescent="0.2">
      <c r="A2494" t="s">
        <v>3028</v>
      </c>
      <c r="B2494" s="6" t="s">
        <v>3027</v>
      </c>
      <c r="C2494">
        <v>5</v>
      </c>
      <c r="D2494" s="6" t="s">
        <v>3060</v>
      </c>
      <c r="E2494" s="8" t="s">
        <v>3214</v>
      </c>
      <c r="F2494" s="6" t="s">
        <v>1264</v>
      </c>
      <c r="H2494">
        <f>6.2-0.285</f>
        <v>5.915</v>
      </c>
      <c r="O2494" t="s">
        <v>3216</v>
      </c>
    </row>
    <row r="2495" spans="1:17" x14ac:dyDescent="0.2">
      <c r="A2495" t="s">
        <v>3028</v>
      </c>
      <c r="B2495" s="6" t="s">
        <v>3027</v>
      </c>
      <c r="C2495">
        <v>4</v>
      </c>
      <c r="D2495" s="6" t="s">
        <v>3060</v>
      </c>
      <c r="E2495" s="8" t="s">
        <v>3218</v>
      </c>
      <c r="F2495" s="6" t="s">
        <v>6288</v>
      </c>
      <c r="H2495">
        <v>2E-3</v>
      </c>
      <c r="I2495">
        <v>64</v>
      </c>
      <c r="K2495">
        <v>52</v>
      </c>
      <c r="O2495" t="s">
        <v>3098</v>
      </c>
      <c r="Q2495" t="s">
        <v>6289</v>
      </c>
    </row>
    <row r="2496" spans="1:17" x14ac:dyDescent="0.2">
      <c r="A2496" t="s">
        <v>3028</v>
      </c>
      <c r="B2496" s="6" t="s">
        <v>3027</v>
      </c>
      <c r="C2496">
        <v>4</v>
      </c>
      <c r="D2496" s="6" t="s">
        <v>3060</v>
      </c>
      <c r="E2496" s="8" t="s">
        <v>3223</v>
      </c>
      <c r="F2496" s="6" t="s">
        <v>1425</v>
      </c>
      <c r="H2496">
        <v>1.7000000000000001E-2</v>
      </c>
      <c r="I2496">
        <v>143</v>
      </c>
      <c r="K2496">
        <v>119</v>
      </c>
      <c r="O2496" t="s">
        <v>3098</v>
      </c>
      <c r="Q2496" t="s">
        <v>9923</v>
      </c>
    </row>
    <row r="2497" spans="1:17" x14ac:dyDescent="0.2">
      <c r="A2497" t="s">
        <v>3028</v>
      </c>
      <c r="B2497" s="6" t="s">
        <v>3027</v>
      </c>
      <c r="C2497">
        <v>4</v>
      </c>
      <c r="D2497" s="6" t="s">
        <v>3060</v>
      </c>
      <c r="E2497" s="8" t="s">
        <v>3224</v>
      </c>
      <c r="F2497" s="6" t="s">
        <v>1425</v>
      </c>
      <c r="H2497">
        <v>2.1000000000000001E-2</v>
      </c>
      <c r="I2497">
        <v>152</v>
      </c>
      <c r="K2497">
        <v>130</v>
      </c>
      <c r="O2497" t="s">
        <v>3098</v>
      </c>
      <c r="Q2497" t="s">
        <v>9922</v>
      </c>
    </row>
    <row r="2498" spans="1:17" x14ac:dyDescent="0.2">
      <c r="A2498" t="s">
        <v>3028</v>
      </c>
      <c r="B2498" s="6" t="s">
        <v>3027</v>
      </c>
      <c r="C2498">
        <v>4</v>
      </c>
      <c r="D2498" s="6" t="s">
        <v>3060</v>
      </c>
      <c r="E2498" s="8" t="s">
        <v>3198</v>
      </c>
      <c r="F2498" s="6" t="s">
        <v>6282</v>
      </c>
      <c r="H2498">
        <v>4.1000000000000002E-2</v>
      </c>
      <c r="I2498">
        <v>186</v>
      </c>
      <c r="K2498">
        <v>160</v>
      </c>
      <c r="O2498" t="s">
        <v>3098</v>
      </c>
      <c r="Q2498" t="s">
        <v>9921</v>
      </c>
    </row>
    <row r="2499" spans="1:17" x14ac:dyDescent="0.2">
      <c r="A2499" t="s">
        <v>3028</v>
      </c>
      <c r="B2499" s="6" t="s">
        <v>3027</v>
      </c>
      <c r="C2499">
        <v>4</v>
      </c>
      <c r="D2499" s="6" t="s">
        <v>3060</v>
      </c>
      <c r="E2499" s="8" t="s">
        <v>3197</v>
      </c>
      <c r="F2499" s="6" t="s">
        <v>6282</v>
      </c>
      <c r="H2499">
        <v>3.3000000000000002E-2</v>
      </c>
      <c r="I2499">
        <v>174</v>
      </c>
      <c r="K2499">
        <v>148</v>
      </c>
      <c r="O2499" t="s">
        <v>3098</v>
      </c>
      <c r="Q2499" t="s">
        <v>9920</v>
      </c>
    </row>
    <row r="2500" spans="1:17" x14ac:dyDescent="0.2">
      <c r="A2500" t="s">
        <v>3028</v>
      </c>
      <c r="B2500" s="6" t="s">
        <v>3027</v>
      </c>
      <c r="C2500">
        <v>4</v>
      </c>
      <c r="D2500" s="6" t="s">
        <v>3060</v>
      </c>
      <c r="E2500" s="8" t="s">
        <v>3225</v>
      </c>
      <c r="F2500" s="6" t="s">
        <v>5930</v>
      </c>
      <c r="H2500">
        <v>3.0000000000000001E-3</v>
      </c>
      <c r="I2500">
        <v>138</v>
      </c>
      <c r="K2500">
        <v>127</v>
      </c>
      <c r="O2500" t="s">
        <v>3098</v>
      </c>
      <c r="Q2500" t="s">
        <v>5940</v>
      </c>
    </row>
    <row r="2501" spans="1:17" x14ac:dyDescent="0.2">
      <c r="A2501" t="s">
        <v>3028</v>
      </c>
      <c r="B2501" s="6" t="s">
        <v>3027</v>
      </c>
      <c r="C2501">
        <v>4</v>
      </c>
      <c r="D2501" s="6" t="s">
        <v>3060</v>
      </c>
      <c r="E2501" s="8" t="s">
        <v>3226</v>
      </c>
      <c r="F2501" s="6" t="s">
        <v>5930</v>
      </c>
      <c r="H2501">
        <v>1E-3</v>
      </c>
      <c r="I2501">
        <v>184</v>
      </c>
      <c r="K2501">
        <v>177</v>
      </c>
      <c r="O2501" t="s">
        <v>3098</v>
      </c>
      <c r="Q2501" t="s">
        <v>5941</v>
      </c>
    </row>
    <row r="2502" spans="1:17" x14ac:dyDescent="0.2">
      <c r="A2502" t="s">
        <v>3028</v>
      </c>
      <c r="B2502" s="6" t="s">
        <v>3027</v>
      </c>
      <c r="C2502">
        <v>4</v>
      </c>
      <c r="D2502" s="6" t="s">
        <v>3060</v>
      </c>
      <c r="E2502" s="8" t="s">
        <v>3219</v>
      </c>
      <c r="F2502" s="6" t="s">
        <v>1389</v>
      </c>
      <c r="H2502">
        <v>8.0000000000000002E-3</v>
      </c>
      <c r="I2502">
        <v>101</v>
      </c>
      <c r="K2502">
        <v>84</v>
      </c>
      <c r="O2502" t="s">
        <v>3098</v>
      </c>
      <c r="Q2502" t="s">
        <v>9925</v>
      </c>
    </row>
    <row r="2503" spans="1:17" x14ac:dyDescent="0.2">
      <c r="A2503" t="s">
        <v>3028</v>
      </c>
      <c r="B2503" s="6" t="s">
        <v>3027</v>
      </c>
      <c r="C2503">
        <v>4</v>
      </c>
      <c r="D2503" s="6" t="s">
        <v>3060</v>
      </c>
      <c r="E2503" s="8" t="s">
        <v>3220</v>
      </c>
      <c r="F2503" s="6" t="s">
        <v>1389</v>
      </c>
      <c r="H2503">
        <v>3.0000000000000001E-3</v>
      </c>
      <c r="I2503">
        <v>72</v>
      </c>
      <c r="K2503">
        <v>61</v>
      </c>
      <c r="O2503" t="s">
        <v>3098</v>
      </c>
      <c r="Q2503" t="s">
        <v>9926</v>
      </c>
    </row>
    <row r="2504" spans="1:17" x14ac:dyDescent="0.2">
      <c r="A2504" t="s">
        <v>3028</v>
      </c>
      <c r="B2504" s="6" t="s">
        <v>3027</v>
      </c>
      <c r="C2504">
        <v>4</v>
      </c>
      <c r="D2504" s="6" t="s">
        <v>3060</v>
      </c>
      <c r="E2504" s="8" t="s">
        <v>3221</v>
      </c>
      <c r="F2504" s="6" t="s">
        <v>1389</v>
      </c>
      <c r="G2504" s="6" t="s">
        <v>114</v>
      </c>
      <c r="I2504">
        <v>44</v>
      </c>
      <c r="K2504">
        <v>36</v>
      </c>
      <c r="O2504" t="s">
        <v>3098</v>
      </c>
      <c r="Q2504" t="s">
        <v>9927</v>
      </c>
    </row>
    <row r="2505" spans="1:17" x14ac:dyDescent="0.2">
      <c r="A2505" t="s">
        <v>3028</v>
      </c>
      <c r="B2505" s="6" t="s">
        <v>3027</v>
      </c>
      <c r="C2505">
        <v>4</v>
      </c>
      <c r="D2505" s="6" t="s">
        <v>3060</v>
      </c>
      <c r="E2505" s="8" t="s">
        <v>3222</v>
      </c>
      <c r="F2505" s="6" t="s">
        <v>1389</v>
      </c>
      <c r="G2505" s="6" t="s">
        <v>114</v>
      </c>
      <c r="I2505">
        <v>36</v>
      </c>
      <c r="K2505">
        <v>29</v>
      </c>
      <c r="O2505" t="s">
        <v>3098</v>
      </c>
      <c r="Q2505" t="s">
        <v>9928</v>
      </c>
    </row>
    <row r="2506" spans="1:17" x14ac:dyDescent="0.2">
      <c r="A2506" t="s">
        <v>3028</v>
      </c>
      <c r="B2506" s="6" t="s">
        <v>3027</v>
      </c>
      <c r="C2506">
        <v>4</v>
      </c>
      <c r="D2506" s="6" t="s">
        <v>3060</v>
      </c>
      <c r="E2506" s="8" t="s">
        <v>3227</v>
      </c>
      <c r="F2506" s="6" t="s">
        <v>1389</v>
      </c>
      <c r="H2506">
        <v>5.0000000000000001E-3</v>
      </c>
      <c r="I2506">
        <v>82</v>
      </c>
      <c r="K2506">
        <v>73</v>
      </c>
      <c r="O2506" t="s">
        <v>3098</v>
      </c>
      <c r="Q2506" t="s">
        <v>9929</v>
      </c>
    </row>
    <row r="2507" spans="1:17" x14ac:dyDescent="0.2">
      <c r="A2507" t="s">
        <v>3028</v>
      </c>
      <c r="B2507" s="6" t="s">
        <v>3027</v>
      </c>
      <c r="C2507">
        <v>4</v>
      </c>
      <c r="D2507" s="6" t="s">
        <v>3060</v>
      </c>
      <c r="E2507" s="8" t="s">
        <v>3228</v>
      </c>
      <c r="F2507" s="6" t="s">
        <v>1389</v>
      </c>
      <c r="H2507">
        <v>2.1000000000000001E-2</v>
      </c>
    </row>
    <row r="2508" spans="1:17" x14ac:dyDescent="0.2">
      <c r="A2508" t="s">
        <v>3028</v>
      </c>
      <c r="B2508" s="6" t="s">
        <v>3027</v>
      </c>
      <c r="C2508">
        <v>5</v>
      </c>
      <c r="D2508" s="6" t="s">
        <v>3060</v>
      </c>
      <c r="E2508" s="8" t="s">
        <v>3229</v>
      </c>
      <c r="F2508" s="6" t="s">
        <v>2789</v>
      </c>
      <c r="H2508">
        <v>1.2E-2</v>
      </c>
    </row>
    <row r="2509" spans="1:17" x14ac:dyDescent="0.2">
      <c r="A2509" t="s">
        <v>3028</v>
      </c>
      <c r="B2509" s="6" t="s">
        <v>3027</v>
      </c>
      <c r="C2509">
        <v>5</v>
      </c>
      <c r="D2509" s="6" t="s">
        <v>3060</v>
      </c>
      <c r="E2509" s="8" t="s">
        <v>3230</v>
      </c>
      <c r="F2509" s="6" t="s">
        <v>3250</v>
      </c>
      <c r="H2509">
        <v>6.0000000000000001E-3</v>
      </c>
    </row>
    <row r="2510" spans="1:17" x14ac:dyDescent="0.2">
      <c r="A2510" t="s">
        <v>3028</v>
      </c>
      <c r="B2510" s="6" t="s">
        <v>3027</v>
      </c>
      <c r="C2510">
        <v>5</v>
      </c>
      <c r="D2510" s="6" t="s">
        <v>3060</v>
      </c>
      <c r="E2510" s="8" t="s">
        <v>3231</v>
      </c>
      <c r="F2510" s="6" t="s">
        <v>7138</v>
      </c>
      <c r="H2510">
        <v>6.0000000000000001E-3</v>
      </c>
      <c r="M2510">
        <v>4</v>
      </c>
      <c r="Q2510" t="s">
        <v>9935</v>
      </c>
    </row>
    <row r="2511" spans="1:17" x14ac:dyDescent="0.2">
      <c r="A2511" t="s">
        <v>3028</v>
      </c>
      <c r="B2511" s="6" t="s">
        <v>3027</v>
      </c>
      <c r="C2511">
        <v>5</v>
      </c>
      <c r="D2511" s="6" t="s">
        <v>3060</v>
      </c>
      <c r="E2511" s="8" t="s">
        <v>3240</v>
      </c>
      <c r="F2511" s="6" t="s">
        <v>3251</v>
      </c>
      <c r="H2511">
        <v>2.4E-2</v>
      </c>
    </row>
    <row r="2512" spans="1:17" x14ac:dyDescent="0.2">
      <c r="A2512" t="s">
        <v>3028</v>
      </c>
      <c r="B2512" s="6" t="s">
        <v>3027</v>
      </c>
      <c r="C2512">
        <v>5</v>
      </c>
      <c r="D2512" s="6" t="s">
        <v>3060</v>
      </c>
      <c r="E2512" s="8" t="s">
        <v>3232</v>
      </c>
      <c r="F2512" s="6" t="s">
        <v>1425</v>
      </c>
      <c r="H2512">
        <v>4.0000000000000001E-3</v>
      </c>
      <c r="I2512">
        <v>95</v>
      </c>
      <c r="K2512">
        <v>79</v>
      </c>
      <c r="O2512" t="s">
        <v>3098</v>
      </c>
      <c r="Q2512" t="s">
        <v>9937</v>
      </c>
    </row>
    <row r="2513" spans="1:17" x14ac:dyDescent="0.2">
      <c r="A2513" t="s">
        <v>3028</v>
      </c>
      <c r="B2513" s="6" t="s">
        <v>3027</v>
      </c>
      <c r="C2513">
        <v>5</v>
      </c>
      <c r="D2513" s="6" t="s">
        <v>3060</v>
      </c>
      <c r="E2513" s="8" t="s">
        <v>3233</v>
      </c>
      <c r="F2513" s="6" t="s">
        <v>9936</v>
      </c>
      <c r="H2513">
        <v>4.0000000000000001E-3</v>
      </c>
      <c r="I2513">
        <v>70</v>
      </c>
      <c r="K2513">
        <v>64</v>
      </c>
      <c r="O2513" t="s">
        <v>3098</v>
      </c>
      <c r="P2513" t="s">
        <v>300</v>
      </c>
      <c r="Q2513" t="s">
        <v>9938</v>
      </c>
    </row>
    <row r="2514" spans="1:17" x14ac:dyDescent="0.2">
      <c r="A2514" t="s">
        <v>3028</v>
      </c>
      <c r="B2514" s="6" t="s">
        <v>3027</v>
      </c>
      <c r="C2514">
        <v>5</v>
      </c>
      <c r="D2514" s="6" t="s">
        <v>3060</v>
      </c>
      <c r="E2514" s="8" t="s">
        <v>3234</v>
      </c>
      <c r="F2514" s="6" t="s">
        <v>1389</v>
      </c>
      <c r="H2514">
        <v>3.0000000000000001E-3</v>
      </c>
      <c r="I2514">
        <v>66</v>
      </c>
      <c r="K2514">
        <v>56</v>
      </c>
      <c r="O2514" t="s">
        <v>3098</v>
      </c>
      <c r="Q2514" t="s">
        <v>9939</v>
      </c>
    </row>
    <row r="2515" spans="1:17" x14ac:dyDescent="0.2">
      <c r="A2515" t="s">
        <v>3028</v>
      </c>
      <c r="B2515" s="6" t="s">
        <v>3027</v>
      </c>
      <c r="C2515">
        <v>5</v>
      </c>
      <c r="D2515" s="6" t="s">
        <v>3060</v>
      </c>
      <c r="E2515" s="8" t="s">
        <v>3235</v>
      </c>
      <c r="F2515" s="6" t="s">
        <v>1538</v>
      </c>
      <c r="G2515" s="6" t="s">
        <v>114</v>
      </c>
      <c r="I2515">
        <v>41</v>
      </c>
      <c r="K2515">
        <v>39</v>
      </c>
      <c r="O2515" t="s">
        <v>3098</v>
      </c>
      <c r="Q2515" t="s">
        <v>9940</v>
      </c>
    </row>
    <row r="2516" spans="1:17" x14ac:dyDescent="0.2">
      <c r="A2516" t="s">
        <v>3028</v>
      </c>
      <c r="B2516" s="6" t="s">
        <v>3027</v>
      </c>
      <c r="C2516">
        <v>5</v>
      </c>
      <c r="D2516" s="6" t="s">
        <v>3060</v>
      </c>
      <c r="E2516" s="8" t="s">
        <v>3236</v>
      </c>
      <c r="F2516" s="6" t="s">
        <v>5930</v>
      </c>
      <c r="H2516">
        <v>3.0000000000000001E-3</v>
      </c>
      <c r="I2516">
        <v>125</v>
      </c>
      <c r="K2516">
        <v>116</v>
      </c>
      <c r="O2516" t="s">
        <v>3098</v>
      </c>
      <c r="Q2516" t="s">
        <v>5938</v>
      </c>
    </row>
    <row r="2517" spans="1:17" x14ac:dyDescent="0.2">
      <c r="A2517" t="s">
        <v>3028</v>
      </c>
      <c r="B2517" s="6" t="s">
        <v>3027</v>
      </c>
      <c r="C2517">
        <v>5</v>
      </c>
      <c r="D2517" s="6" t="s">
        <v>3060</v>
      </c>
      <c r="E2517" s="8" t="s">
        <v>3237</v>
      </c>
      <c r="F2517" t="s">
        <v>5936</v>
      </c>
      <c r="G2517" s="6" t="s">
        <v>114</v>
      </c>
      <c r="I2517">
        <v>67</v>
      </c>
      <c r="K2517">
        <v>64</v>
      </c>
      <c r="O2517" t="s">
        <v>3254</v>
      </c>
      <c r="Q2517" t="s">
        <v>5939</v>
      </c>
    </row>
    <row r="2518" spans="1:17" x14ac:dyDescent="0.2">
      <c r="A2518" t="s">
        <v>3028</v>
      </c>
      <c r="B2518" s="6" t="s">
        <v>3027</v>
      </c>
      <c r="C2518">
        <v>5</v>
      </c>
      <c r="D2518" s="6" t="s">
        <v>3060</v>
      </c>
      <c r="E2518" s="8" t="s">
        <v>3238</v>
      </c>
      <c r="F2518" s="6" t="s">
        <v>1389</v>
      </c>
      <c r="G2518" s="6" t="s">
        <v>114</v>
      </c>
      <c r="O2518" t="s">
        <v>3255</v>
      </c>
    </row>
    <row r="2519" spans="1:17" x14ac:dyDescent="0.2">
      <c r="A2519" t="s">
        <v>3028</v>
      </c>
      <c r="B2519" s="6" t="s">
        <v>3027</v>
      </c>
      <c r="C2519">
        <v>5</v>
      </c>
      <c r="D2519" s="6" t="s">
        <v>3060</v>
      </c>
      <c r="E2519" s="8" t="s">
        <v>3239</v>
      </c>
      <c r="F2519" s="6" t="s">
        <v>5995</v>
      </c>
      <c r="G2519" s="6" t="s">
        <v>114</v>
      </c>
      <c r="O2519" t="s">
        <v>3255</v>
      </c>
    </row>
    <row r="2520" spans="1:17" x14ac:dyDescent="0.2">
      <c r="A2520" t="s">
        <v>3028</v>
      </c>
      <c r="B2520" s="6" t="s">
        <v>3027</v>
      </c>
      <c r="C2520">
        <v>6</v>
      </c>
      <c r="D2520" s="6" t="s">
        <v>3060</v>
      </c>
      <c r="E2520" s="8" t="s">
        <v>3241</v>
      </c>
      <c r="F2520" s="6" t="s">
        <v>3252</v>
      </c>
      <c r="H2520">
        <v>1E-3</v>
      </c>
    </row>
    <row r="2521" spans="1:17" x14ac:dyDescent="0.2">
      <c r="A2521" t="s">
        <v>3028</v>
      </c>
      <c r="B2521" s="6" t="s">
        <v>3027</v>
      </c>
      <c r="C2521">
        <v>6</v>
      </c>
      <c r="D2521" s="6" t="s">
        <v>3060</v>
      </c>
      <c r="E2521" s="8" t="s">
        <v>3245</v>
      </c>
      <c r="F2521" s="6" t="s">
        <v>106</v>
      </c>
      <c r="H2521">
        <v>1E-3</v>
      </c>
    </row>
    <row r="2522" spans="1:17" x14ac:dyDescent="0.2">
      <c r="A2522" t="s">
        <v>3028</v>
      </c>
      <c r="B2522" s="6" t="s">
        <v>3027</v>
      </c>
      <c r="C2522">
        <v>6</v>
      </c>
      <c r="D2522" s="6" t="s">
        <v>3060</v>
      </c>
      <c r="E2522" s="8" t="s">
        <v>3246</v>
      </c>
      <c r="F2522" s="6" t="s">
        <v>9908</v>
      </c>
      <c r="H2522">
        <v>4.1000000000000002E-2</v>
      </c>
      <c r="O2522" t="s">
        <v>8529</v>
      </c>
      <c r="Q2522" t="s">
        <v>9959</v>
      </c>
    </row>
    <row r="2523" spans="1:17" x14ac:dyDescent="0.2">
      <c r="A2523" t="s">
        <v>3028</v>
      </c>
      <c r="B2523" s="6" t="s">
        <v>3027</v>
      </c>
      <c r="C2523">
        <v>6</v>
      </c>
      <c r="D2523" s="6" t="s">
        <v>3060</v>
      </c>
      <c r="E2523" s="8" t="s">
        <v>3247</v>
      </c>
      <c r="F2523" s="6" t="s">
        <v>5937</v>
      </c>
      <c r="G2523" s="6" t="s">
        <v>114</v>
      </c>
      <c r="P2523" t="s">
        <v>300</v>
      </c>
      <c r="Q2523" t="s">
        <v>5929</v>
      </c>
    </row>
    <row r="2524" spans="1:17" x14ac:dyDescent="0.2">
      <c r="A2524" t="s">
        <v>3028</v>
      </c>
      <c r="B2524" s="6" t="s">
        <v>3027</v>
      </c>
      <c r="C2524">
        <v>1</v>
      </c>
      <c r="D2524" s="6" t="s">
        <v>3060</v>
      </c>
      <c r="E2524" s="8" t="s">
        <v>3249</v>
      </c>
      <c r="F2524" s="6" t="s">
        <v>1279</v>
      </c>
      <c r="H2524">
        <v>10.1</v>
      </c>
      <c r="O2524" t="s">
        <v>3256</v>
      </c>
    </row>
    <row r="2525" spans="1:17" x14ac:dyDescent="0.2">
      <c r="A2525" t="s">
        <v>3028</v>
      </c>
      <c r="B2525" s="6" t="s">
        <v>3027</v>
      </c>
      <c r="C2525">
        <v>6</v>
      </c>
      <c r="D2525" s="6" t="s">
        <v>3060</v>
      </c>
      <c r="E2525" s="8" t="s">
        <v>3248</v>
      </c>
      <c r="F2525" s="6" t="s">
        <v>1264</v>
      </c>
      <c r="H2525">
        <f>2.654-0.285</f>
        <v>2.3689999999999998</v>
      </c>
      <c r="O2525" t="s">
        <v>3283</v>
      </c>
    </row>
    <row r="2526" spans="1:17" x14ac:dyDescent="0.2">
      <c r="A2526" t="s">
        <v>3028</v>
      </c>
      <c r="B2526" s="6" t="s">
        <v>3027</v>
      </c>
      <c r="C2526">
        <v>6</v>
      </c>
      <c r="D2526" s="6" t="s">
        <v>3060</v>
      </c>
      <c r="E2526" s="8" t="s">
        <v>3242</v>
      </c>
      <c r="F2526" s="6" t="s">
        <v>2789</v>
      </c>
      <c r="H2526">
        <v>0.17899999999999999</v>
      </c>
    </row>
    <row r="2527" spans="1:17" x14ac:dyDescent="0.2">
      <c r="A2527" t="s">
        <v>3028</v>
      </c>
      <c r="B2527" s="6" t="s">
        <v>3027</v>
      </c>
      <c r="C2527">
        <v>6</v>
      </c>
      <c r="D2527" s="6" t="s">
        <v>3060</v>
      </c>
      <c r="E2527" s="8" t="s">
        <v>3243</v>
      </c>
      <c r="F2527" s="6" t="s">
        <v>121</v>
      </c>
      <c r="H2527">
        <v>1.4999999999999999E-2</v>
      </c>
    </row>
    <row r="2528" spans="1:17" x14ac:dyDescent="0.2">
      <c r="A2528" t="s">
        <v>3028</v>
      </c>
      <c r="B2528" s="6" t="s">
        <v>3027</v>
      </c>
      <c r="C2528">
        <v>6</v>
      </c>
      <c r="D2528" s="6" t="s">
        <v>3060</v>
      </c>
      <c r="E2528" s="8" t="s">
        <v>3257</v>
      </c>
      <c r="F2528" t="s">
        <v>3251</v>
      </c>
      <c r="H2528">
        <f>0.431-0.261</f>
        <v>0.16999999999999998</v>
      </c>
    </row>
    <row r="2529" spans="1:17" x14ac:dyDescent="0.2">
      <c r="A2529" t="s">
        <v>3028</v>
      </c>
      <c r="B2529" s="6" t="s">
        <v>3027</v>
      </c>
      <c r="C2529">
        <v>6</v>
      </c>
      <c r="D2529" s="6" t="s">
        <v>3060</v>
      </c>
      <c r="E2529" s="8" t="s">
        <v>3258</v>
      </c>
      <c r="F2529" t="s">
        <v>5930</v>
      </c>
      <c r="H2529">
        <v>1.0999999999999999E-2</v>
      </c>
      <c r="I2529">
        <v>212</v>
      </c>
      <c r="K2529">
        <v>203</v>
      </c>
      <c r="O2529" t="s">
        <v>3098</v>
      </c>
      <c r="Q2529" t="s">
        <v>5931</v>
      </c>
    </row>
    <row r="2530" spans="1:17" x14ac:dyDescent="0.2">
      <c r="A2530" t="s">
        <v>3028</v>
      </c>
      <c r="B2530" s="6" t="s">
        <v>3027</v>
      </c>
      <c r="C2530">
        <v>6</v>
      </c>
      <c r="D2530" s="6" t="s">
        <v>3060</v>
      </c>
      <c r="E2530" s="8" t="s">
        <v>3259</v>
      </c>
      <c r="F2530" t="s">
        <v>5930</v>
      </c>
      <c r="H2530">
        <v>4.0000000000000001E-3</v>
      </c>
      <c r="I2530">
        <v>142</v>
      </c>
      <c r="K2530">
        <v>132</v>
      </c>
      <c r="O2530" t="s">
        <v>3098</v>
      </c>
      <c r="Q2530" t="s">
        <v>5932</v>
      </c>
    </row>
    <row r="2531" spans="1:17" x14ac:dyDescent="0.2">
      <c r="A2531" t="s">
        <v>3028</v>
      </c>
      <c r="B2531" s="6" t="s">
        <v>3027</v>
      </c>
      <c r="C2531">
        <v>6</v>
      </c>
      <c r="D2531" s="6" t="s">
        <v>3060</v>
      </c>
      <c r="E2531" s="8" t="s">
        <v>3260</v>
      </c>
      <c r="F2531" t="s">
        <v>5930</v>
      </c>
      <c r="H2531">
        <v>2E-3</v>
      </c>
      <c r="I2531">
        <v>114</v>
      </c>
      <c r="K2531">
        <v>105</v>
      </c>
      <c r="O2531" t="s">
        <v>3098</v>
      </c>
      <c r="Q2531" t="s">
        <v>5933</v>
      </c>
    </row>
    <row r="2532" spans="1:17" x14ac:dyDescent="0.2">
      <c r="A2532" t="s">
        <v>3028</v>
      </c>
      <c r="B2532" s="6" t="s">
        <v>3027</v>
      </c>
      <c r="C2532">
        <v>6</v>
      </c>
      <c r="D2532" s="6" t="s">
        <v>3060</v>
      </c>
      <c r="E2532" s="8" t="s">
        <v>3261</v>
      </c>
      <c r="F2532" t="s">
        <v>5930</v>
      </c>
      <c r="G2532" t="s">
        <v>114</v>
      </c>
      <c r="I2532">
        <v>82</v>
      </c>
      <c r="K2532">
        <v>77</v>
      </c>
      <c r="O2532" t="s">
        <v>3098</v>
      </c>
    </row>
    <row r="2533" spans="1:17" x14ac:dyDescent="0.2">
      <c r="A2533" t="s">
        <v>3028</v>
      </c>
      <c r="B2533" s="6" t="s">
        <v>3027</v>
      </c>
      <c r="C2533">
        <v>6</v>
      </c>
      <c r="D2533" s="6" t="s">
        <v>3060</v>
      </c>
      <c r="E2533" s="8" t="s">
        <v>3262</v>
      </c>
      <c r="F2533" t="s">
        <v>5930</v>
      </c>
      <c r="H2533">
        <v>1E-3</v>
      </c>
      <c r="I2533">
        <v>109</v>
      </c>
      <c r="K2533">
        <v>102</v>
      </c>
      <c r="O2533" t="s">
        <v>3098</v>
      </c>
      <c r="Q2533" t="s">
        <v>5934</v>
      </c>
    </row>
    <row r="2534" spans="1:17" x14ac:dyDescent="0.2">
      <c r="A2534" t="s">
        <v>3028</v>
      </c>
      <c r="B2534" s="6" t="s">
        <v>3027</v>
      </c>
      <c r="C2534">
        <v>6</v>
      </c>
      <c r="D2534" s="6" t="s">
        <v>3060</v>
      </c>
      <c r="E2534" s="8" t="s">
        <v>3263</v>
      </c>
      <c r="F2534" t="s">
        <v>5936</v>
      </c>
      <c r="G2534" t="s">
        <v>114</v>
      </c>
      <c r="Q2534" t="s">
        <v>5935</v>
      </c>
    </row>
    <row r="2535" spans="1:17" x14ac:dyDescent="0.2">
      <c r="A2535" t="s">
        <v>3028</v>
      </c>
      <c r="B2535" s="6" t="s">
        <v>3027</v>
      </c>
      <c r="C2535">
        <v>6</v>
      </c>
      <c r="D2535" s="6" t="s">
        <v>3060</v>
      </c>
      <c r="E2535" s="8" t="s">
        <v>3264</v>
      </c>
      <c r="F2535" s="6" t="s">
        <v>5995</v>
      </c>
      <c r="H2535">
        <v>1.7000000000000001E-2</v>
      </c>
    </row>
    <row r="2536" spans="1:17" x14ac:dyDescent="0.2">
      <c r="A2536" t="s">
        <v>3028</v>
      </c>
      <c r="B2536" s="6" t="s">
        <v>3027</v>
      </c>
      <c r="C2536">
        <v>6</v>
      </c>
      <c r="D2536" s="6" t="s">
        <v>3060</v>
      </c>
      <c r="E2536" s="8" t="s">
        <v>3244</v>
      </c>
      <c r="F2536" t="s">
        <v>9060</v>
      </c>
      <c r="H2536">
        <v>2.3E-2</v>
      </c>
      <c r="I2536">
        <v>143</v>
      </c>
      <c r="K2536">
        <v>137</v>
      </c>
      <c r="O2536" t="s">
        <v>3098</v>
      </c>
      <c r="Q2536" t="s">
        <v>9941</v>
      </c>
    </row>
    <row r="2537" spans="1:17" x14ac:dyDescent="0.2">
      <c r="A2537" t="s">
        <v>3028</v>
      </c>
      <c r="B2537" s="6" t="s">
        <v>3027</v>
      </c>
      <c r="C2537">
        <v>6</v>
      </c>
      <c r="D2537" s="6" t="s">
        <v>3060</v>
      </c>
      <c r="E2537" s="8" t="s">
        <v>3265</v>
      </c>
      <c r="F2537" t="s">
        <v>7990</v>
      </c>
      <c r="H2537">
        <v>8.9999999999999993E-3</v>
      </c>
      <c r="I2537">
        <v>106</v>
      </c>
      <c r="K2537">
        <v>95</v>
      </c>
      <c r="O2537" t="s">
        <v>3098</v>
      </c>
      <c r="P2537" t="s">
        <v>300</v>
      </c>
      <c r="Q2537" t="s">
        <v>9942</v>
      </c>
    </row>
    <row r="2538" spans="1:17" x14ac:dyDescent="0.2">
      <c r="A2538" t="s">
        <v>3028</v>
      </c>
      <c r="B2538" s="6" t="s">
        <v>3027</v>
      </c>
      <c r="C2538">
        <v>6</v>
      </c>
      <c r="D2538" s="6" t="s">
        <v>3060</v>
      </c>
      <c r="E2538" s="8" t="s">
        <v>3266</v>
      </c>
      <c r="F2538" t="s">
        <v>9060</v>
      </c>
      <c r="H2538">
        <v>5.0000000000000001E-3</v>
      </c>
      <c r="I2538">
        <v>109</v>
      </c>
      <c r="K2538">
        <v>86</v>
      </c>
      <c r="O2538" t="s">
        <v>3098</v>
      </c>
      <c r="Q2538" t="s">
        <v>9943</v>
      </c>
    </row>
    <row r="2539" spans="1:17" x14ac:dyDescent="0.2">
      <c r="A2539" t="s">
        <v>3028</v>
      </c>
      <c r="B2539" s="6" t="s">
        <v>3027</v>
      </c>
      <c r="C2539">
        <v>6</v>
      </c>
      <c r="D2539" s="6" t="s">
        <v>3060</v>
      </c>
      <c r="E2539" s="8" t="s">
        <v>3267</v>
      </c>
      <c r="F2539" t="s">
        <v>1389</v>
      </c>
      <c r="H2539">
        <v>5.0000000000000001E-3</v>
      </c>
      <c r="I2539">
        <v>86</v>
      </c>
      <c r="K2539">
        <v>75</v>
      </c>
      <c r="O2539" t="s">
        <v>3098</v>
      </c>
      <c r="Q2539" t="s">
        <v>9944</v>
      </c>
    </row>
    <row r="2540" spans="1:17" x14ac:dyDescent="0.2">
      <c r="A2540" t="s">
        <v>3028</v>
      </c>
      <c r="B2540" s="6" t="s">
        <v>3027</v>
      </c>
      <c r="C2540">
        <v>6</v>
      </c>
      <c r="D2540" s="6" t="s">
        <v>3060</v>
      </c>
      <c r="E2540" s="8" t="s">
        <v>3268</v>
      </c>
      <c r="F2540" t="s">
        <v>1389</v>
      </c>
      <c r="G2540" t="s">
        <v>114</v>
      </c>
      <c r="Q2540" t="s">
        <v>9945</v>
      </c>
    </row>
    <row r="2541" spans="1:17" x14ac:dyDescent="0.2">
      <c r="A2541" t="s">
        <v>3028</v>
      </c>
      <c r="B2541" s="6" t="s">
        <v>3027</v>
      </c>
      <c r="C2541">
        <v>6</v>
      </c>
      <c r="D2541" s="6" t="s">
        <v>3060</v>
      </c>
      <c r="E2541" s="8" t="s">
        <v>3269</v>
      </c>
      <c r="F2541" t="s">
        <v>1389</v>
      </c>
      <c r="G2541" t="s">
        <v>114</v>
      </c>
      <c r="Q2541" t="s">
        <v>9946</v>
      </c>
    </row>
    <row r="2542" spans="1:17" x14ac:dyDescent="0.2">
      <c r="A2542" t="s">
        <v>3028</v>
      </c>
      <c r="B2542" s="6" t="s">
        <v>3027</v>
      </c>
      <c r="C2542">
        <v>6</v>
      </c>
      <c r="D2542" s="6" t="s">
        <v>3060</v>
      </c>
      <c r="E2542" s="8" t="s">
        <v>3270</v>
      </c>
      <c r="F2542" t="s">
        <v>1389</v>
      </c>
      <c r="G2542" t="s">
        <v>114</v>
      </c>
      <c r="Q2542" t="s">
        <v>9947</v>
      </c>
    </row>
    <row r="2543" spans="1:17" x14ac:dyDescent="0.2">
      <c r="A2543" t="s">
        <v>3028</v>
      </c>
      <c r="B2543" s="6" t="s">
        <v>3027</v>
      </c>
      <c r="C2543">
        <v>6</v>
      </c>
      <c r="D2543" s="6" t="s">
        <v>3060</v>
      </c>
      <c r="E2543" s="8" t="s">
        <v>3271</v>
      </c>
      <c r="F2543" t="s">
        <v>1389</v>
      </c>
      <c r="H2543">
        <v>2E-3</v>
      </c>
      <c r="I2543">
        <v>62</v>
      </c>
      <c r="K2543">
        <v>56</v>
      </c>
      <c r="O2543" t="s">
        <v>3098</v>
      </c>
      <c r="Q2543" t="s">
        <v>9948</v>
      </c>
    </row>
    <row r="2544" spans="1:17" x14ac:dyDescent="0.2">
      <c r="A2544" t="s">
        <v>3028</v>
      </c>
      <c r="B2544" s="6" t="s">
        <v>3027</v>
      </c>
      <c r="C2544">
        <v>6</v>
      </c>
      <c r="D2544" s="6" t="s">
        <v>3060</v>
      </c>
      <c r="E2544" s="8" t="s">
        <v>3272</v>
      </c>
      <c r="F2544" t="s">
        <v>1538</v>
      </c>
      <c r="H2544">
        <v>5.0000000000000001E-3</v>
      </c>
      <c r="I2544">
        <v>91</v>
      </c>
      <c r="K2544">
        <v>88</v>
      </c>
      <c r="O2544" t="s">
        <v>3098</v>
      </c>
      <c r="Q2544" t="s">
        <v>9949</v>
      </c>
    </row>
    <row r="2545" spans="1:17" x14ac:dyDescent="0.2">
      <c r="A2545" t="s">
        <v>3028</v>
      </c>
      <c r="B2545" s="6" t="s">
        <v>3027</v>
      </c>
      <c r="C2545">
        <v>6</v>
      </c>
      <c r="D2545" s="6" t="s">
        <v>3060</v>
      </c>
      <c r="E2545" s="8" t="s">
        <v>3273</v>
      </c>
      <c r="F2545" t="s">
        <v>1538</v>
      </c>
      <c r="H2545">
        <v>3.0000000000000001E-3</v>
      </c>
      <c r="I2545">
        <v>78</v>
      </c>
      <c r="K2545">
        <v>76</v>
      </c>
      <c r="O2545" t="s">
        <v>3098</v>
      </c>
      <c r="Q2545" t="s">
        <v>9950</v>
      </c>
    </row>
    <row r="2546" spans="1:17" x14ac:dyDescent="0.2">
      <c r="A2546" t="s">
        <v>3028</v>
      </c>
      <c r="B2546" s="6" t="s">
        <v>3027</v>
      </c>
      <c r="C2546">
        <v>6</v>
      </c>
      <c r="D2546" s="6" t="s">
        <v>3060</v>
      </c>
      <c r="E2546" s="8" t="s">
        <v>3274</v>
      </c>
      <c r="F2546" t="s">
        <v>1538</v>
      </c>
      <c r="G2546" t="s">
        <v>114</v>
      </c>
      <c r="I2546">
        <v>39</v>
      </c>
      <c r="K2546">
        <v>38</v>
      </c>
      <c r="O2546" t="s">
        <v>3098</v>
      </c>
      <c r="Q2546" t="s">
        <v>9951</v>
      </c>
    </row>
    <row r="2547" spans="1:17" x14ac:dyDescent="0.2">
      <c r="A2547" t="s">
        <v>3028</v>
      </c>
      <c r="B2547" s="6" t="s">
        <v>3027</v>
      </c>
      <c r="C2547">
        <v>6</v>
      </c>
      <c r="D2547" s="6" t="s">
        <v>3060</v>
      </c>
      <c r="E2547" s="8" t="s">
        <v>3275</v>
      </c>
      <c r="F2547" t="s">
        <v>1538</v>
      </c>
      <c r="H2547">
        <v>1E-3</v>
      </c>
      <c r="I2547">
        <v>53</v>
      </c>
      <c r="K2547">
        <v>52</v>
      </c>
      <c r="O2547" t="s">
        <v>3285</v>
      </c>
      <c r="Q2547" t="s">
        <v>9952</v>
      </c>
    </row>
    <row r="2548" spans="1:17" x14ac:dyDescent="0.2">
      <c r="A2548" t="s">
        <v>3028</v>
      </c>
      <c r="B2548" s="6" t="s">
        <v>3027</v>
      </c>
      <c r="C2548">
        <v>6</v>
      </c>
      <c r="D2548" s="6" t="s">
        <v>3060</v>
      </c>
      <c r="E2548" s="8" t="s">
        <v>3276</v>
      </c>
      <c r="F2548" t="s">
        <v>1538</v>
      </c>
      <c r="G2548" t="s">
        <v>114</v>
      </c>
      <c r="I2548">
        <v>38</v>
      </c>
      <c r="K2548">
        <v>37</v>
      </c>
      <c r="O2548" t="s">
        <v>3254</v>
      </c>
      <c r="Q2548" t="s">
        <v>9953</v>
      </c>
    </row>
    <row r="2549" spans="1:17" x14ac:dyDescent="0.2">
      <c r="A2549" t="s">
        <v>3028</v>
      </c>
      <c r="B2549" s="6" t="s">
        <v>3027</v>
      </c>
      <c r="C2549">
        <v>6</v>
      </c>
      <c r="D2549" s="6" t="s">
        <v>3060</v>
      </c>
      <c r="E2549" s="8" t="s">
        <v>3277</v>
      </c>
      <c r="F2549" t="s">
        <v>1311</v>
      </c>
      <c r="H2549">
        <v>2E-3</v>
      </c>
      <c r="I2549">
        <v>65</v>
      </c>
      <c r="K2549">
        <v>53</v>
      </c>
      <c r="O2549" t="s">
        <v>3284</v>
      </c>
      <c r="Q2549" t="s">
        <v>9954</v>
      </c>
    </row>
    <row r="2550" spans="1:17" x14ac:dyDescent="0.2">
      <c r="A2550" t="s">
        <v>3028</v>
      </c>
      <c r="B2550" s="6" t="s">
        <v>3027</v>
      </c>
      <c r="C2550">
        <v>6</v>
      </c>
      <c r="D2550" s="6" t="s">
        <v>3060</v>
      </c>
      <c r="E2550" s="8" t="s">
        <v>3278</v>
      </c>
      <c r="F2550" t="s">
        <v>1311</v>
      </c>
      <c r="H2550">
        <v>1E-3</v>
      </c>
      <c r="I2550">
        <v>47</v>
      </c>
      <c r="K2550">
        <v>38</v>
      </c>
      <c r="O2550" t="s">
        <v>3098</v>
      </c>
      <c r="Q2550" t="s">
        <v>9955</v>
      </c>
    </row>
    <row r="2551" spans="1:17" x14ac:dyDescent="0.2">
      <c r="A2551" t="s">
        <v>3028</v>
      </c>
      <c r="B2551" s="6" t="s">
        <v>3027</v>
      </c>
      <c r="C2551">
        <v>6</v>
      </c>
      <c r="D2551" s="6" t="s">
        <v>3060</v>
      </c>
      <c r="E2551" s="8" t="s">
        <v>3279</v>
      </c>
      <c r="F2551" t="s">
        <v>1311</v>
      </c>
      <c r="G2551" t="s">
        <v>114</v>
      </c>
      <c r="I2551">
        <v>45</v>
      </c>
      <c r="K2551">
        <v>34</v>
      </c>
      <c r="O2551" t="s">
        <v>3098</v>
      </c>
      <c r="Q2551" t="s">
        <v>9956</v>
      </c>
    </row>
    <row r="2552" spans="1:17" x14ac:dyDescent="0.2">
      <c r="A2552" t="s">
        <v>3028</v>
      </c>
      <c r="B2552" s="6" t="s">
        <v>3027</v>
      </c>
      <c r="C2552">
        <v>6</v>
      </c>
      <c r="D2552" s="6" t="s">
        <v>3060</v>
      </c>
      <c r="E2552" s="8" t="s">
        <v>3280</v>
      </c>
      <c r="F2552" t="s">
        <v>1538</v>
      </c>
      <c r="G2552" t="s">
        <v>114</v>
      </c>
      <c r="I2552">
        <v>54</v>
      </c>
      <c r="K2552">
        <v>53</v>
      </c>
      <c r="O2552" t="s">
        <v>3098</v>
      </c>
      <c r="Q2552" t="s">
        <v>9957</v>
      </c>
    </row>
    <row r="2553" spans="1:17" x14ac:dyDescent="0.2">
      <c r="A2553" t="s">
        <v>3028</v>
      </c>
      <c r="B2553" s="6" t="s">
        <v>3027</v>
      </c>
      <c r="C2553">
        <v>6</v>
      </c>
      <c r="D2553" s="6" t="s">
        <v>3060</v>
      </c>
      <c r="E2553" s="8" t="s">
        <v>3281</v>
      </c>
      <c r="F2553" t="s">
        <v>1538</v>
      </c>
      <c r="H2553">
        <v>1E-3</v>
      </c>
      <c r="I2553">
        <v>58</v>
      </c>
      <c r="K2553">
        <v>55</v>
      </c>
      <c r="O2553" t="s">
        <v>3098</v>
      </c>
      <c r="Q2553" t="s">
        <v>9958</v>
      </c>
    </row>
    <row r="2554" spans="1:17" x14ac:dyDescent="0.2">
      <c r="A2554" t="s">
        <v>3028</v>
      </c>
      <c r="B2554" s="6" t="s">
        <v>3027</v>
      </c>
      <c r="C2554">
        <v>6</v>
      </c>
      <c r="D2554" s="6" t="s">
        <v>3060</v>
      </c>
      <c r="E2554" s="8" t="s">
        <v>3264</v>
      </c>
      <c r="F2554" s="6" t="s">
        <v>2588</v>
      </c>
      <c r="H2554">
        <v>3.0000000000000001E-3</v>
      </c>
    </row>
    <row r="2555" spans="1:17" x14ac:dyDescent="0.2">
      <c r="A2555" t="s">
        <v>3028</v>
      </c>
      <c r="B2555" s="6" t="s">
        <v>3027</v>
      </c>
      <c r="C2555">
        <v>6</v>
      </c>
      <c r="D2555" s="6" t="s">
        <v>3060</v>
      </c>
      <c r="E2555" s="8" t="s">
        <v>3258</v>
      </c>
      <c r="F2555" s="6" t="s">
        <v>2588</v>
      </c>
      <c r="H2555">
        <v>5.0000000000000001E-3</v>
      </c>
      <c r="M2555">
        <v>5</v>
      </c>
    </row>
    <row r="2556" spans="1:17" x14ac:dyDescent="0.2">
      <c r="A2556" t="s">
        <v>3028</v>
      </c>
      <c r="B2556" s="6" t="s">
        <v>3027</v>
      </c>
      <c r="C2556">
        <v>6</v>
      </c>
      <c r="D2556" s="6" t="s">
        <v>3060</v>
      </c>
      <c r="E2556" s="8" t="s">
        <v>3264</v>
      </c>
      <c r="F2556" s="6" t="s">
        <v>2588</v>
      </c>
      <c r="H2556">
        <v>8.0000000000000002E-3</v>
      </c>
    </row>
    <row r="2557" spans="1:17" x14ac:dyDescent="0.2">
      <c r="A2557" t="s">
        <v>3028</v>
      </c>
      <c r="B2557" s="6" t="s">
        <v>3027</v>
      </c>
      <c r="C2557">
        <v>1</v>
      </c>
      <c r="D2557" s="6" t="s">
        <v>3060</v>
      </c>
      <c r="E2557" s="8" t="s">
        <v>3286</v>
      </c>
      <c r="F2557" s="6" t="s">
        <v>2789</v>
      </c>
      <c r="H2557">
        <v>0.2</v>
      </c>
    </row>
    <row r="2558" spans="1:17" x14ac:dyDescent="0.2">
      <c r="A2558" t="s">
        <v>3028</v>
      </c>
      <c r="B2558" s="6" t="s">
        <v>3027</v>
      </c>
      <c r="C2558">
        <v>1</v>
      </c>
      <c r="D2558" s="6" t="s">
        <v>3060</v>
      </c>
      <c r="E2558" s="8" t="s">
        <v>3287</v>
      </c>
      <c r="F2558" s="6" t="s">
        <v>3251</v>
      </c>
      <c r="H2558">
        <f>0.916-0.589</f>
        <v>0.32700000000000007</v>
      </c>
    </row>
    <row r="2559" spans="1:17" x14ac:dyDescent="0.2">
      <c r="A2559" t="s">
        <v>3028</v>
      </c>
      <c r="B2559" s="6" t="s">
        <v>3027</v>
      </c>
      <c r="C2559">
        <v>1</v>
      </c>
      <c r="D2559" s="6" t="s">
        <v>3060</v>
      </c>
      <c r="E2559" s="8" t="s">
        <v>3249</v>
      </c>
      <c r="F2559" s="6" t="s">
        <v>112</v>
      </c>
      <c r="H2559">
        <v>0.122</v>
      </c>
      <c r="M2559">
        <v>18</v>
      </c>
      <c r="Q2559" t="s">
        <v>9868</v>
      </c>
    </row>
    <row r="2560" spans="1:17" x14ac:dyDescent="0.2">
      <c r="A2560" t="s">
        <v>3028</v>
      </c>
      <c r="B2560" s="6" t="s">
        <v>3027</v>
      </c>
      <c r="C2560">
        <v>1</v>
      </c>
      <c r="D2560" s="6" t="s">
        <v>3060</v>
      </c>
      <c r="E2560" s="8" t="s">
        <v>3288</v>
      </c>
      <c r="F2560" s="6" t="s">
        <v>3289</v>
      </c>
      <c r="H2560">
        <v>4.2000000000000003E-2</v>
      </c>
    </row>
    <row r="2561" spans="1:17" x14ac:dyDescent="0.2">
      <c r="A2561" t="s">
        <v>3028</v>
      </c>
      <c r="B2561" s="6" t="s">
        <v>3027</v>
      </c>
      <c r="C2561">
        <v>1</v>
      </c>
      <c r="D2561" s="6" t="s">
        <v>3060</v>
      </c>
      <c r="E2561" s="8" t="s">
        <v>3292</v>
      </c>
      <c r="F2561" t="s">
        <v>740</v>
      </c>
      <c r="H2561">
        <f>0.684+3.1-(5*0.008)</f>
        <v>3.7440000000000002</v>
      </c>
      <c r="O2561" t="s">
        <v>3291</v>
      </c>
    </row>
    <row r="2562" spans="1:17" x14ac:dyDescent="0.2">
      <c r="A2562" t="s">
        <v>3028</v>
      </c>
      <c r="B2562" s="6" t="s">
        <v>3027</v>
      </c>
      <c r="C2562">
        <v>1</v>
      </c>
      <c r="D2562" s="6" t="s">
        <v>3060</v>
      </c>
      <c r="E2562" s="8" t="s">
        <v>3293</v>
      </c>
      <c r="F2562" t="s">
        <v>1264</v>
      </c>
      <c r="H2562">
        <f>25.9-1.8</f>
        <v>24.099999999999998</v>
      </c>
      <c r="O2562" t="s">
        <v>3290</v>
      </c>
    </row>
    <row r="2563" spans="1:17" x14ac:dyDescent="0.2">
      <c r="A2563" t="s">
        <v>3095</v>
      </c>
      <c r="B2563" s="6" t="s">
        <v>3096</v>
      </c>
      <c r="C2563">
        <v>2</v>
      </c>
      <c r="D2563" s="6" t="s">
        <v>3060</v>
      </c>
      <c r="E2563" s="8" t="s">
        <v>3294</v>
      </c>
      <c r="F2563" s="6" t="s">
        <v>1264</v>
      </c>
      <c r="H2563">
        <v>2.3980000000000001</v>
      </c>
      <c r="O2563" t="s">
        <v>3329</v>
      </c>
    </row>
    <row r="2564" spans="1:17" x14ac:dyDescent="0.2">
      <c r="A2564" t="s">
        <v>3095</v>
      </c>
      <c r="B2564" s="6" t="s">
        <v>3096</v>
      </c>
      <c r="C2564">
        <v>2</v>
      </c>
      <c r="D2564" s="6" t="s">
        <v>3060</v>
      </c>
      <c r="E2564" s="8" t="s">
        <v>3295</v>
      </c>
      <c r="F2564" s="6" t="s">
        <v>1538</v>
      </c>
      <c r="H2564">
        <v>0.08</v>
      </c>
      <c r="Q2564" t="s">
        <v>6290</v>
      </c>
    </row>
    <row r="2565" spans="1:17" x14ac:dyDescent="0.2">
      <c r="A2565" t="s">
        <v>3095</v>
      </c>
      <c r="B2565" s="6" t="s">
        <v>3096</v>
      </c>
      <c r="C2565">
        <v>2</v>
      </c>
      <c r="D2565" s="6" t="s">
        <v>3060</v>
      </c>
      <c r="E2565" s="8" t="s">
        <v>3296</v>
      </c>
      <c r="F2565" s="6" t="s">
        <v>1538</v>
      </c>
      <c r="H2565">
        <v>6.0000000000000001E-3</v>
      </c>
      <c r="Q2565" t="s">
        <v>6291</v>
      </c>
    </row>
    <row r="2566" spans="1:17" x14ac:dyDescent="0.2">
      <c r="A2566" t="s">
        <v>3095</v>
      </c>
      <c r="B2566" s="6" t="s">
        <v>3096</v>
      </c>
      <c r="C2566">
        <v>2</v>
      </c>
      <c r="D2566" s="6" t="s">
        <v>3060</v>
      </c>
      <c r="E2566" s="8" t="s">
        <v>3297</v>
      </c>
      <c r="F2566" s="6" t="s">
        <v>1538</v>
      </c>
      <c r="H2566">
        <v>4.2999999999999997E-2</v>
      </c>
      <c r="Q2566" t="s">
        <v>6292</v>
      </c>
    </row>
    <row r="2567" spans="1:17" x14ac:dyDescent="0.2">
      <c r="A2567" t="s">
        <v>3095</v>
      </c>
      <c r="B2567" s="6" t="s">
        <v>3096</v>
      </c>
      <c r="C2567">
        <v>2</v>
      </c>
      <c r="D2567" s="6" t="s">
        <v>3060</v>
      </c>
      <c r="E2567" s="8" t="s">
        <v>3298</v>
      </c>
      <c r="F2567" s="6" t="s">
        <v>1538</v>
      </c>
      <c r="H2567">
        <v>1.9E-2</v>
      </c>
      <c r="Q2567" t="s">
        <v>6293</v>
      </c>
    </row>
    <row r="2568" spans="1:17" x14ac:dyDescent="0.2">
      <c r="A2568" t="s">
        <v>3095</v>
      </c>
      <c r="B2568" s="6" t="s">
        <v>3096</v>
      </c>
      <c r="C2568">
        <v>2</v>
      </c>
      <c r="D2568" s="6" t="s">
        <v>3060</v>
      </c>
      <c r="E2568" s="8" t="s">
        <v>3299</v>
      </c>
      <c r="F2568" s="6" t="s">
        <v>1538</v>
      </c>
      <c r="H2568">
        <v>4.0000000000000001E-3</v>
      </c>
      <c r="Q2568" t="s">
        <v>6294</v>
      </c>
    </row>
    <row r="2569" spans="1:17" x14ac:dyDescent="0.2">
      <c r="A2569" t="s">
        <v>3095</v>
      </c>
      <c r="B2569" s="6" t="s">
        <v>3096</v>
      </c>
      <c r="C2569">
        <v>2</v>
      </c>
      <c r="D2569" s="6" t="s">
        <v>3060</v>
      </c>
      <c r="E2569" s="8" t="s">
        <v>3300</v>
      </c>
      <c r="F2569" s="6" t="s">
        <v>1538</v>
      </c>
      <c r="H2569">
        <v>0.16900000000000001</v>
      </c>
      <c r="M2569">
        <v>5</v>
      </c>
    </row>
    <row r="2570" spans="1:17" x14ac:dyDescent="0.2">
      <c r="A2570" t="s">
        <v>3095</v>
      </c>
      <c r="B2570" s="6" t="s">
        <v>3096</v>
      </c>
      <c r="C2570">
        <v>2</v>
      </c>
      <c r="D2570" s="6" t="s">
        <v>3060</v>
      </c>
      <c r="E2570" s="8" t="s">
        <v>3328</v>
      </c>
      <c r="F2570" s="6" t="s">
        <v>1538</v>
      </c>
      <c r="H2570">
        <v>0.502</v>
      </c>
    </row>
    <row r="2571" spans="1:17" x14ac:dyDescent="0.2">
      <c r="A2571" t="s">
        <v>3095</v>
      </c>
      <c r="B2571" s="6" t="s">
        <v>3096</v>
      </c>
      <c r="C2571">
        <v>2</v>
      </c>
      <c r="D2571" s="6" t="s">
        <v>3060</v>
      </c>
      <c r="E2571" s="8" t="s">
        <v>3301</v>
      </c>
      <c r="F2571" s="6" t="s">
        <v>7138</v>
      </c>
      <c r="H2571">
        <v>4.2999999999999997E-2</v>
      </c>
      <c r="O2571" t="s">
        <v>181</v>
      </c>
      <c r="Q2571" t="s">
        <v>9960</v>
      </c>
    </row>
    <row r="2572" spans="1:17" x14ac:dyDescent="0.2">
      <c r="A2572" t="s">
        <v>3095</v>
      </c>
      <c r="B2572" s="6" t="s">
        <v>3096</v>
      </c>
      <c r="C2572">
        <v>2</v>
      </c>
      <c r="D2572" s="6" t="s">
        <v>3060</v>
      </c>
      <c r="E2572" s="8" t="s">
        <v>3302</v>
      </c>
      <c r="F2572" s="6" t="s">
        <v>121</v>
      </c>
      <c r="H2572">
        <v>8.0000000000000002E-3</v>
      </c>
    </row>
    <row r="2573" spans="1:17" x14ac:dyDescent="0.2">
      <c r="A2573" t="s">
        <v>3095</v>
      </c>
      <c r="B2573" s="6" t="s">
        <v>3096</v>
      </c>
      <c r="C2573">
        <v>2</v>
      </c>
      <c r="D2573" s="6" t="s">
        <v>3060</v>
      </c>
      <c r="E2573" s="8" t="s">
        <v>3304</v>
      </c>
      <c r="F2573" s="6" t="s">
        <v>2957</v>
      </c>
      <c r="H2573">
        <v>1.6E-2</v>
      </c>
    </row>
    <row r="2574" spans="1:17" x14ac:dyDescent="0.2">
      <c r="A2574" t="s">
        <v>3095</v>
      </c>
      <c r="B2574" s="6" t="s">
        <v>3096</v>
      </c>
      <c r="C2574">
        <v>2</v>
      </c>
      <c r="D2574" s="6" t="s">
        <v>3060</v>
      </c>
      <c r="E2574" s="8" t="s">
        <v>3303</v>
      </c>
      <c r="F2574" s="6" t="s">
        <v>3183</v>
      </c>
      <c r="H2574">
        <v>6.0000000000000001E-3</v>
      </c>
      <c r="O2574" t="s">
        <v>3330</v>
      </c>
    </row>
    <row r="2575" spans="1:17" x14ac:dyDescent="0.2">
      <c r="A2575" t="s">
        <v>3095</v>
      </c>
      <c r="B2575" s="6" t="s">
        <v>3096</v>
      </c>
      <c r="C2575">
        <v>2</v>
      </c>
      <c r="D2575" s="6" t="s">
        <v>3060</v>
      </c>
      <c r="E2575" s="8" t="s">
        <v>3305</v>
      </c>
      <c r="F2575" s="6" t="s">
        <v>6261</v>
      </c>
      <c r="H2575">
        <v>4.2999999999999997E-2</v>
      </c>
      <c r="O2575" t="s">
        <v>6262</v>
      </c>
      <c r="Q2575" t="s">
        <v>6300</v>
      </c>
    </row>
    <row r="2576" spans="1:17" x14ac:dyDescent="0.2">
      <c r="A2576" t="s">
        <v>3095</v>
      </c>
      <c r="B2576" s="6" t="s">
        <v>3096</v>
      </c>
      <c r="C2576">
        <v>2</v>
      </c>
      <c r="D2576" s="6" t="s">
        <v>3060</v>
      </c>
      <c r="E2576" s="8" t="s">
        <v>3306</v>
      </c>
      <c r="F2576" s="6" t="s">
        <v>6261</v>
      </c>
      <c r="H2576">
        <v>4.1000000000000002E-2</v>
      </c>
      <c r="O2576" t="s">
        <v>6262</v>
      </c>
      <c r="Q2576" t="s">
        <v>6301</v>
      </c>
    </row>
    <row r="2577" spans="1:17" x14ac:dyDescent="0.2">
      <c r="A2577" t="s">
        <v>3095</v>
      </c>
      <c r="B2577" s="6" t="s">
        <v>3096</v>
      </c>
      <c r="C2577">
        <v>2</v>
      </c>
      <c r="D2577" s="6" t="s">
        <v>3060</v>
      </c>
      <c r="E2577" s="8" t="s">
        <v>3307</v>
      </c>
      <c r="F2577" s="6" t="s">
        <v>6261</v>
      </c>
      <c r="H2577">
        <v>0.03</v>
      </c>
      <c r="O2577" t="s">
        <v>6262</v>
      </c>
      <c r="Q2577" t="s">
        <v>6302</v>
      </c>
    </row>
    <row r="2578" spans="1:17" x14ac:dyDescent="0.2">
      <c r="A2578" t="s">
        <v>3095</v>
      </c>
      <c r="B2578" s="6" t="s">
        <v>3096</v>
      </c>
      <c r="C2578">
        <v>2</v>
      </c>
      <c r="D2578" s="6" t="s">
        <v>3060</v>
      </c>
      <c r="E2578" s="8" t="s">
        <v>3308</v>
      </c>
      <c r="F2578" s="6" t="s">
        <v>6261</v>
      </c>
      <c r="H2578">
        <v>4.0000000000000001E-3</v>
      </c>
      <c r="O2578" t="s">
        <v>6262</v>
      </c>
      <c r="Q2578" t="s">
        <v>6303</v>
      </c>
    </row>
    <row r="2579" spans="1:17" x14ac:dyDescent="0.2">
      <c r="A2579" t="s">
        <v>3095</v>
      </c>
      <c r="B2579" s="6" t="s">
        <v>3096</v>
      </c>
      <c r="C2579">
        <v>2</v>
      </c>
      <c r="D2579" s="6" t="s">
        <v>3060</v>
      </c>
      <c r="E2579" s="8" t="s">
        <v>3309</v>
      </c>
      <c r="F2579" s="6" t="s">
        <v>6261</v>
      </c>
      <c r="H2579">
        <v>7.0000000000000001E-3</v>
      </c>
      <c r="O2579" t="s">
        <v>6262</v>
      </c>
      <c r="Q2579" t="s">
        <v>6304</v>
      </c>
    </row>
    <row r="2580" spans="1:17" x14ac:dyDescent="0.2">
      <c r="A2580" t="s">
        <v>3095</v>
      </c>
      <c r="B2580" s="6" t="s">
        <v>3096</v>
      </c>
      <c r="C2580">
        <v>2</v>
      </c>
      <c r="D2580" s="6" t="s">
        <v>3060</v>
      </c>
      <c r="E2580" s="8" t="s">
        <v>3326</v>
      </c>
      <c r="F2580" s="6" t="s">
        <v>1425</v>
      </c>
      <c r="H2580">
        <v>1.7000000000000001E-2</v>
      </c>
      <c r="M2580">
        <v>5</v>
      </c>
    </row>
    <row r="2581" spans="1:17" x14ac:dyDescent="0.2">
      <c r="A2581" t="s">
        <v>3095</v>
      </c>
      <c r="B2581" s="6" t="s">
        <v>3096</v>
      </c>
      <c r="C2581">
        <v>2</v>
      </c>
      <c r="D2581" s="6" t="s">
        <v>3060</v>
      </c>
      <c r="E2581" s="8" t="s">
        <v>3310</v>
      </c>
      <c r="F2581" s="6" t="s">
        <v>6250</v>
      </c>
      <c r="H2581">
        <v>5.0000000000000001E-3</v>
      </c>
      <c r="O2581" t="s">
        <v>6262</v>
      </c>
      <c r="Q2581" t="s">
        <v>6295</v>
      </c>
    </row>
    <row r="2582" spans="1:17" x14ac:dyDescent="0.2">
      <c r="A2582" t="s">
        <v>3095</v>
      </c>
      <c r="B2582" s="6" t="s">
        <v>3096</v>
      </c>
      <c r="C2582">
        <v>2</v>
      </c>
      <c r="D2582" s="6" t="s">
        <v>3060</v>
      </c>
      <c r="E2582" s="8" t="s">
        <v>3311</v>
      </c>
      <c r="F2582" s="6" t="s">
        <v>6250</v>
      </c>
      <c r="H2582">
        <v>3.0000000000000001E-3</v>
      </c>
      <c r="Q2582" t="s">
        <v>6296</v>
      </c>
    </row>
    <row r="2583" spans="1:17" x14ac:dyDescent="0.2">
      <c r="A2583" t="s">
        <v>3095</v>
      </c>
      <c r="B2583" s="6" t="s">
        <v>3096</v>
      </c>
      <c r="C2583">
        <v>2</v>
      </c>
      <c r="D2583" s="6" t="s">
        <v>3060</v>
      </c>
      <c r="E2583" s="8" t="s">
        <v>3312</v>
      </c>
      <c r="F2583" s="6" t="s">
        <v>6250</v>
      </c>
      <c r="H2583">
        <v>2E-3</v>
      </c>
      <c r="O2583" t="s">
        <v>6262</v>
      </c>
      <c r="Q2583" t="s">
        <v>6297</v>
      </c>
    </row>
    <row r="2584" spans="1:17" x14ac:dyDescent="0.2">
      <c r="A2584" t="s">
        <v>3095</v>
      </c>
      <c r="B2584" s="6" t="s">
        <v>3096</v>
      </c>
      <c r="C2584">
        <v>2</v>
      </c>
      <c r="D2584" s="6" t="s">
        <v>3060</v>
      </c>
      <c r="E2584" s="8" t="s">
        <v>3313</v>
      </c>
      <c r="F2584" s="6" t="s">
        <v>6250</v>
      </c>
      <c r="H2584">
        <v>3.0000000000000001E-3</v>
      </c>
      <c r="Q2584" t="s">
        <v>6298</v>
      </c>
    </row>
    <row r="2585" spans="1:17" x14ac:dyDescent="0.2">
      <c r="A2585" t="s">
        <v>3095</v>
      </c>
      <c r="B2585" s="6" t="s">
        <v>3096</v>
      </c>
      <c r="C2585">
        <v>2</v>
      </c>
      <c r="D2585" s="6" t="s">
        <v>3060</v>
      </c>
      <c r="E2585" s="8" t="s">
        <v>3314</v>
      </c>
      <c r="F2585" s="6" t="s">
        <v>6250</v>
      </c>
      <c r="H2585">
        <v>4.0000000000000001E-3</v>
      </c>
      <c r="O2585" t="s">
        <v>6262</v>
      </c>
      <c r="Q2585" t="s">
        <v>6299</v>
      </c>
    </row>
    <row r="2586" spans="1:17" x14ac:dyDescent="0.2">
      <c r="A2586" t="s">
        <v>3095</v>
      </c>
      <c r="B2586" s="6" t="s">
        <v>3096</v>
      </c>
      <c r="C2586">
        <v>2</v>
      </c>
      <c r="D2586" s="6" t="s">
        <v>3060</v>
      </c>
      <c r="E2586" s="8" t="s">
        <v>3327</v>
      </c>
      <c r="F2586" s="6" t="s">
        <v>1389</v>
      </c>
      <c r="H2586">
        <v>2.1000000000000001E-2</v>
      </c>
      <c r="M2586">
        <v>5</v>
      </c>
    </row>
    <row r="2587" spans="1:17" x14ac:dyDescent="0.2">
      <c r="A2587" t="s">
        <v>3095</v>
      </c>
      <c r="B2587" s="6" t="s">
        <v>3096</v>
      </c>
      <c r="C2587">
        <v>2</v>
      </c>
      <c r="D2587" s="6" t="s">
        <v>3060</v>
      </c>
      <c r="E2587" s="8" t="s">
        <v>3315</v>
      </c>
      <c r="F2587" s="6" t="s">
        <v>6862</v>
      </c>
      <c r="H2587">
        <v>3.0000000000000001E-3</v>
      </c>
      <c r="Q2587" t="s">
        <v>6097</v>
      </c>
    </row>
    <row r="2588" spans="1:17" x14ac:dyDescent="0.2">
      <c r="A2588" t="s">
        <v>3095</v>
      </c>
      <c r="B2588" s="6" t="s">
        <v>3096</v>
      </c>
      <c r="C2588">
        <v>2</v>
      </c>
      <c r="D2588" s="6" t="s">
        <v>3060</v>
      </c>
      <c r="E2588" s="8" t="s">
        <v>3316</v>
      </c>
      <c r="F2588" s="6" t="s">
        <v>6862</v>
      </c>
      <c r="H2588">
        <v>3.0000000000000001E-3</v>
      </c>
      <c r="Q2588" t="s">
        <v>6098</v>
      </c>
    </row>
    <row r="2589" spans="1:17" x14ac:dyDescent="0.2">
      <c r="A2589" t="s">
        <v>3095</v>
      </c>
      <c r="B2589" s="6" t="s">
        <v>3096</v>
      </c>
      <c r="C2589">
        <v>2</v>
      </c>
      <c r="D2589" s="6" t="s">
        <v>3060</v>
      </c>
      <c r="E2589" s="8" t="s">
        <v>3317</v>
      </c>
      <c r="F2589" s="6" t="s">
        <v>6862</v>
      </c>
      <c r="H2589">
        <v>4.0000000000000001E-3</v>
      </c>
      <c r="Q2589" t="s">
        <v>6099</v>
      </c>
    </row>
    <row r="2590" spans="1:17" x14ac:dyDescent="0.2">
      <c r="A2590" t="s">
        <v>3095</v>
      </c>
      <c r="B2590" s="6" t="s">
        <v>3096</v>
      </c>
      <c r="C2590">
        <v>2</v>
      </c>
      <c r="D2590" s="6" t="s">
        <v>3060</v>
      </c>
      <c r="E2590" s="8" t="s">
        <v>3318</v>
      </c>
      <c r="F2590" s="6" t="s">
        <v>6862</v>
      </c>
      <c r="H2590">
        <v>1E-3</v>
      </c>
      <c r="Q2590" t="s">
        <v>6100</v>
      </c>
    </row>
    <row r="2591" spans="1:17" x14ac:dyDescent="0.2">
      <c r="A2591" t="s">
        <v>3095</v>
      </c>
      <c r="B2591" s="6" t="s">
        <v>3096</v>
      </c>
      <c r="C2591">
        <v>2</v>
      </c>
      <c r="D2591" s="6" t="s">
        <v>3060</v>
      </c>
      <c r="E2591" s="8" t="s">
        <v>3319</v>
      </c>
      <c r="F2591" s="6" t="s">
        <v>6862</v>
      </c>
      <c r="H2591">
        <v>2E-3</v>
      </c>
      <c r="Q2591" t="s">
        <v>6101</v>
      </c>
    </row>
    <row r="2592" spans="1:17" x14ac:dyDescent="0.2">
      <c r="A2592" t="s">
        <v>3095</v>
      </c>
      <c r="B2592" s="6" t="s">
        <v>3096</v>
      </c>
      <c r="C2592">
        <v>2</v>
      </c>
      <c r="D2592" s="6" t="s">
        <v>3060</v>
      </c>
      <c r="E2592" s="8" t="s">
        <v>3320</v>
      </c>
      <c r="F2592" s="6" t="s">
        <v>1538</v>
      </c>
      <c r="H2592">
        <v>3.0000000000000001E-3</v>
      </c>
      <c r="Q2592" t="s">
        <v>9961</v>
      </c>
    </row>
    <row r="2593" spans="1:17" x14ac:dyDescent="0.2">
      <c r="A2593" t="s">
        <v>3095</v>
      </c>
      <c r="B2593" s="6" t="s">
        <v>3096</v>
      </c>
      <c r="C2593">
        <v>2</v>
      </c>
      <c r="D2593" s="6" t="s">
        <v>3060</v>
      </c>
      <c r="E2593" s="8" t="s">
        <v>3321</v>
      </c>
      <c r="F2593" s="6" t="s">
        <v>1538</v>
      </c>
      <c r="G2593" t="s">
        <v>114</v>
      </c>
      <c r="Q2593" t="s">
        <v>9962</v>
      </c>
    </row>
    <row r="2594" spans="1:17" x14ac:dyDescent="0.2">
      <c r="A2594" t="s">
        <v>3095</v>
      </c>
      <c r="B2594" s="6" t="s">
        <v>3096</v>
      </c>
      <c r="C2594">
        <v>2</v>
      </c>
      <c r="D2594" s="6" t="s">
        <v>3060</v>
      </c>
      <c r="E2594" s="8" t="s">
        <v>3322</v>
      </c>
      <c r="F2594" s="6" t="s">
        <v>1538</v>
      </c>
      <c r="H2594">
        <v>1E-3</v>
      </c>
      <c r="Q2594" t="s">
        <v>9963</v>
      </c>
    </row>
    <row r="2595" spans="1:17" x14ac:dyDescent="0.2">
      <c r="A2595" t="s">
        <v>3095</v>
      </c>
      <c r="B2595" s="6" t="s">
        <v>3096</v>
      </c>
      <c r="C2595">
        <v>2</v>
      </c>
      <c r="D2595" s="6" t="s">
        <v>3060</v>
      </c>
      <c r="E2595" s="8" t="s">
        <v>3323</v>
      </c>
      <c r="F2595" s="6" t="s">
        <v>1538</v>
      </c>
      <c r="G2595" t="s">
        <v>114</v>
      </c>
      <c r="Q2595" t="s">
        <v>9964</v>
      </c>
    </row>
    <row r="2596" spans="1:17" x14ac:dyDescent="0.2">
      <c r="A2596" t="s">
        <v>3095</v>
      </c>
      <c r="B2596" s="6" t="s">
        <v>3096</v>
      </c>
      <c r="C2596">
        <v>2</v>
      </c>
      <c r="D2596" s="6" t="s">
        <v>3060</v>
      </c>
      <c r="E2596" s="8" t="s">
        <v>3324</v>
      </c>
      <c r="F2596" s="6" t="s">
        <v>1538</v>
      </c>
      <c r="H2596">
        <v>3.0000000000000001E-3</v>
      </c>
    </row>
    <row r="2597" spans="1:17" x14ac:dyDescent="0.2">
      <c r="A2597" t="s">
        <v>3095</v>
      </c>
      <c r="B2597" s="6" t="s">
        <v>3096</v>
      </c>
      <c r="C2597">
        <v>2</v>
      </c>
      <c r="D2597" s="6" t="s">
        <v>3060</v>
      </c>
      <c r="E2597" s="8" t="s">
        <v>3325</v>
      </c>
      <c r="F2597" s="6" t="s">
        <v>1538</v>
      </c>
      <c r="H2597">
        <v>6.0000000000000001E-3</v>
      </c>
      <c r="M2597">
        <v>5</v>
      </c>
    </row>
    <row r="2598" spans="1:17" x14ac:dyDescent="0.2">
      <c r="A2598" t="s">
        <v>3095</v>
      </c>
      <c r="B2598" s="6" t="s">
        <v>3096</v>
      </c>
      <c r="C2598">
        <v>2</v>
      </c>
      <c r="D2598" s="6" t="s">
        <v>3060</v>
      </c>
      <c r="E2598" s="8" t="s">
        <v>3331</v>
      </c>
      <c r="F2598" s="6" t="s">
        <v>1538</v>
      </c>
      <c r="H2598">
        <v>1.2E-2</v>
      </c>
    </row>
    <row r="2599" spans="1:17" x14ac:dyDescent="0.2">
      <c r="A2599" t="s">
        <v>3095</v>
      </c>
      <c r="B2599" s="6" t="s">
        <v>3096</v>
      </c>
      <c r="C2599">
        <v>2</v>
      </c>
      <c r="D2599" s="6" t="s">
        <v>3060</v>
      </c>
      <c r="E2599" s="8" t="s">
        <v>3331</v>
      </c>
      <c r="F2599" s="6" t="s">
        <v>1389</v>
      </c>
      <c r="H2599">
        <v>5.0000000000000001E-3</v>
      </c>
    </row>
    <row r="2600" spans="1:17" x14ac:dyDescent="0.2">
      <c r="A2600" t="s">
        <v>3095</v>
      </c>
      <c r="B2600" s="6" t="s">
        <v>3096</v>
      </c>
      <c r="C2600">
        <v>2</v>
      </c>
      <c r="D2600" s="6" t="s">
        <v>3060</v>
      </c>
      <c r="E2600" s="8" t="s">
        <v>3331</v>
      </c>
      <c r="F2600" s="6" t="s">
        <v>1425</v>
      </c>
      <c r="H2600">
        <v>1E-3</v>
      </c>
    </row>
    <row r="2601" spans="1:17" x14ac:dyDescent="0.2">
      <c r="A2601" t="s">
        <v>3095</v>
      </c>
      <c r="B2601" s="6" t="s">
        <v>3096</v>
      </c>
      <c r="C2601">
        <v>3</v>
      </c>
      <c r="D2601" s="6" t="s">
        <v>3060</v>
      </c>
      <c r="E2601" s="8" t="s">
        <v>3332</v>
      </c>
      <c r="F2601" s="6" t="s">
        <v>1264</v>
      </c>
      <c r="H2601">
        <f>1.587-0.344</f>
        <v>1.2429999999999999</v>
      </c>
      <c r="O2601" t="s">
        <v>3359</v>
      </c>
    </row>
    <row r="2602" spans="1:17" x14ac:dyDescent="0.2">
      <c r="A2602" t="s">
        <v>3095</v>
      </c>
      <c r="B2602" s="6" t="s">
        <v>3096</v>
      </c>
      <c r="C2602">
        <v>3</v>
      </c>
      <c r="D2602" s="6" t="s">
        <v>3060</v>
      </c>
      <c r="E2602" s="8" t="s">
        <v>3333</v>
      </c>
      <c r="F2602" s="6" t="s">
        <v>810</v>
      </c>
      <c r="H2602">
        <v>2.1000000000000001E-2</v>
      </c>
    </row>
    <row r="2603" spans="1:17" x14ac:dyDescent="0.2">
      <c r="A2603" t="s">
        <v>3095</v>
      </c>
      <c r="B2603" s="6" t="s">
        <v>3096</v>
      </c>
      <c r="C2603">
        <v>3</v>
      </c>
      <c r="D2603" s="6" t="s">
        <v>3060</v>
      </c>
      <c r="E2603" s="8" t="s">
        <v>3334</v>
      </c>
      <c r="F2603" s="6" t="s">
        <v>7138</v>
      </c>
      <c r="H2603">
        <v>2E-3</v>
      </c>
      <c r="M2603">
        <v>2</v>
      </c>
      <c r="Q2603" t="s">
        <v>9965</v>
      </c>
    </row>
    <row r="2604" spans="1:17" x14ac:dyDescent="0.2">
      <c r="A2604" t="s">
        <v>3095</v>
      </c>
      <c r="B2604" s="6" t="s">
        <v>3096</v>
      </c>
      <c r="C2604">
        <v>3</v>
      </c>
      <c r="D2604" s="6" t="s">
        <v>3060</v>
      </c>
      <c r="E2604" s="8" t="s">
        <v>3335</v>
      </c>
      <c r="F2604" s="6" t="s">
        <v>125</v>
      </c>
      <c r="H2604">
        <v>3.0000000000000001E-3</v>
      </c>
    </row>
    <row r="2605" spans="1:17" x14ac:dyDescent="0.2">
      <c r="A2605" t="s">
        <v>3095</v>
      </c>
      <c r="B2605" s="6" t="s">
        <v>3096</v>
      </c>
      <c r="C2605">
        <v>3</v>
      </c>
      <c r="D2605" s="6" t="s">
        <v>3060</v>
      </c>
      <c r="E2605" s="8" t="s">
        <v>3336</v>
      </c>
      <c r="F2605" s="6" t="s">
        <v>106</v>
      </c>
      <c r="H2605">
        <v>1E-3</v>
      </c>
    </row>
    <row r="2606" spans="1:17" x14ac:dyDescent="0.2">
      <c r="A2606" t="s">
        <v>3095</v>
      </c>
      <c r="B2606" s="6" t="s">
        <v>3096</v>
      </c>
      <c r="C2606">
        <v>3</v>
      </c>
      <c r="D2606" s="6" t="s">
        <v>3060</v>
      </c>
      <c r="E2606" s="8" t="s">
        <v>3337</v>
      </c>
      <c r="F2606" s="6" t="s">
        <v>3357</v>
      </c>
      <c r="H2606">
        <v>7.0000000000000001E-3</v>
      </c>
    </row>
    <row r="2607" spans="1:17" x14ac:dyDescent="0.2">
      <c r="A2607" t="s">
        <v>3095</v>
      </c>
      <c r="B2607" s="6" t="s">
        <v>3096</v>
      </c>
      <c r="C2607">
        <v>3</v>
      </c>
      <c r="D2607" s="6" t="s">
        <v>3060</v>
      </c>
      <c r="E2607" s="8" t="s">
        <v>3338</v>
      </c>
      <c r="F2607" s="6" t="s">
        <v>2957</v>
      </c>
      <c r="H2607">
        <v>3.2000000000000001E-2</v>
      </c>
    </row>
    <row r="2608" spans="1:17" x14ac:dyDescent="0.2">
      <c r="A2608" t="s">
        <v>3095</v>
      </c>
      <c r="B2608" s="6" t="s">
        <v>3096</v>
      </c>
      <c r="C2608">
        <v>3</v>
      </c>
      <c r="D2608" s="6" t="s">
        <v>3060</v>
      </c>
      <c r="E2608" s="8" t="s">
        <v>3340</v>
      </c>
      <c r="F2608" s="6" t="s">
        <v>3184</v>
      </c>
      <c r="H2608">
        <v>0.01</v>
      </c>
    </row>
    <row r="2609" spans="1:17" x14ac:dyDescent="0.2">
      <c r="A2609" t="s">
        <v>3095</v>
      </c>
      <c r="B2609" s="6" t="s">
        <v>3096</v>
      </c>
      <c r="C2609">
        <v>3</v>
      </c>
      <c r="D2609" s="6" t="s">
        <v>3060</v>
      </c>
      <c r="E2609" s="8" t="s">
        <v>3339</v>
      </c>
      <c r="F2609" s="6" t="s">
        <v>1538</v>
      </c>
      <c r="H2609">
        <v>4.1000000000000002E-2</v>
      </c>
      <c r="Q2609" t="s">
        <v>9966</v>
      </c>
    </row>
    <row r="2610" spans="1:17" x14ac:dyDescent="0.2">
      <c r="A2610" t="s">
        <v>3095</v>
      </c>
      <c r="B2610" s="6" t="s">
        <v>3096</v>
      </c>
      <c r="C2610">
        <v>3</v>
      </c>
      <c r="D2610" s="6" t="s">
        <v>3060</v>
      </c>
      <c r="E2610" s="8" t="s">
        <v>3341</v>
      </c>
      <c r="F2610" s="6" t="s">
        <v>1538</v>
      </c>
      <c r="H2610">
        <v>2.9000000000000001E-2</v>
      </c>
      <c r="Q2610" t="s">
        <v>9967</v>
      </c>
    </row>
    <row r="2611" spans="1:17" x14ac:dyDescent="0.2">
      <c r="A2611" t="s">
        <v>3095</v>
      </c>
      <c r="B2611" s="6" t="s">
        <v>3096</v>
      </c>
      <c r="C2611">
        <v>3</v>
      </c>
      <c r="D2611" s="6" t="s">
        <v>3060</v>
      </c>
      <c r="E2611" s="8" t="s">
        <v>3342</v>
      </c>
      <c r="F2611" s="6" t="s">
        <v>1538</v>
      </c>
      <c r="H2611">
        <v>1E-3</v>
      </c>
      <c r="Q2611" t="s">
        <v>9968</v>
      </c>
    </row>
    <row r="2612" spans="1:17" x14ac:dyDescent="0.2">
      <c r="A2612" t="s">
        <v>3095</v>
      </c>
      <c r="B2612" s="6" t="s">
        <v>3096</v>
      </c>
      <c r="C2612">
        <v>3</v>
      </c>
      <c r="D2612" s="6" t="s">
        <v>3060</v>
      </c>
      <c r="E2612" s="8" t="s">
        <v>3343</v>
      </c>
      <c r="F2612" s="6" t="s">
        <v>1538</v>
      </c>
      <c r="H2612">
        <v>7.0000000000000001E-3</v>
      </c>
      <c r="Q2612" t="s">
        <v>9969</v>
      </c>
    </row>
    <row r="2613" spans="1:17" x14ac:dyDescent="0.2">
      <c r="A2613" t="s">
        <v>3095</v>
      </c>
      <c r="B2613" s="6" t="s">
        <v>3096</v>
      </c>
      <c r="C2613">
        <v>3</v>
      </c>
      <c r="D2613" s="6" t="s">
        <v>3060</v>
      </c>
      <c r="E2613" s="8" t="s">
        <v>3344</v>
      </c>
      <c r="F2613" s="6" t="s">
        <v>1538</v>
      </c>
      <c r="H2613">
        <v>1.7999999999999999E-2</v>
      </c>
      <c r="Q2613" t="s">
        <v>9970</v>
      </c>
    </row>
    <row r="2614" spans="1:17" x14ac:dyDescent="0.2">
      <c r="A2614" t="s">
        <v>3095</v>
      </c>
      <c r="B2614" s="6" t="s">
        <v>3096</v>
      </c>
      <c r="C2614">
        <v>3</v>
      </c>
      <c r="D2614" s="6" t="s">
        <v>3060</v>
      </c>
      <c r="E2614" s="8" t="s">
        <v>3345</v>
      </c>
      <c r="F2614" s="6" t="s">
        <v>1538</v>
      </c>
      <c r="H2614">
        <v>7.9000000000000001E-2</v>
      </c>
      <c r="M2614">
        <v>5</v>
      </c>
      <c r="Q2614" t="s">
        <v>9971</v>
      </c>
    </row>
    <row r="2615" spans="1:17" x14ac:dyDescent="0.2">
      <c r="A2615" t="s">
        <v>3095</v>
      </c>
      <c r="B2615" s="6" t="s">
        <v>3096</v>
      </c>
      <c r="C2615">
        <v>3</v>
      </c>
      <c r="D2615" s="6" t="s">
        <v>3060</v>
      </c>
      <c r="E2615" s="8" t="s">
        <v>3347</v>
      </c>
      <c r="F2615" s="6" t="s">
        <v>1538</v>
      </c>
      <c r="H2615">
        <f>0.734-0.4</f>
        <v>0.33399999999999996</v>
      </c>
    </row>
    <row r="2616" spans="1:17" x14ac:dyDescent="0.2">
      <c r="A2616" t="s">
        <v>3095</v>
      </c>
      <c r="B2616" s="6" t="s">
        <v>3096</v>
      </c>
      <c r="C2616">
        <v>3</v>
      </c>
      <c r="D2616" s="6" t="s">
        <v>3060</v>
      </c>
      <c r="E2616" s="8" t="s">
        <v>3346</v>
      </c>
      <c r="F2616" s="6" t="s">
        <v>1389</v>
      </c>
      <c r="H2616">
        <v>1.6E-2</v>
      </c>
      <c r="Q2616" t="s">
        <v>9972</v>
      </c>
    </row>
    <row r="2617" spans="1:17" x14ac:dyDescent="0.2">
      <c r="A2617" t="s">
        <v>3095</v>
      </c>
      <c r="B2617" s="6" t="s">
        <v>3096</v>
      </c>
      <c r="C2617">
        <v>3</v>
      </c>
      <c r="D2617" s="6" t="s">
        <v>3060</v>
      </c>
      <c r="E2617" s="8" t="s">
        <v>3348</v>
      </c>
      <c r="F2617" s="6" t="s">
        <v>1389</v>
      </c>
      <c r="H2617">
        <v>1E-3</v>
      </c>
      <c r="Q2617" t="s">
        <v>9973</v>
      </c>
    </row>
    <row r="2618" spans="1:17" x14ac:dyDescent="0.2">
      <c r="A2618" t="s">
        <v>3095</v>
      </c>
      <c r="B2618" s="6" t="s">
        <v>3096</v>
      </c>
      <c r="C2618">
        <v>3</v>
      </c>
      <c r="D2618" s="6" t="s">
        <v>3060</v>
      </c>
      <c r="E2618" s="8" t="s">
        <v>3349</v>
      </c>
      <c r="F2618" s="6" t="s">
        <v>1389</v>
      </c>
      <c r="H2618">
        <v>6.0000000000000001E-3</v>
      </c>
      <c r="Q2618" t="s">
        <v>9974</v>
      </c>
    </row>
    <row r="2619" spans="1:17" x14ac:dyDescent="0.2">
      <c r="A2619" t="s">
        <v>3095</v>
      </c>
      <c r="B2619" s="6" t="s">
        <v>3096</v>
      </c>
      <c r="C2619">
        <v>3</v>
      </c>
      <c r="D2619" s="6" t="s">
        <v>3060</v>
      </c>
      <c r="E2619" s="8" t="s">
        <v>3350</v>
      </c>
      <c r="F2619" s="6" t="s">
        <v>1389</v>
      </c>
      <c r="H2619">
        <v>4.0000000000000001E-3</v>
      </c>
      <c r="Q2619" t="s">
        <v>9975</v>
      </c>
    </row>
    <row r="2620" spans="1:17" x14ac:dyDescent="0.2">
      <c r="A2620" t="s">
        <v>3095</v>
      </c>
      <c r="B2620" s="6" t="s">
        <v>3096</v>
      </c>
      <c r="C2620">
        <v>3</v>
      </c>
      <c r="D2620" s="6" t="s">
        <v>3060</v>
      </c>
      <c r="E2620" s="8" t="s">
        <v>3351</v>
      </c>
      <c r="F2620" s="6" t="s">
        <v>1389</v>
      </c>
      <c r="H2620">
        <v>0.01</v>
      </c>
    </row>
    <row r="2621" spans="1:17" x14ac:dyDescent="0.2">
      <c r="A2621" t="s">
        <v>3095</v>
      </c>
      <c r="B2621" s="6" t="s">
        <v>3096</v>
      </c>
      <c r="C2621">
        <v>3</v>
      </c>
      <c r="D2621" s="6" t="s">
        <v>3060</v>
      </c>
      <c r="E2621" s="8" t="s">
        <v>3352</v>
      </c>
      <c r="F2621" s="6" t="s">
        <v>1389</v>
      </c>
      <c r="H2621">
        <v>2.9000000000000001E-2</v>
      </c>
      <c r="M2621">
        <v>5</v>
      </c>
    </row>
    <row r="2622" spans="1:17" x14ac:dyDescent="0.2">
      <c r="A2622" t="s">
        <v>3095</v>
      </c>
      <c r="B2622" s="6" t="s">
        <v>3096</v>
      </c>
      <c r="C2622">
        <v>3</v>
      </c>
      <c r="D2622" s="6" t="s">
        <v>3060</v>
      </c>
      <c r="E2622" s="8" t="s">
        <v>3347</v>
      </c>
      <c r="F2622" s="6" t="s">
        <v>1389</v>
      </c>
      <c r="H2622">
        <f>0.558-0.426</f>
        <v>0.13200000000000006</v>
      </c>
    </row>
    <row r="2623" spans="1:17" x14ac:dyDescent="0.2">
      <c r="A2623" t="s">
        <v>3095</v>
      </c>
      <c r="B2623" s="6" t="s">
        <v>3096</v>
      </c>
      <c r="C2623">
        <v>3</v>
      </c>
      <c r="D2623" s="6" t="s">
        <v>3060</v>
      </c>
      <c r="E2623" s="8" t="s">
        <v>3353</v>
      </c>
      <c r="F2623" s="6" t="s">
        <v>1425</v>
      </c>
      <c r="H2623">
        <v>2.1999999999999999E-2</v>
      </c>
      <c r="Q2623" t="s">
        <v>9976</v>
      </c>
    </row>
    <row r="2624" spans="1:17" x14ac:dyDescent="0.2">
      <c r="A2624" t="s">
        <v>3095</v>
      </c>
      <c r="B2624" s="6" t="s">
        <v>3096</v>
      </c>
      <c r="C2624">
        <v>3</v>
      </c>
      <c r="D2624" s="6" t="s">
        <v>3060</v>
      </c>
      <c r="E2624" s="8" t="s">
        <v>3354</v>
      </c>
      <c r="F2624" s="6" t="s">
        <v>1425</v>
      </c>
      <c r="H2624">
        <v>1.2E-2</v>
      </c>
      <c r="Q2624" t="s">
        <v>9977</v>
      </c>
    </row>
    <row r="2625" spans="1:17" x14ac:dyDescent="0.2">
      <c r="A2625" t="s">
        <v>3095</v>
      </c>
      <c r="B2625" s="6" t="s">
        <v>3096</v>
      </c>
      <c r="C2625">
        <v>4</v>
      </c>
      <c r="D2625" s="6" t="s">
        <v>3060</v>
      </c>
      <c r="E2625" s="8" t="s">
        <v>3356</v>
      </c>
      <c r="F2625" s="6" t="s">
        <v>1279</v>
      </c>
      <c r="H2625">
        <f>10.3-0.5</f>
        <v>9.8000000000000007</v>
      </c>
      <c r="O2625" t="s">
        <v>3358</v>
      </c>
    </row>
    <row r="2626" spans="1:17" x14ac:dyDescent="0.2">
      <c r="A2626" t="s">
        <v>3095</v>
      </c>
      <c r="B2626" s="6" t="s">
        <v>3096</v>
      </c>
      <c r="C2626">
        <v>3</v>
      </c>
      <c r="D2626" s="6" t="s">
        <v>3060</v>
      </c>
      <c r="E2626" s="8" t="s">
        <v>3355</v>
      </c>
      <c r="F2626" s="6" t="s">
        <v>1425</v>
      </c>
      <c r="H2626">
        <v>0.01</v>
      </c>
      <c r="Q2626" t="s">
        <v>9978</v>
      </c>
    </row>
    <row r="2627" spans="1:17" x14ac:dyDescent="0.2">
      <c r="A2627" t="s">
        <v>3095</v>
      </c>
      <c r="B2627" s="6" t="s">
        <v>3096</v>
      </c>
      <c r="C2627">
        <v>3</v>
      </c>
      <c r="D2627" s="6" t="s">
        <v>3060</v>
      </c>
      <c r="E2627" s="8" t="s">
        <v>3361</v>
      </c>
      <c r="F2627" s="6" t="s">
        <v>1425</v>
      </c>
      <c r="H2627">
        <v>5.0000000000000001E-3</v>
      </c>
      <c r="Q2627" t="s">
        <v>9979</v>
      </c>
    </row>
    <row r="2628" spans="1:17" x14ac:dyDescent="0.2">
      <c r="A2628" t="s">
        <v>3095</v>
      </c>
      <c r="B2628" s="6" t="s">
        <v>3096</v>
      </c>
      <c r="C2628">
        <v>3</v>
      </c>
      <c r="D2628" s="6" t="s">
        <v>3060</v>
      </c>
      <c r="E2628" s="8" t="s">
        <v>3362</v>
      </c>
      <c r="F2628" s="6" t="s">
        <v>1425</v>
      </c>
      <c r="H2628">
        <v>8.9999999999999993E-3</v>
      </c>
      <c r="Q2628" t="s">
        <v>9980</v>
      </c>
    </row>
    <row r="2629" spans="1:17" x14ac:dyDescent="0.2">
      <c r="A2629" t="s">
        <v>3095</v>
      </c>
      <c r="B2629" s="6" t="s">
        <v>3096</v>
      </c>
      <c r="C2629">
        <v>3</v>
      </c>
      <c r="D2629" s="6" t="s">
        <v>3060</v>
      </c>
      <c r="E2629" s="8" t="s">
        <v>3363</v>
      </c>
      <c r="F2629" s="6" t="s">
        <v>5930</v>
      </c>
      <c r="H2629">
        <v>5.0000000000000001E-3</v>
      </c>
      <c r="Q2629" t="s">
        <v>6102</v>
      </c>
    </row>
    <row r="2630" spans="1:17" x14ac:dyDescent="0.2">
      <c r="A2630" t="s">
        <v>3095</v>
      </c>
      <c r="B2630" s="6" t="s">
        <v>3096</v>
      </c>
      <c r="C2630">
        <v>3</v>
      </c>
      <c r="D2630" s="6" t="s">
        <v>3060</v>
      </c>
      <c r="E2630" s="8" t="s">
        <v>3364</v>
      </c>
      <c r="F2630" s="6" t="s">
        <v>1538</v>
      </c>
      <c r="H2630">
        <v>2E-3</v>
      </c>
      <c r="Q2630" t="s">
        <v>9981</v>
      </c>
    </row>
    <row r="2631" spans="1:17" x14ac:dyDescent="0.2">
      <c r="A2631" t="s">
        <v>3095</v>
      </c>
      <c r="B2631" s="6" t="s">
        <v>3096</v>
      </c>
      <c r="C2631">
        <v>3</v>
      </c>
      <c r="D2631" s="6" t="s">
        <v>3060</v>
      </c>
      <c r="E2631" s="8" t="s">
        <v>3365</v>
      </c>
      <c r="F2631" s="6" t="s">
        <v>2561</v>
      </c>
      <c r="H2631">
        <v>3.0000000000000001E-3</v>
      </c>
      <c r="Q2631" t="s">
        <v>9982</v>
      </c>
    </row>
    <row r="2632" spans="1:17" x14ac:dyDescent="0.2">
      <c r="A2632" t="s">
        <v>3095</v>
      </c>
      <c r="B2632" s="6" t="s">
        <v>3096</v>
      </c>
      <c r="C2632">
        <v>3</v>
      </c>
      <c r="D2632" s="6" t="s">
        <v>3060</v>
      </c>
      <c r="E2632" s="8" t="s">
        <v>3366</v>
      </c>
      <c r="F2632" s="6" t="s">
        <v>1538</v>
      </c>
      <c r="H2632">
        <v>1E-3</v>
      </c>
      <c r="Q2632" t="s">
        <v>9983</v>
      </c>
    </row>
    <row r="2633" spans="1:17" x14ac:dyDescent="0.2">
      <c r="A2633" t="s">
        <v>3095</v>
      </c>
      <c r="B2633" s="6" t="s">
        <v>3096</v>
      </c>
      <c r="C2633">
        <v>3</v>
      </c>
      <c r="D2633" s="6" t="s">
        <v>3060</v>
      </c>
      <c r="E2633" s="8" t="s">
        <v>3367</v>
      </c>
      <c r="F2633" s="6" t="s">
        <v>1538</v>
      </c>
      <c r="H2633">
        <v>2E-3</v>
      </c>
      <c r="Q2633" t="s">
        <v>9984</v>
      </c>
    </row>
    <row r="2634" spans="1:17" x14ac:dyDescent="0.2">
      <c r="A2634" t="s">
        <v>3095</v>
      </c>
      <c r="B2634" s="6" t="s">
        <v>3096</v>
      </c>
      <c r="C2634">
        <v>3</v>
      </c>
      <c r="D2634" s="6" t="s">
        <v>3060</v>
      </c>
      <c r="E2634" s="8" t="s">
        <v>3368</v>
      </c>
      <c r="F2634" s="6" t="s">
        <v>1538</v>
      </c>
      <c r="H2634">
        <v>2E-3</v>
      </c>
      <c r="Q2634" t="s">
        <v>9985</v>
      </c>
    </row>
    <row r="2635" spans="1:17" x14ac:dyDescent="0.2">
      <c r="A2635" t="s">
        <v>3095</v>
      </c>
      <c r="B2635" s="6" t="s">
        <v>3096</v>
      </c>
      <c r="C2635">
        <v>3</v>
      </c>
      <c r="D2635" s="6" t="s">
        <v>3060</v>
      </c>
      <c r="E2635" s="8" t="s">
        <v>3369</v>
      </c>
      <c r="F2635" s="6" t="s">
        <v>1538</v>
      </c>
      <c r="H2635">
        <v>4.0000000000000001E-3</v>
      </c>
      <c r="Q2635" t="s">
        <v>9986</v>
      </c>
    </row>
    <row r="2636" spans="1:17" x14ac:dyDescent="0.2">
      <c r="A2636" t="s">
        <v>3095</v>
      </c>
      <c r="B2636" s="6" t="s">
        <v>3096</v>
      </c>
      <c r="C2636">
        <v>3</v>
      </c>
      <c r="D2636" s="6" t="s">
        <v>3060</v>
      </c>
      <c r="E2636" s="8" t="s">
        <v>3370</v>
      </c>
      <c r="F2636" s="6" t="s">
        <v>1538</v>
      </c>
      <c r="H2636">
        <v>7.0000000000000001E-3</v>
      </c>
      <c r="Q2636" t="s">
        <v>9987</v>
      </c>
    </row>
    <row r="2637" spans="1:17" x14ac:dyDescent="0.2">
      <c r="A2637" t="s">
        <v>3095</v>
      </c>
      <c r="B2637" s="6" t="s">
        <v>3096</v>
      </c>
      <c r="C2637">
        <v>3</v>
      </c>
      <c r="D2637" s="6" t="s">
        <v>3060</v>
      </c>
      <c r="E2637" s="8" t="s">
        <v>3371</v>
      </c>
      <c r="F2637" s="6" t="s">
        <v>1538</v>
      </c>
      <c r="H2637">
        <v>1.4999999999999999E-2</v>
      </c>
      <c r="M2637">
        <v>5</v>
      </c>
    </row>
    <row r="2638" spans="1:17" x14ac:dyDescent="0.2">
      <c r="A2638" t="s">
        <v>3095</v>
      </c>
      <c r="B2638" s="6" t="s">
        <v>3096</v>
      </c>
      <c r="C2638">
        <v>3</v>
      </c>
      <c r="D2638" s="6" t="s">
        <v>3060</v>
      </c>
      <c r="E2638" s="8" t="s">
        <v>3347</v>
      </c>
      <c r="F2638" s="6" t="s">
        <v>1538</v>
      </c>
      <c r="H2638">
        <v>2.1999999999999999E-2</v>
      </c>
    </row>
    <row r="2639" spans="1:17" x14ac:dyDescent="0.2">
      <c r="A2639" t="s">
        <v>3095</v>
      </c>
      <c r="B2639" s="6" t="s">
        <v>3096</v>
      </c>
      <c r="C2639">
        <v>4</v>
      </c>
      <c r="D2639" s="6" t="s">
        <v>3060</v>
      </c>
      <c r="E2639" s="8" t="s">
        <v>3360</v>
      </c>
      <c r="F2639" s="6" t="s">
        <v>2957</v>
      </c>
      <c r="H2639">
        <v>0.19600000000000001</v>
      </c>
    </row>
    <row r="2640" spans="1:17" x14ac:dyDescent="0.2">
      <c r="A2640" t="s">
        <v>3095</v>
      </c>
      <c r="B2640" s="6" t="s">
        <v>3096</v>
      </c>
      <c r="C2640">
        <v>4</v>
      </c>
      <c r="D2640" s="6" t="s">
        <v>3060</v>
      </c>
      <c r="E2640" s="8" t="s">
        <v>3373</v>
      </c>
      <c r="F2640" s="6" t="s">
        <v>3390</v>
      </c>
      <c r="H2640">
        <v>2.4E-2</v>
      </c>
    </row>
    <row r="2641" spans="1:17" x14ac:dyDescent="0.2">
      <c r="A2641" t="s">
        <v>3095</v>
      </c>
      <c r="B2641" s="6" t="s">
        <v>3096</v>
      </c>
      <c r="C2641">
        <v>4</v>
      </c>
      <c r="D2641" s="6" t="s">
        <v>3060</v>
      </c>
      <c r="E2641" s="8" t="s">
        <v>3372</v>
      </c>
      <c r="F2641" s="6" t="s">
        <v>2789</v>
      </c>
      <c r="H2641">
        <v>2.1999999999999999E-2</v>
      </c>
      <c r="O2641" t="s">
        <v>3392</v>
      </c>
    </row>
    <row r="2642" spans="1:17" x14ac:dyDescent="0.2">
      <c r="A2642" t="s">
        <v>3095</v>
      </c>
      <c r="B2642" s="6" t="s">
        <v>3096</v>
      </c>
      <c r="C2642">
        <v>4</v>
      </c>
      <c r="D2642" s="6" t="s">
        <v>3060</v>
      </c>
      <c r="E2642" s="8" t="s">
        <v>3375</v>
      </c>
      <c r="F2642" s="6" t="s">
        <v>121</v>
      </c>
      <c r="H2642">
        <v>2E-3</v>
      </c>
      <c r="M2642">
        <v>2</v>
      </c>
    </row>
    <row r="2643" spans="1:17" x14ac:dyDescent="0.2">
      <c r="A2643" t="s">
        <v>3095</v>
      </c>
      <c r="B2643" s="6" t="s">
        <v>3096</v>
      </c>
      <c r="C2643">
        <v>4</v>
      </c>
      <c r="D2643" s="6" t="s">
        <v>3060</v>
      </c>
      <c r="E2643" s="8" t="s">
        <v>3374</v>
      </c>
      <c r="F2643" s="6" t="s">
        <v>3391</v>
      </c>
      <c r="H2643">
        <v>4.0000000000000001E-3</v>
      </c>
    </row>
    <row r="2644" spans="1:17" x14ac:dyDescent="0.2">
      <c r="A2644" t="s">
        <v>3095</v>
      </c>
      <c r="B2644" s="6" t="s">
        <v>3096</v>
      </c>
      <c r="C2644">
        <v>4</v>
      </c>
      <c r="D2644" s="6" t="s">
        <v>3060</v>
      </c>
      <c r="E2644" s="8" t="s">
        <v>3376</v>
      </c>
      <c r="F2644" s="6" t="s">
        <v>5930</v>
      </c>
      <c r="H2644">
        <v>1.0999999999999999E-2</v>
      </c>
      <c r="Q2644" t="s">
        <v>6103</v>
      </c>
    </row>
    <row r="2645" spans="1:17" x14ac:dyDescent="0.2">
      <c r="A2645" t="s">
        <v>3095</v>
      </c>
      <c r="B2645" s="6" t="s">
        <v>3096</v>
      </c>
      <c r="C2645">
        <v>4</v>
      </c>
      <c r="D2645" s="6" t="s">
        <v>3060</v>
      </c>
      <c r="E2645" s="8" t="s">
        <v>3377</v>
      </c>
      <c r="F2645" s="6" t="s">
        <v>1425</v>
      </c>
      <c r="H2645">
        <v>6.3E-2</v>
      </c>
      <c r="Q2645" t="s">
        <v>9988</v>
      </c>
    </row>
    <row r="2646" spans="1:17" x14ac:dyDescent="0.2">
      <c r="A2646" t="s">
        <v>3095</v>
      </c>
      <c r="B2646" s="6" t="s">
        <v>3096</v>
      </c>
      <c r="C2646">
        <v>4</v>
      </c>
      <c r="D2646" s="6" t="s">
        <v>3060</v>
      </c>
      <c r="E2646" s="8" t="s">
        <v>3378</v>
      </c>
      <c r="F2646" s="6" t="s">
        <v>1425</v>
      </c>
      <c r="H2646">
        <v>8.0000000000000002E-3</v>
      </c>
      <c r="Q2646" t="s">
        <v>9989</v>
      </c>
    </row>
    <row r="2647" spans="1:17" x14ac:dyDescent="0.2">
      <c r="A2647" t="s">
        <v>3095</v>
      </c>
      <c r="B2647" s="6" t="s">
        <v>3096</v>
      </c>
      <c r="C2647">
        <v>4</v>
      </c>
      <c r="D2647" s="6" t="s">
        <v>3060</v>
      </c>
      <c r="E2647" s="8" t="s">
        <v>3379</v>
      </c>
      <c r="F2647" s="6" t="s">
        <v>1425</v>
      </c>
      <c r="H2647">
        <v>8.0000000000000002E-3</v>
      </c>
      <c r="Q2647" t="s">
        <v>9990</v>
      </c>
    </row>
    <row r="2648" spans="1:17" x14ac:dyDescent="0.2">
      <c r="A2648" t="s">
        <v>3095</v>
      </c>
      <c r="B2648" s="6" t="s">
        <v>3096</v>
      </c>
      <c r="C2648">
        <v>4</v>
      </c>
      <c r="D2648" s="6" t="s">
        <v>3060</v>
      </c>
      <c r="E2648" s="8" t="s">
        <v>3380</v>
      </c>
      <c r="F2648" s="6" t="s">
        <v>1425</v>
      </c>
      <c r="H2648">
        <v>5.0000000000000001E-3</v>
      </c>
      <c r="Q2648" t="s">
        <v>9991</v>
      </c>
    </row>
    <row r="2649" spans="1:17" x14ac:dyDescent="0.2">
      <c r="A2649" t="s">
        <v>3095</v>
      </c>
      <c r="B2649" s="6" t="s">
        <v>3096</v>
      </c>
      <c r="C2649">
        <v>4</v>
      </c>
      <c r="D2649" s="6" t="s">
        <v>3060</v>
      </c>
      <c r="E2649" s="8" t="s">
        <v>3381</v>
      </c>
      <c r="F2649" s="6" t="s">
        <v>1425</v>
      </c>
      <c r="H2649">
        <v>3.0000000000000001E-3</v>
      </c>
      <c r="Q2649" t="s">
        <v>9992</v>
      </c>
    </row>
    <row r="2650" spans="1:17" x14ac:dyDescent="0.2">
      <c r="A2650" t="s">
        <v>3095</v>
      </c>
      <c r="B2650" s="6" t="s">
        <v>3096</v>
      </c>
      <c r="C2650">
        <v>4</v>
      </c>
      <c r="D2650" s="6" t="s">
        <v>3060</v>
      </c>
      <c r="E2650" s="8" t="s">
        <v>3382</v>
      </c>
      <c r="F2650" s="6" t="s">
        <v>1425</v>
      </c>
      <c r="H2650">
        <v>8.0000000000000002E-3</v>
      </c>
      <c r="Q2650" t="s">
        <v>9993</v>
      </c>
    </row>
    <row r="2651" spans="1:17" x14ac:dyDescent="0.2">
      <c r="A2651" t="s">
        <v>3095</v>
      </c>
      <c r="B2651" s="6" t="s">
        <v>3096</v>
      </c>
      <c r="C2651">
        <v>4</v>
      </c>
      <c r="D2651" s="6" t="s">
        <v>3060</v>
      </c>
      <c r="E2651" s="8" t="s">
        <v>3383</v>
      </c>
      <c r="F2651" s="6" t="s">
        <v>1389</v>
      </c>
      <c r="G2651" t="s">
        <v>114</v>
      </c>
      <c r="Q2651" t="s">
        <v>9994</v>
      </c>
    </row>
    <row r="2652" spans="1:17" x14ac:dyDescent="0.2">
      <c r="A2652" t="s">
        <v>3095</v>
      </c>
      <c r="B2652" s="6" t="s">
        <v>3096</v>
      </c>
      <c r="C2652">
        <v>4</v>
      </c>
      <c r="D2652" s="6" t="s">
        <v>3060</v>
      </c>
      <c r="E2652" s="8" t="s">
        <v>3384</v>
      </c>
      <c r="F2652" s="6" t="s">
        <v>1389</v>
      </c>
      <c r="H2652">
        <v>5.0000000000000001E-3</v>
      </c>
      <c r="Q2652" t="s">
        <v>9995</v>
      </c>
    </row>
    <row r="2653" spans="1:17" x14ac:dyDescent="0.2">
      <c r="A2653" t="s">
        <v>3095</v>
      </c>
      <c r="B2653" s="6" t="s">
        <v>3096</v>
      </c>
      <c r="C2653">
        <v>4</v>
      </c>
      <c r="D2653" s="6" t="s">
        <v>3060</v>
      </c>
      <c r="E2653" s="8" t="s">
        <v>3385</v>
      </c>
      <c r="F2653" s="6" t="s">
        <v>1389</v>
      </c>
      <c r="H2653">
        <v>5.0000000000000001E-3</v>
      </c>
      <c r="Q2653" t="s">
        <v>9996</v>
      </c>
    </row>
    <row r="2654" spans="1:17" x14ac:dyDescent="0.2">
      <c r="A2654" t="s">
        <v>3095</v>
      </c>
      <c r="B2654" s="6" t="s">
        <v>3096</v>
      </c>
      <c r="C2654">
        <v>4</v>
      </c>
      <c r="D2654" s="6" t="s">
        <v>3060</v>
      </c>
      <c r="E2654" s="8" t="s">
        <v>3386</v>
      </c>
      <c r="F2654" s="6" t="s">
        <v>1389</v>
      </c>
      <c r="H2654">
        <v>1E-3</v>
      </c>
      <c r="Q2654" t="s">
        <v>9997</v>
      </c>
    </row>
    <row r="2655" spans="1:17" x14ac:dyDescent="0.2">
      <c r="A2655" t="s">
        <v>3095</v>
      </c>
      <c r="B2655" s="6" t="s">
        <v>3096</v>
      </c>
      <c r="C2655">
        <v>5</v>
      </c>
      <c r="D2655" s="6" t="s">
        <v>3060</v>
      </c>
      <c r="E2655" s="8" t="s">
        <v>3389</v>
      </c>
      <c r="F2655" s="6" t="s">
        <v>1264</v>
      </c>
      <c r="H2655">
        <f>3.5-0.295</f>
        <v>3.2050000000000001</v>
      </c>
    </row>
    <row r="2656" spans="1:17" x14ac:dyDescent="0.2">
      <c r="A2656" t="s">
        <v>3095</v>
      </c>
      <c r="B2656" s="6" t="s">
        <v>3096</v>
      </c>
      <c r="C2656">
        <v>4</v>
      </c>
      <c r="D2656" s="6" t="s">
        <v>3060</v>
      </c>
      <c r="E2656" s="8" t="s">
        <v>3388</v>
      </c>
      <c r="F2656" s="6" t="s">
        <v>1389</v>
      </c>
      <c r="H2656">
        <v>8.9999999999999993E-3</v>
      </c>
      <c r="Q2656" t="s">
        <v>9998</v>
      </c>
    </row>
    <row r="2657" spans="1:17" x14ac:dyDescent="0.2">
      <c r="A2657" t="s">
        <v>3095</v>
      </c>
      <c r="B2657" s="6" t="s">
        <v>3096</v>
      </c>
      <c r="C2657">
        <v>4</v>
      </c>
      <c r="D2657" s="6" t="s">
        <v>3060</v>
      </c>
      <c r="E2657" s="8" t="s">
        <v>3387</v>
      </c>
      <c r="F2657" s="6" t="s">
        <v>1389</v>
      </c>
      <c r="H2657">
        <v>2.1000000000000001E-2</v>
      </c>
      <c r="M2657">
        <v>5</v>
      </c>
    </row>
    <row r="2658" spans="1:17" x14ac:dyDescent="0.2">
      <c r="A2658" t="s">
        <v>3095</v>
      </c>
      <c r="B2658" s="6" t="s">
        <v>3096</v>
      </c>
      <c r="C2658">
        <v>4</v>
      </c>
      <c r="D2658" s="6" t="s">
        <v>3060</v>
      </c>
      <c r="E2658" s="8" t="s">
        <v>3393</v>
      </c>
      <c r="F2658" s="6" t="s">
        <v>2684</v>
      </c>
      <c r="H2658">
        <v>1E-3</v>
      </c>
      <c r="Q2658" t="s">
        <v>9999</v>
      </c>
    </row>
    <row r="2659" spans="1:17" x14ac:dyDescent="0.2">
      <c r="A2659" t="s">
        <v>3095</v>
      </c>
      <c r="B2659" s="6" t="s">
        <v>3096</v>
      </c>
      <c r="C2659">
        <v>4</v>
      </c>
      <c r="D2659" s="6" t="s">
        <v>3060</v>
      </c>
      <c r="E2659" s="8" t="s">
        <v>3394</v>
      </c>
      <c r="F2659" s="6" t="s">
        <v>1538</v>
      </c>
      <c r="H2659">
        <v>1E-3</v>
      </c>
      <c r="Q2659" t="s">
        <v>10000</v>
      </c>
    </row>
    <row r="2660" spans="1:17" x14ac:dyDescent="0.2">
      <c r="A2660" t="s">
        <v>3095</v>
      </c>
      <c r="B2660" s="6" t="s">
        <v>3096</v>
      </c>
      <c r="C2660">
        <v>4</v>
      </c>
      <c r="D2660" s="6" t="s">
        <v>3060</v>
      </c>
      <c r="E2660" s="8" t="s">
        <v>3373</v>
      </c>
      <c r="F2660" s="6" t="s">
        <v>1389</v>
      </c>
      <c r="H2660">
        <v>3.6999999999999998E-2</v>
      </c>
    </row>
    <row r="2661" spans="1:17" x14ac:dyDescent="0.2">
      <c r="A2661" t="s">
        <v>3095</v>
      </c>
      <c r="B2661" s="6" t="s">
        <v>3096</v>
      </c>
      <c r="C2661">
        <v>5</v>
      </c>
      <c r="D2661" s="6" t="s">
        <v>3060</v>
      </c>
      <c r="E2661" s="8" t="s">
        <v>3395</v>
      </c>
      <c r="F2661" s="6" t="s">
        <v>7138</v>
      </c>
      <c r="H2661">
        <v>5.0000000000000001E-3</v>
      </c>
      <c r="Q2661" t="s">
        <v>10001</v>
      </c>
    </row>
    <row r="2662" spans="1:17" x14ac:dyDescent="0.2">
      <c r="A2662" t="s">
        <v>3095</v>
      </c>
      <c r="B2662" s="6" t="s">
        <v>3096</v>
      </c>
      <c r="C2662">
        <v>5</v>
      </c>
      <c r="D2662" s="6" t="s">
        <v>3060</v>
      </c>
      <c r="E2662" s="8" t="s">
        <v>3396</v>
      </c>
      <c r="F2662" s="6" t="s">
        <v>2218</v>
      </c>
      <c r="H2662">
        <v>0.01</v>
      </c>
    </row>
    <row r="2663" spans="1:17" x14ac:dyDescent="0.2">
      <c r="A2663" t="s">
        <v>3095</v>
      </c>
      <c r="B2663" s="6" t="s">
        <v>3096</v>
      </c>
      <c r="C2663">
        <v>5</v>
      </c>
      <c r="D2663" s="6" t="s">
        <v>3060</v>
      </c>
      <c r="E2663" s="8" t="s">
        <v>3397</v>
      </c>
      <c r="F2663" s="6" t="s">
        <v>2957</v>
      </c>
      <c r="H2663">
        <v>1.4999999999999999E-2</v>
      </c>
    </row>
    <row r="2664" spans="1:17" x14ac:dyDescent="0.2">
      <c r="A2664" t="s">
        <v>3095</v>
      </c>
      <c r="B2664" s="6" t="s">
        <v>3096</v>
      </c>
      <c r="C2664">
        <v>5</v>
      </c>
      <c r="D2664" s="6" t="s">
        <v>3060</v>
      </c>
      <c r="E2664" s="8" t="s">
        <v>3403</v>
      </c>
      <c r="F2664" s="6" t="s">
        <v>106</v>
      </c>
      <c r="G2664" t="s">
        <v>114</v>
      </c>
    </row>
    <row r="2665" spans="1:17" x14ac:dyDescent="0.2">
      <c r="A2665" t="s">
        <v>3095</v>
      </c>
      <c r="B2665" s="6" t="s">
        <v>3096</v>
      </c>
      <c r="C2665">
        <v>5</v>
      </c>
      <c r="D2665" s="6" t="s">
        <v>3060</v>
      </c>
      <c r="E2665" s="8" t="s">
        <v>3398</v>
      </c>
      <c r="F2665" s="6" t="s">
        <v>2789</v>
      </c>
      <c r="H2665">
        <v>1.7000000000000001E-2</v>
      </c>
      <c r="O2665" t="s">
        <v>3421</v>
      </c>
    </row>
    <row r="2666" spans="1:17" x14ac:dyDescent="0.2">
      <c r="A2666" t="s">
        <v>3095</v>
      </c>
      <c r="B2666" s="6" t="s">
        <v>3096</v>
      </c>
      <c r="C2666">
        <v>5</v>
      </c>
      <c r="D2666" s="6" t="s">
        <v>3060</v>
      </c>
      <c r="E2666" s="8" t="s">
        <v>3399</v>
      </c>
      <c r="F2666" s="6" t="s">
        <v>3423</v>
      </c>
      <c r="H2666">
        <v>4.4999999999999998E-2</v>
      </c>
      <c r="O2666" t="s">
        <v>3422</v>
      </c>
    </row>
    <row r="2667" spans="1:17" x14ac:dyDescent="0.2">
      <c r="A2667" t="s">
        <v>3095</v>
      </c>
      <c r="B2667" s="6" t="s">
        <v>3096</v>
      </c>
      <c r="C2667">
        <v>5</v>
      </c>
      <c r="D2667" s="6" t="s">
        <v>3060</v>
      </c>
      <c r="E2667" s="8" t="s">
        <v>3400</v>
      </c>
      <c r="F2667" s="6" t="s">
        <v>1538</v>
      </c>
      <c r="H2667">
        <v>0.02</v>
      </c>
      <c r="Q2667" t="s">
        <v>10002</v>
      </c>
    </row>
    <row r="2668" spans="1:17" x14ac:dyDescent="0.2">
      <c r="A2668" t="s">
        <v>3095</v>
      </c>
      <c r="B2668" s="6" t="s">
        <v>3096</v>
      </c>
      <c r="C2668">
        <v>5</v>
      </c>
      <c r="D2668" s="6" t="s">
        <v>3060</v>
      </c>
      <c r="E2668" s="8" t="s">
        <v>3401</v>
      </c>
      <c r="F2668" s="6" t="s">
        <v>1538</v>
      </c>
      <c r="H2668">
        <v>0.03</v>
      </c>
      <c r="Q2668" t="s">
        <v>10003</v>
      </c>
    </row>
    <row r="2669" spans="1:17" x14ac:dyDescent="0.2">
      <c r="A2669" t="s">
        <v>3095</v>
      </c>
      <c r="B2669" s="6" t="s">
        <v>3096</v>
      </c>
      <c r="C2669">
        <v>5</v>
      </c>
      <c r="D2669" s="6" t="s">
        <v>3060</v>
      </c>
      <c r="E2669" s="8" t="s">
        <v>3402</v>
      </c>
      <c r="F2669" s="6" t="s">
        <v>5850</v>
      </c>
      <c r="H2669">
        <v>3.0000000000000001E-3</v>
      </c>
      <c r="Q2669" t="s">
        <v>10004</v>
      </c>
    </row>
    <row r="2670" spans="1:17" x14ac:dyDescent="0.2">
      <c r="A2670" t="s">
        <v>3095</v>
      </c>
      <c r="B2670" s="6" t="s">
        <v>3096</v>
      </c>
      <c r="C2670">
        <v>5</v>
      </c>
      <c r="D2670" s="6" t="s">
        <v>3060</v>
      </c>
      <c r="E2670" s="8" t="s">
        <v>3404</v>
      </c>
      <c r="F2670" s="6" t="s">
        <v>10018</v>
      </c>
      <c r="H2670">
        <v>2E-3</v>
      </c>
      <c r="Q2670" t="s">
        <v>10005</v>
      </c>
    </row>
    <row r="2671" spans="1:17" x14ac:dyDescent="0.2">
      <c r="A2671" t="s">
        <v>3095</v>
      </c>
      <c r="B2671" s="6" t="s">
        <v>3096</v>
      </c>
      <c r="C2671">
        <v>5</v>
      </c>
      <c r="D2671" s="6" t="s">
        <v>3060</v>
      </c>
      <c r="E2671" s="8" t="s">
        <v>3405</v>
      </c>
      <c r="F2671" s="6" t="s">
        <v>10018</v>
      </c>
      <c r="H2671">
        <v>2E-3</v>
      </c>
      <c r="Q2671" t="s">
        <v>10006</v>
      </c>
    </row>
    <row r="2672" spans="1:17" x14ac:dyDescent="0.2">
      <c r="A2672" t="s">
        <v>3095</v>
      </c>
      <c r="B2672" s="6" t="s">
        <v>3096</v>
      </c>
      <c r="C2672">
        <v>5</v>
      </c>
      <c r="D2672" s="6" t="s">
        <v>3060</v>
      </c>
      <c r="E2672" s="8" t="s">
        <v>3406</v>
      </c>
      <c r="F2672" s="6" t="s">
        <v>10018</v>
      </c>
      <c r="H2672">
        <v>2E-3</v>
      </c>
      <c r="Q2672" t="s">
        <v>10007</v>
      </c>
    </row>
    <row r="2673" spans="1:17" x14ac:dyDescent="0.2">
      <c r="A2673" t="s">
        <v>3095</v>
      </c>
      <c r="B2673" s="6" t="s">
        <v>3096</v>
      </c>
      <c r="C2673">
        <v>5</v>
      </c>
      <c r="D2673" s="6" t="s">
        <v>3060</v>
      </c>
      <c r="E2673" s="8" t="s">
        <v>3407</v>
      </c>
      <c r="F2673" s="6" t="s">
        <v>1425</v>
      </c>
      <c r="H2673">
        <v>1.2E-2</v>
      </c>
      <c r="Q2673" t="s">
        <v>10008</v>
      </c>
    </row>
    <row r="2674" spans="1:17" x14ac:dyDescent="0.2">
      <c r="A2674" t="s">
        <v>3095</v>
      </c>
      <c r="B2674" s="6" t="s">
        <v>3096</v>
      </c>
      <c r="C2674">
        <v>5</v>
      </c>
      <c r="D2674" s="6" t="s">
        <v>3060</v>
      </c>
      <c r="E2674" s="8" t="s">
        <v>3408</v>
      </c>
      <c r="F2674" s="6" t="s">
        <v>6239</v>
      </c>
      <c r="H2674">
        <v>1E-3</v>
      </c>
      <c r="Q2674" t="s">
        <v>10009</v>
      </c>
    </row>
    <row r="2675" spans="1:17" x14ac:dyDescent="0.2">
      <c r="A2675" t="s">
        <v>3095</v>
      </c>
      <c r="B2675" s="6" t="s">
        <v>3096</v>
      </c>
      <c r="C2675">
        <v>5</v>
      </c>
      <c r="D2675" s="6" t="s">
        <v>3060</v>
      </c>
      <c r="E2675" s="8" t="s">
        <v>3409</v>
      </c>
      <c r="F2675" s="6" t="s">
        <v>1538</v>
      </c>
      <c r="H2675">
        <v>1E-3</v>
      </c>
      <c r="Q2675" t="s">
        <v>10010</v>
      </c>
    </row>
    <row r="2676" spans="1:17" x14ac:dyDescent="0.2">
      <c r="A2676" t="s">
        <v>3095</v>
      </c>
      <c r="B2676" s="6" t="s">
        <v>3096</v>
      </c>
      <c r="C2676">
        <v>5</v>
      </c>
      <c r="D2676" s="6" t="s">
        <v>3060</v>
      </c>
      <c r="E2676" s="8" t="s">
        <v>3410</v>
      </c>
      <c r="F2676" s="6" t="s">
        <v>1538</v>
      </c>
      <c r="H2676">
        <v>1E-3</v>
      </c>
      <c r="Q2676" t="s">
        <v>10011</v>
      </c>
    </row>
    <row r="2677" spans="1:17" x14ac:dyDescent="0.2">
      <c r="A2677" t="s">
        <v>3095</v>
      </c>
      <c r="B2677" s="6" t="s">
        <v>3096</v>
      </c>
      <c r="C2677">
        <v>5</v>
      </c>
      <c r="D2677" s="6" t="s">
        <v>3060</v>
      </c>
      <c r="E2677" s="8" t="s">
        <v>3411</v>
      </c>
      <c r="F2677" s="6" t="s">
        <v>1538</v>
      </c>
      <c r="H2677">
        <v>2E-3</v>
      </c>
      <c r="Q2677" t="s">
        <v>10012</v>
      </c>
    </row>
    <row r="2678" spans="1:17" x14ac:dyDescent="0.2">
      <c r="A2678" t="s">
        <v>3095</v>
      </c>
      <c r="B2678" s="6" t="s">
        <v>3096</v>
      </c>
      <c r="C2678">
        <v>5</v>
      </c>
      <c r="D2678" s="6" t="s">
        <v>3060</v>
      </c>
      <c r="E2678" s="8" t="s">
        <v>3412</v>
      </c>
      <c r="F2678" s="6" t="s">
        <v>1389</v>
      </c>
      <c r="H2678">
        <v>5.0000000000000001E-3</v>
      </c>
      <c r="Q2678" t="s">
        <v>10013</v>
      </c>
    </row>
    <row r="2679" spans="1:17" x14ac:dyDescent="0.2">
      <c r="A2679" t="s">
        <v>3095</v>
      </c>
      <c r="B2679" s="6" t="s">
        <v>3096</v>
      </c>
      <c r="C2679">
        <v>5</v>
      </c>
      <c r="D2679" s="6" t="s">
        <v>3060</v>
      </c>
      <c r="E2679" s="8" t="s">
        <v>3413</v>
      </c>
      <c r="F2679" s="6" t="s">
        <v>1389</v>
      </c>
      <c r="H2679">
        <v>6.0000000000000001E-3</v>
      </c>
      <c r="Q2679" t="s">
        <v>10014</v>
      </c>
    </row>
    <row r="2680" spans="1:17" x14ac:dyDescent="0.2">
      <c r="A2680" t="s">
        <v>3095</v>
      </c>
      <c r="B2680" s="6" t="s">
        <v>3096</v>
      </c>
      <c r="C2680">
        <v>5</v>
      </c>
      <c r="D2680" s="6" t="s">
        <v>3060</v>
      </c>
      <c r="E2680" s="8" t="s">
        <v>3414</v>
      </c>
      <c r="F2680" s="6" t="s">
        <v>1389</v>
      </c>
      <c r="H2680">
        <v>4.0000000000000001E-3</v>
      </c>
      <c r="Q2680" t="s">
        <v>10015</v>
      </c>
    </row>
    <row r="2681" spans="1:17" x14ac:dyDescent="0.2">
      <c r="A2681" t="s">
        <v>3095</v>
      </c>
      <c r="B2681" s="6" t="s">
        <v>3096</v>
      </c>
      <c r="C2681">
        <v>5</v>
      </c>
      <c r="D2681" s="6" t="s">
        <v>3060</v>
      </c>
      <c r="E2681" s="8" t="s">
        <v>3415</v>
      </c>
      <c r="F2681" s="6" t="s">
        <v>1389</v>
      </c>
      <c r="H2681">
        <v>2E-3</v>
      </c>
      <c r="Q2681" t="s">
        <v>10016</v>
      </c>
    </row>
    <row r="2682" spans="1:17" x14ac:dyDescent="0.2">
      <c r="A2682" t="s">
        <v>3095</v>
      </c>
      <c r="B2682" s="6" t="s">
        <v>3096</v>
      </c>
      <c r="C2682">
        <v>5</v>
      </c>
      <c r="D2682" s="6" t="s">
        <v>3060</v>
      </c>
      <c r="E2682" s="8" t="s">
        <v>3416</v>
      </c>
      <c r="F2682" s="6" t="s">
        <v>1389</v>
      </c>
      <c r="G2682" t="s">
        <v>114</v>
      </c>
      <c r="Q2682" t="s">
        <v>10017</v>
      </c>
    </row>
    <row r="2683" spans="1:17" x14ac:dyDescent="0.2">
      <c r="A2683" t="s">
        <v>3095</v>
      </c>
      <c r="B2683" s="6" t="s">
        <v>3096</v>
      </c>
      <c r="C2683">
        <v>5</v>
      </c>
      <c r="D2683" s="6" t="s">
        <v>3060</v>
      </c>
      <c r="E2683" s="8" t="s">
        <v>3417</v>
      </c>
      <c r="F2683" s="6" t="s">
        <v>5995</v>
      </c>
      <c r="G2683" t="s">
        <v>114</v>
      </c>
      <c r="Q2683" t="s">
        <v>6104</v>
      </c>
    </row>
    <row r="2684" spans="1:17" x14ac:dyDescent="0.2">
      <c r="A2684" t="s">
        <v>3095</v>
      </c>
      <c r="B2684" s="6" t="s">
        <v>3096</v>
      </c>
      <c r="C2684">
        <v>5</v>
      </c>
      <c r="D2684" s="6" t="s">
        <v>3060</v>
      </c>
      <c r="E2684" s="8" t="s">
        <v>3418</v>
      </c>
      <c r="F2684" s="6" t="s">
        <v>5995</v>
      </c>
      <c r="H2684">
        <v>2E-3</v>
      </c>
      <c r="Q2684" t="s">
        <v>6105</v>
      </c>
    </row>
    <row r="2685" spans="1:17" x14ac:dyDescent="0.2">
      <c r="A2685" t="s">
        <v>3095</v>
      </c>
      <c r="B2685" s="6" t="s">
        <v>3096</v>
      </c>
      <c r="C2685">
        <v>6</v>
      </c>
      <c r="D2685" s="6" t="s">
        <v>3060</v>
      </c>
      <c r="E2685" s="8" t="s">
        <v>3419</v>
      </c>
      <c r="F2685" s="6" t="s">
        <v>1264</v>
      </c>
      <c r="H2685">
        <f>2.543-0.311</f>
        <v>2.2320000000000002</v>
      </c>
      <c r="O2685" t="s">
        <v>3425</v>
      </c>
    </row>
    <row r="2686" spans="1:17" x14ac:dyDescent="0.2">
      <c r="A2686" t="s">
        <v>3095</v>
      </c>
      <c r="B2686" s="6" t="s">
        <v>3096</v>
      </c>
      <c r="C2686">
        <v>6</v>
      </c>
      <c r="D2686" s="6" t="s">
        <v>3060</v>
      </c>
      <c r="E2686" s="8" t="s">
        <v>3420</v>
      </c>
      <c r="F2686" s="6" t="s">
        <v>2789</v>
      </c>
      <c r="H2686">
        <f>0.98-0.345</f>
        <v>0.63500000000000001</v>
      </c>
      <c r="O2686" t="s">
        <v>3426</v>
      </c>
    </row>
    <row r="2687" spans="1:17" x14ac:dyDescent="0.2">
      <c r="A2687" t="s">
        <v>3095</v>
      </c>
      <c r="B2687" s="6" t="s">
        <v>3096</v>
      </c>
      <c r="C2687">
        <v>6</v>
      </c>
      <c r="D2687" s="6" t="s">
        <v>3060</v>
      </c>
      <c r="E2687" s="8" t="s">
        <v>3507</v>
      </c>
      <c r="F2687" t="s">
        <v>6579</v>
      </c>
      <c r="G2687">
        <v>4</v>
      </c>
      <c r="M2687">
        <v>5</v>
      </c>
      <c r="O2687" t="s">
        <v>10021</v>
      </c>
      <c r="Q2687" t="s">
        <v>10019</v>
      </c>
    </row>
    <row r="2688" spans="1:17" x14ac:dyDescent="0.2">
      <c r="A2688" t="s">
        <v>3095</v>
      </c>
      <c r="B2688" s="6" t="s">
        <v>3096</v>
      </c>
      <c r="C2688">
        <v>6</v>
      </c>
      <c r="D2688" s="6" t="s">
        <v>3060</v>
      </c>
      <c r="E2688" s="8" t="s">
        <v>3508</v>
      </c>
      <c r="F2688" s="6" t="s">
        <v>3452</v>
      </c>
      <c r="G2688">
        <v>2</v>
      </c>
      <c r="M2688">
        <v>3</v>
      </c>
      <c r="O2688" t="s">
        <v>3455</v>
      </c>
    </row>
    <row r="2689" spans="1:17" x14ac:dyDescent="0.2">
      <c r="A2689" t="s">
        <v>3095</v>
      </c>
      <c r="B2689" s="6" t="s">
        <v>3096</v>
      </c>
      <c r="C2689">
        <v>6</v>
      </c>
      <c r="D2689" s="6" t="s">
        <v>3060</v>
      </c>
      <c r="E2689" s="8" t="s">
        <v>3509</v>
      </c>
      <c r="F2689" s="6" t="s">
        <v>3453</v>
      </c>
      <c r="G2689">
        <v>18</v>
      </c>
    </row>
    <row r="2690" spans="1:17" x14ac:dyDescent="0.2">
      <c r="A2690" t="s">
        <v>3095</v>
      </c>
      <c r="B2690" s="6" t="s">
        <v>3096</v>
      </c>
      <c r="C2690">
        <v>6</v>
      </c>
      <c r="D2690" s="6" t="s">
        <v>3060</v>
      </c>
      <c r="E2690" s="8" t="s">
        <v>3510</v>
      </c>
      <c r="F2690" s="6" t="s">
        <v>3454</v>
      </c>
      <c r="G2690">
        <v>9</v>
      </c>
    </row>
    <row r="2691" spans="1:17" x14ac:dyDescent="0.2">
      <c r="A2691" t="s">
        <v>3095</v>
      </c>
      <c r="B2691" s="6" t="s">
        <v>3096</v>
      </c>
      <c r="C2691">
        <v>6</v>
      </c>
      <c r="D2691" s="6" t="s">
        <v>3060</v>
      </c>
      <c r="E2691" s="8" t="s">
        <v>3511</v>
      </c>
      <c r="F2691" t="s">
        <v>8388</v>
      </c>
      <c r="G2691">
        <v>4</v>
      </c>
      <c r="Q2691" t="s">
        <v>10020</v>
      </c>
    </row>
    <row r="2692" spans="1:17" x14ac:dyDescent="0.2">
      <c r="A2692" t="s">
        <v>3095</v>
      </c>
      <c r="B2692" s="6" t="s">
        <v>3096</v>
      </c>
      <c r="C2692">
        <v>6</v>
      </c>
      <c r="D2692" s="6" t="s">
        <v>3060</v>
      </c>
      <c r="E2692" s="8" t="s">
        <v>3512</v>
      </c>
      <c r="F2692" s="6" t="s">
        <v>7138</v>
      </c>
      <c r="G2692">
        <v>77</v>
      </c>
      <c r="M2692">
        <v>2.5</v>
      </c>
      <c r="Q2692" t="s">
        <v>10019</v>
      </c>
    </row>
    <row r="2693" spans="1:17" x14ac:dyDescent="0.2">
      <c r="A2693" t="s">
        <v>3095</v>
      </c>
      <c r="B2693" s="6" t="s">
        <v>3096</v>
      </c>
      <c r="C2693">
        <v>6</v>
      </c>
      <c r="D2693" s="6" t="s">
        <v>3060</v>
      </c>
      <c r="E2693" t="s">
        <v>3513</v>
      </c>
      <c r="F2693" s="6" t="s">
        <v>7674</v>
      </c>
      <c r="G2693">
        <v>5</v>
      </c>
      <c r="Q2693" t="s">
        <v>10019</v>
      </c>
    </row>
    <row r="2694" spans="1:17" x14ac:dyDescent="0.2">
      <c r="A2694" t="s">
        <v>3095</v>
      </c>
      <c r="B2694" s="6" t="s">
        <v>3096</v>
      </c>
      <c r="C2694">
        <v>6</v>
      </c>
      <c r="D2694" s="6" t="s">
        <v>3060</v>
      </c>
      <c r="E2694" t="s">
        <v>3514</v>
      </c>
      <c r="F2694" t="s">
        <v>5869</v>
      </c>
      <c r="G2694">
        <v>20</v>
      </c>
      <c r="Q2694" t="s">
        <v>6106</v>
      </c>
    </row>
    <row r="2695" spans="1:17" x14ac:dyDescent="0.2">
      <c r="A2695" t="s">
        <v>3095</v>
      </c>
      <c r="B2695" s="6" t="s">
        <v>3096</v>
      </c>
      <c r="C2695">
        <v>6</v>
      </c>
      <c r="D2695" s="6" t="s">
        <v>3060</v>
      </c>
      <c r="E2695" t="s">
        <v>3515</v>
      </c>
      <c r="F2695" s="6" t="s">
        <v>5995</v>
      </c>
      <c r="G2695">
        <v>2</v>
      </c>
      <c r="Q2695" t="s">
        <v>6107</v>
      </c>
    </row>
    <row r="2696" spans="1:17" x14ac:dyDescent="0.2">
      <c r="A2696" t="s">
        <v>3095</v>
      </c>
      <c r="B2696" s="6" t="s">
        <v>3096</v>
      </c>
      <c r="C2696">
        <v>6</v>
      </c>
      <c r="D2696" s="6" t="s">
        <v>3060</v>
      </c>
      <c r="E2696" t="s">
        <v>3516</v>
      </c>
      <c r="F2696" s="6" t="s">
        <v>5995</v>
      </c>
      <c r="G2696" t="s">
        <v>114</v>
      </c>
      <c r="Q2696" t="s">
        <v>6108</v>
      </c>
    </row>
    <row r="2697" spans="1:17" x14ac:dyDescent="0.2">
      <c r="A2697" t="s">
        <v>3095</v>
      </c>
      <c r="B2697" s="6" t="s">
        <v>3096</v>
      </c>
      <c r="C2697">
        <v>6</v>
      </c>
      <c r="D2697" s="6" t="s">
        <v>3060</v>
      </c>
      <c r="E2697" t="s">
        <v>3517</v>
      </c>
      <c r="F2697" s="6" t="s">
        <v>5995</v>
      </c>
      <c r="G2697">
        <v>2</v>
      </c>
      <c r="Q2697" t="s">
        <v>6109</v>
      </c>
    </row>
    <row r="2698" spans="1:17" x14ac:dyDescent="0.2">
      <c r="A2698" t="s">
        <v>3095</v>
      </c>
      <c r="B2698" s="6" t="s">
        <v>3096</v>
      </c>
      <c r="C2698">
        <v>6</v>
      </c>
      <c r="D2698" s="6" t="s">
        <v>3060</v>
      </c>
      <c r="E2698" t="s">
        <v>3518</v>
      </c>
      <c r="F2698" s="6" t="s">
        <v>5995</v>
      </c>
      <c r="G2698">
        <v>1</v>
      </c>
      <c r="Q2698" t="s">
        <v>6110</v>
      </c>
    </row>
    <row r="2699" spans="1:17" x14ac:dyDescent="0.2">
      <c r="A2699" t="s">
        <v>3095</v>
      </c>
      <c r="B2699" s="6" t="s">
        <v>3096</v>
      </c>
      <c r="C2699">
        <v>6</v>
      </c>
      <c r="D2699" s="6" t="s">
        <v>3060</v>
      </c>
      <c r="E2699" t="s">
        <v>3519</v>
      </c>
      <c r="F2699" s="6" t="s">
        <v>5995</v>
      </c>
      <c r="G2699" t="s">
        <v>114</v>
      </c>
      <c r="Q2699" t="s">
        <v>6111</v>
      </c>
    </row>
    <row r="2700" spans="1:17" x14ac:dyDescent="0.2">
      <c r="A2700" t="s">
        <v>3095</v>
      </c>
      <c r="B2700" s="6" t="s">
        <v>3096</v>
      </c>
      <c r="C2700">
        <v>6</v>
      </c>
      <c r="D2700" s="6" t="s">
        <v>3060</v>
      </c>
      <c r="E2700" t="s">
        <v>3520</v>
      </c>
      <c r="F2700" s="6" t="s">
        <v>5995</v>
      </c>
      <c r="G2700">
        <v>5</v>
      </c>
      <c r="M2700">
        <v>2</v>
      </c>
    </row>
    <row r="2701" spans="1:17" x14ac:dyDescent="0.2">
      <c r="A2701" t="s">
        <v>3095</v>
      </c>
      <c r="B2701" s="6" t="s">
        <v>3096</v>
      </c>
      <c r="C2701">
        <v>6</v>
      </c>
      <c r="D2701" s="6" t="s">
        <v>3060</v>
      </c>
      <c r="E2701" t="s">
        <v>3521</v>
      </c>
      <c r="F2701" s="6" t="s">
        <v>1538</v>
      </c>
      <c r="G2701">
        <v>6</v>
      </c>
      <c r="Q2701" t="s">
        <v>10022</v>
      </c>
    </row>
    <row r="2702" spans="1:17" x14ac:dyDescent="0.2">
      <c r="A2702" t="s">
        <v>3095</v>
      </c>
      <c r="B2702" s="6" t="s">
        <v>3096</v>
      </c>
      <c r="C2702">
        <v>6</v>
      </c>
      <c r="D2702" s="6" t="s">
        <v>3060</v>
      </c>
      <c r="E2702" t="s">
        <v>3522</v>
      </c>
      <c r="F2702" s="6" t="s">
        <v>1538</v>
      </c>
      <c r="G2702">
        <v>3</v>
      </c>
      <c r="Q2702" t="s">
        <v>10023</v>
      </c>
    </row>
    <row r="2703" spans="1:17" x14ac:dyDescent="0.2">
      <c r="A2703" t="s">
        <v>3095</v>
      </c>
      <c r="B2703" s="6" t="s">
        <v>3096</v>
      </c>
      <c r="C2703">
        <v>6</v>
      </c>
      <c r="D2703" s="6" t="s">
        <v>3060</v>
      </c>
      <c r="E2703" t="s">
        <v>3523</v>
      </c>
      <c r="F2703" s="6" t="s">
        <v>1538</v>
      </c>
      <c r="G2703" t="s">
        <v>114</v>
      </c>
      <c r="Q2703" t="s">
        <v>10024</v>
      </c>
    </row>
    <row r="2704" spans="1:17" x14ac:dyDescent="0.2">
      <c r="A2704" t="s">
        <v>3095</v>
      </c>
      <c r="B2704" s="6" t="s">
        <v>3096</v>
      </c>
      <c r="C2704">
        <v>6</v>
      </c>
      <c r="D2704" s="6" t="s">
        <v>3060</v>
      </c>
      <c r="E2704" t="s">
        <v>3524</v>
      </c>
      <c r="F2704" s="6" t="s">
        <v>1538</v>
      </c>
      <c r="G2704">
        <v>3</v>
      </c>
    </row>
    <row r="2705" spans="1:17" x14ac:dyDescent="0.2">
      <c r="A2705" t="s">
        <v>3095</v>
      </c>
      <c r="B2705" s="6" t="s">
        <v>3096</v>
      </c>
      <c r="C2705">
        <v>6</v>
      </c>
      <c r="D2705" s="6" t="s">
        <v>3060</v>
      </c>
      <c r="E2705" t="s">
        <v>3525</v>
      </c>
      <c r="F2705" s="6" t="s">
        <v>1538</v>
      </c>
      <c r="G2705">
        <v>1</v>
      </c>
    </row>
    <row r="2706" spans="1:17" x14ac:dyDescent="0.2">
      <c r="A2706" t="s">
        <v>3095</v>
      </c>
      <c r="B2706" s="6" t="s">
        <v>3096</v>
      </c>
      <c r="C2706">
        <v>6</v>
      </c>
      <c r="D2706" s="6" t="s">
        <v>3060</v>
      </c>
      <c r="E2706" t="s">
        <v>3526</v>
      </c>
      <c r="F2706" s="6" t="s">
        <v>1538</v>
      </c>
      <c r="G2706">
        <v>8</v>
      </c>
    </row>
    <row r="2707" spans="1:17" x14ac:dyDescent="0.2">
      <c r="A2707" t="s">
        <v>3095</v>
      </c>
      <c r="B2707" s="6" t="s">
        <v>3096</v>
      </c>
      <c r="C2707">
        <v>6</v>
      </c>
      <c r="D2707" s="6" t="s">
        <v>3060</v>
      </c>
      <c r="E2707" t="s">
        <v>3527</v>
      </c>
      <c r="F2707" s="6" t="s">
        <v>1538</v>
      </c>
      <c r="G2707">
        <v>8</v>
      </c>
    </row>
    <row r="2708" spans="1:17" x14ac:dyDescent="0.2">
      <c r="A2708" t="s">
        <v>3095</v>
      </c>
      <c r="B2708" s="6" t="s">
        <v>3096</v>
      </c>
      <c r="C2708">
        <v>6</v>
      </c>
      <c r="D2708" s="6" t="s">
        <v>3060</v>
      </c>
      <c r="E2708" t="s">
        <v>3528</v>
      </c>
      <c r="F2708" s="6" t="s">
        <v>1425</v>
      </c>
      <c r="G2708">
        <v>6</v>
      </c>
    </row>
    <row r="2709" spans="1:17" x14ac:dyDescent="0.2">
      <c r="A2709" t="s">
        <v>3095</v>
      </c>
      <c r="B2709" s="6" t="s">
        <v>3096</v>
      </c>
      <c r="C2709">
        <v>6</v>
      </c>
      <c r="D2709" s="6" t="s">
        <v>3060</v>
      </c>
      <c r="E2709" t="s">
        <v>3529</v>
      </c>
      <c r="F2709" s="6" t="s">
        <v>1425</v>
      </c>
      <c r="G2709">
        <v>9</v>
      </c>
    </row>
    <row r="2710" spans="1:17" x14ac:dyDescent="0.2">
      <c r="A2710" t="s">
        <v>3095</v>
      </c>
      <c r="B2710" s="6" t="s">
        <v>3096</v>
      </c>
      <c r="C2710">
        <v>6</v>
      </c>
      <c r="D2710" s="6" t="s">
        <v>3060</v>
      </c>
      <c r="E2710" t="s">
        <v>3530</v>
      </c>
      <c r="F2710" s="6" t="s">
        <v>1425</v>
      </c>
      <c r="G2710">
        <v>3</v>
      </c>
    </row>
    <row r="2711" spans="1:17" x14ac:dyDescent="0.2">
      <c r="A2711" t="s">
        <v>3095</v>
      </c>
      <c r="B2711" s="6" t="s">
        <v>3096</v>
      </c>
      <c r="C2711">
        <v>6</v>
      </c>
      <c r="D2711" s="6" t="s">
        <v>3060</v>
      </c>
      <c r="E2711" t="s">
        <v>3531</v>
      </c>
      <c r="F2711" s="6" t="s">
        <v>2588</v>
      </c>
      <c r="G2711">
        <v>12</v>
      </c>
    </row>
    <row r="2712" spans="1:17" x14ac:dyDescent="0.2">
      <c r="A2712" t="s">
        <v>3095</v>
      </c>
      <c r="B2712" s="6" t="s">
        <v>3096</v>
      </c>
      <c r="C2712">
        <v>6</v>
      </c>
      <c r="D2712" s="6" t="s">
        <v>3060</v>
      </c>
      <c r="E2712" t="s">
        <v>3532</v>
      </c>
      <c r="F2712" s="6" t="s">
        <v>1311</v>
      </c>
      <c r="G2712">
        <v>1</v>
      </c>
      <c r="Q2712" t="s">
        <v>10028</v>
      </c>
    </row>
    <row r="2713" spans="1:17" x14ac:dyDescent="0.2">
      <c r="A2713" t="s">
        <v>3095</v>
      </c>
      <c r="B2713" s="6" t="s">
        <v>3096</v>
      </c>
      <c r="C2713">
        <v>6</v>
      </c>
      <c r="D2713" s="6" t="s">
        <v>3060</v>
      </c>
      <c r="E2713" t="s">
        <v>3533</v>
      </c>
      <c r="F2713" s="6" t="s">
        <v>1311</v>
      </c>
      <c r="G2713">
        <v>2</v>
      </c>
      <c r="Q2713" t="s">
        <v>10029</v>
      </c>
    </row>
    <row r="2714" spans="1:17" x14ac:dyDescent="0.2">
      <c r="A2714" t="s">
        <v>3095</v>
      </c>
      <c r="B2714" s="6" t="s">
        <v>3096</v>
      </c>
      <c r="C2714">
        <v>6</v>
      </c>
      <c r="D2714" s="6" t="s">
        <v>3060</v>
      </c>
      <c r="E2714" t="s">
        <v>3534</v>
      </c>
      <c r="F2714" s="6" t="s">
        <v>6239</v>
      </c>
      <c r="H2714">
        <v>1E-3</v>
      </c>
      <c r="Q2714" t="s">
        <v>10030</v>
      </c>
    </row>
    <row r="2715" spans="1:17" x14ac:dyDescent="0.2">
      <c r="A2715" t="s">
        <v>3095</v>
      </c>
      <c r="B2715" s="6" t="s">
        <v>3096</v>
      </c>
      <c r="C2715">
        <v>6</v>
      </c>
      <c r="D2715" s="6" t="s">
        <v>3060</v>
      </c>
      <c r="E2715" t="s">
        <v>3535</v>
      </c>
      <c r="F2715" s="6" t="s">
        <v>6239</v>
      </c>
      <c r="H2715">
        <v>2E-3</v>
      </c>
      <c r="Q2715" t="s">
        <v>10031</v>
      </c>
    </row>
    <row r="2716" spans="1:17" x14ac:dyDescent="0.2">
      <c r="A2716" t="s">
        <v>3095</v>
      </c>
      <c r="B2716" s="6" t="s">
        <v>3096</v>
      </c>
      <c r="C2716">
        <v>6</v>
      </c>
      <c r="D2716" s="6" t="s">
        <v>3060</v>
      </c>
      <c r="E2716" t="s">
        <v>3536</v>
      </c>
      <c r="F2716" s="6" t="s">
        <v>6239</v>
      </c>
      <c r="G2716" t="s">
        <v>114</v>
      </c>
      <c r="Q2716" t="s">
        <v>10032</v>
      </c>
    </row>
    <row r="2717" spans="1:17" x14ac:dyDescent="0.2">
      <c r="A2717" t="s">
        <v>3095</v>
      </c>
      <c r="B2717" s="6" t="s">
        <v>3096</v>
      </c>
      <c r="C2717">
        <v>6</v>
      </c>
      <c r="D2717" s="6" t="s">
        <v>3060</v>
      </c>
      <c r="E2717" t="s">
        <v>3537</v>
      </c>
      <c r="F2717" s="6" t="s">
        <v>6239</v>
      </c>
      <c r="G2717" t="s">
        <v>114</v>
      </c>
      <c r="Q2717" t="s">
        <v>10033</v>
      </c>
    </row>
    <row r="2718" spans="1:17" x14ac:dyDescent="0.2">
      <c r="A2718" t="s">
        <v>3095</v>
      </c>
      <c r="B2718" s="6" t="s">
        <v>3096</v>
      </c>
      <c r="C2718">
        <v>6</v>
      </c>
      <c r="D2718" s="6" t="s">
        <v>3060</v>
      </c>
      <c r="E2718" t="s">
        <v>3538</v>
      </c>
      <c r="F2718" s="6" t="s">
        <v>6239</v>
      </c>
      <c r="G2718" t="s">
        <v>114</v>
      </c>
      <c r="Q2718" t="s">
        <v>10034</v>
      </c>
    </row>
    <row r="2719" spans="1:17" x14ac:dyDescent="0.2">
      <c r="A2719" t="s">
        <v>3095</v>
      </c>
      <c r="B2719" s="6" t="s">
        <v>3096</v>
      </c>
      <c r="C2719">
        <v>6</v>
      </c>
      <c r="D2719" s="6" t="s">
        <v>3060</v>
      </c>
      <c r="E2719" t="s">
        <v>3539</v>
      </c>
      <c r="F2719" s="6" t="s">
        <v>6239</v>
      </c>
      <c r="H2719">
        <v>2E-3</v>
      </c>
    </row>
    <row r="2720" spans="1:17" x14ac:dyDescent="0.2">
      <c r="A2720" t="s">
        <v>3095</v>
      </c>
      <c r="B2720" s="6" t="s">
        <v>3096</v>
      </c>
      <c r="C2720">
        <v>6</v>
      </c>
      <c r="D2720" s="6" t="s">
        <v>3060</v>
      </c>
      <c r="E2720" t="s">
        <v>3531</v>
      </c>
      <c r="F2720" s="6" t="s">
        <v>6239</v>
      </c>
      <c r="H2720">
        <v>4.0000000000000001E-3</v>
      </c>
    </row>
    <row r="2721" spans="1:17" x14ac:dyDescent="0.2">
      <c r="A2721" t="s">
        <v>3095</v>
      </c>
      <c r="B2721" s="6" t="s">
        <v>3096</v>
      </c>
      <c r="C2721">
        <v>6</v>
      </c>
      <c r="D2721" s="6" t="s">
        <v>3060</v>
      </c>
      <c r="E2721" t="s">
        <v>3540</v>
      </c>
      <c r="F2721" s="6" t="s">
        <v>1389</v>
      </c>
      <c r="G2721" t="s">
        <v>114</v>
      </c>
      <c r="Q2721" t="s">
        <v>10035</v>
      </c>
    </row>
    <row r="2722" spans="1:17" x14ac:dyDescent="0.2">
      <c r="A2722" t="s">
        <v>3095</v>
      </c>
      <c r="B2722" s="6" t="s">
        <v>3096</v>
      </c>
      <c r="C2722">
        <v>6</v>
      </c>
      <c r="D2722" s="6" t="s">
        <v>3060</v>
      </c>
      <c r="E2722" t="s">
        <v>3541</v>
      </c>
      <c r="F2722" s="6" t="s">
        <v>1389</v>
      </c>
      <c r="G2722" t="s">
        <v>114</v>
      </c>
      <c r="Q2722" t="s">
        <v>10036</v>
      </c>
    </row>
    <row r="2723" spans="1:17" x14ac:dyDescent="0.2">
      <c r="A2723" t="s">
        <v>3095</v>
      </c>
      <c r="B2723" s="6" t="s">
        <v>3096</v>
      </c>
      <c r="C2723">
        <v>6</v>
      </c>
      <c r="D2723" s="6" t="s">
        <v>3060</v>
      </c>
      <c r="E2723" t="s">
        <v>3542</v>
      </c>
      <c r="F2723" s="6" t="s">
        <v>1389</v>
      </c>
      <c r="G2723">
        <v>3</v>
      </c>
      <c r="Q2723" t="s">
        <v>10037</v>
      </c>
    </row>
    <row r="2724" spans="1:17" x14ac:dyDescent="0.2">
      <c r="A2724" t="s">
        <v>3095</v>
      </c>
      <c r="B2724" s="6" t="s">
        <v>3096</v>
      </c>
      <c r="C2724">
        <v>6</v>
      </c>
      <c r="D2724" s="6" t="s">
        <v>3060</v>
      </c>
      <c r="E2724" t="s">
        <v>3543</v>
      </c>
      <c r="F2724" s="6" t="s">
        <v>1389</v>
      </c>
      <c r="G2724">
        <v>1</v>
      </c>
      <c r="Q2724" t="s">
        <v>10038</v>
      </c>
    </row>
    <row r="2725" spans="1:17" x14ac:dyDescent="0.2">
      <c r="A2725" t="s">
        <v>3095</v>
      </c>
      <c r="B2725" s="6" t="s">
        <v>3096</v>
      </c>
      <c r="C2725">
        <v>6</v>
      </c>
      <c r="D2725" s="6" t="s">
        <v>3060</v>
      </c>
      <c r="E2725" t="s">
        <v>3544</v>
      </c>
      <c r="F2725" s="6" t="s">
        <v>1389</v>
      </c>
      <c r="G2725">
        <v>1</v>
      </c>
      <c r="Q2725" t="s">
        <v>10039</v>
      </c>
    </row>
    <row r="2726" spans="1:17" x14ac:dyDescent="0.2">
      <c r="A2726" t="s">
        <v>3095</v>
      </c>
      <c r="B2726" s="6" t="s">
        <v>3096</v>
      </c>
      <c r="C2726">
        <v>6</v>
      </c>
      <c r="D2726" s="6" t="s">
        <v>3060</v>
      </c>
      <c r="E2726" t="s">
        <v>3545</v>
      </c>
      <c r="F2726" s="6" t="s">
        <v>1389</v>
      </c>
      <c r="G2726">
        <v>3</v>
      </c>
      <c r="M2726">
        <v>3</v>
      </c>
    </row>
    <row r="2727" spans="1:17" x14ac:dyDescent="0.2">
      <c r="A2727" t="s">
        <v>3095</v>
      </c>
      <c r="B2727" s="6" t="s">
        <v>3096</v>
      </c>
      <c r="C2727">
        <v>6</v>
      </c>
      <c r="D2727" s="6" t="s">
        <v>3060</v>
      </c>
      <c r="E2727" t="s">
        <v>3546</v>
      </c>
      <c r="F2727" s="6" t="s">
        <v>3456</v>
      </c>
      <c r="G2727">
        <v>7</v>
      </c>
      <c r="O2727" t="s">
        <v>3461</v>
      </c>
    </row>
    <row r="2728" spans="1:17" x14ac:dyDescent="0.2">
      <c r="A2728" t="s">
        <v>3095</v>
      </c>
      <c r="B2728" s="6" t="s">
        <v>3096</v>
      </c>
      <c r="C2728">
        <v>6</v>
      </c>
      <c r="D2728" s="6" t="s">
        <v>3060</v>
      </c>
      <c r="E2728" s="8" t="s">
        <v>3547</v>
      </c>
      <c r="F2728" s="6" t="s">
        <v>5268</v>
      </c>
      <c r="G2728">
        <v>2</v>
      </c>
    </row>
    <row r="2729" spans="1:17" x14ac:dyDescent="0.2">
      <c r="A2729" t="s">
        <v>3095</v>
      </c>
      <c r="B2729" s="6" t="s">
        <v>3096</v>
      </c>
      <c r="C2729">
        <v>6</v>
      </c>
      <c r="D2729" s="6" t="s">
        <v>3060</v>
      </c>
      <c r="E2729" t="s">
        <v>3548</v>
      </c>
      <c r="F2729" s="6" t="s">
        <v>3253</v>
      </c>
      <c r="G2729" t="s">
        <v>114</v>
      </c>
      <c r="Q2729" t="s">
        <v>10027</v>
      </c>
    </row>
    <row r="2730" spans="1:17" x14ac:dyDescent="0.2">
      <c r="A2730" t="s">
        <v>3095</v>
      </c>
      <c r="B2730" s="6" t="s">
        <v>3096</v>
      </c>
      <c r="C2730">
        <v>6</v>
      </c>
      <c r="D2730" s="6" t="s">
        <v>3060</v>
      </c>
      <c r="E2730" t="s">
        <v>3549</v>
      </c>
      <c r="F2730" t="s">
        <v>9372</v>
      </c>
      <c r="G2730" t="s">
        <v>114</v>
      </c>
      <c r="Q2730" t="s">
        <v>10026</v>
      </c>
    </row>
    <row r="2731" spans="1:17" x14ac:dyDescent="0.2">
      <c r="A2731" t="s">
        <v>3095</v>
      </c>
      <c r="B2731" s="6" t="s">
        <v>3096</v>
      </c>
      <c r="C2731">
        <v>6</v>
      </c>
      <c r="D2731" s="6" t="s">
        <v>3060</v>
      </c>
      <c r="E2731" t="s">
        <v>3550</v>
      </c>
      <c r="F2731" s="6" t="s">
        <v>698</v>
      </c>
      <c r="G2731" t="s">
        <v>114</v>
      </c>
      <c r="M2731">
        <v>6</v>
      </c>
      <c r="Q2731" t="s">
        <v>10025</v>
      </c>
    </row>
    <row r="2732" spans="1:17" x14ac:dyDescent="0.2">
      <c r="A2732" t="s">
        <v>3095</v>
      </c>
      <c r="B2732" s="6" t="s">
        <v>3096</v>
      </c>
      <c r="C2732">
        <v>1</v>
      </c>
      <c r="D2732" s="6" t="s">
        <v>3060</v>
      </c>
      <c r="E2732" t="s">
        <v>3551</v>
      </c>
      <c r="F2732" s="6" t="s">
        <v>1264</v>
      </c>
      <c r="H2732">
        <f>8.4-0.1+2.5-0.285</f>
        <v>10.515000000000001</v>
      </c>
      <c r="M2732" t="s">
        <v>802</v>
      </c>
      <c r="O2732" t="s">
        <v>3460</v>
      </c>
    </row>
    <row r="2733" spans="1:17" x14ac:dyDescent="0.2">
      <c r="A2733" t="s">
        <v>3095</v>
      </c>
      <c r="B2733" s="6" t="s">
        <v>3096</v>
      </c>
      <c r="C2733">
        <v>1</v>
      </c>
      <c r="D2733" s="6" t="s">
        <v>3060</v>
      </c>
      <c r="E2733" s="8" t="s">
        <v>3552</v>
      </c>
      <c r="F2733" s="6" t="s">
        <v>2684</v>
      </c>
      <c r="H2733">
        <v>0.127</v>
      </c>
      <c r="Q2733" t="s">
        <v>10040</v>
      </c>
    </row>
    <row r="2734" spans="1:17" x14ac:dyDescent="0.2">
      <c r="A2734" t="s">
        <v>3095</v>
      </c>
      <c r="B2734" s="6" t="s">
        <v>3096</v>
      </c>
      <c r="C2734">
        <v>1</v>
      </c>
      <c r="D2734" s="6" t="s">
        <v>3060</v>
      </c>
      <c r="E2734" s="8" t="s">
        <v>3553</v>
      </c>
      <c r="F2734" s="6" t="s">
        <v>998</v>
      </c>
      <c r="H2734">
        <f>2.505-0.589</f>
        <v>1.9159999999999999</v>
      </c>
    </row>
    <row r="2735" spans="1:17" x14ac:dyDescent="0.2">
      <c r="A2735" t="s">
        <v>3095</v>
      </c>
      <c r="B2735" s="6" t="s">
        <v>3096</v>
      </c>
      <c r="C2735">
        <v>1</v>
      </c>
      <c r="D2735" s="6" t="s">
        <v>3060</v>
      </c>
      <c r="E2735" s="8" t="s">
        <v>3554</v>
      </c>
      <c r="F2735" s="6" t="s">
        <v>112</v>
      </c>
      <c r="H2735">
        <f>0.504-0.345</f>
        <v>0.15900000000000003</v>
      </c>
      <c r="M2735" t="s">
        <v>802</v>
      </c>
      <c r="O2735" t="s">
        <v>10042</v>
      </c>
      <c r="Q2735" t="s">
        <v>10041</v>
      </c>
    </row>
    <row r="2736" spans="1:17" x14ac:dyDescent="0.2">
      <c r="A2736" t="s">
        <v>3095</v>
      </c>
      <c r="B2736" s="6" t="s">
        <v>3096</v>
      </c>
      <c r="C2736">
        <v>1</v>
      </c>
      <c r="D2736" s="6" t="s">
        <v>3060</v>
      </c>
      <c r="E2736" s="8" t="s">
        <v>3555</v>
      </c>
      <c r="F2736" s="6" t="s">
        <v>3183</v>
      </c>
      <c r="H2736">
        <v>7.5999999999999998E-2</v>
      </c>
    </row>
    <row r="2737" spans="1:17" x14ac:dyDescent="0.2">
      <c r="A2737" t="s">
        <v>3095</v>
      </c>
      <c r="B2737" s="6" t="s">
        <v>3096</v>
      </c>
      <c r="C2737">
        <v>1</v>
      </c>
      <c r="D2737" s="6" t="s">
        <v>3060</v>
      </c>
      <c r="E2737" s="8" t="s">
        <v>3556</v>
      </c>
      <c r="F2737" s="6" t="s">
        <v>3457</v>
      </c>
      <c r="H2737">
        <v>7.0000000000000001E-3</v>
      </c>
    </row>
    <row r="2738" spans="1:17" x14ac:dyDescent="0.2">
      <c r="A2738" t="s">
        <v>3095</v>
      </c>
      <c r="B2738" s="6" t="s">
        <v>3096</v>
      </c>
      <c r="C2738">
        <v>1</v>
      </c>
      <c r="D2738" s="6" t="s">
        <v>3060</v>
      </c>
      <c r="E2738" t="s">
        <v>3551</v>
      </c>
      <c r="F2738" s="6" t="s">
        <v>3458</v>
      </c>
      <c r="H2738">
        <f>0.703-0.424</f>
        <v>0.27899999999999997</v>
      </c>
    </row>
    <row r="2739" spans="1:17" x14ac:dyDescent="0.2">
      <c r="A2739" t="s">
        <v>3095</v>
      </c>
      <c r="B2739" s="6" t="s">
        <v>3096</v>
      </c>
      <c r="C2739">
        <v>1</v>
      </c>
      <c r="D2739" s="6" t="s">
        <v>3060</v>
      </c>
      <c r="E2739" t="s">
        <v>3551</v>
      </c>
      <c r="F2739" s="6" t="s">
        <v>3459</v>
      </c>
      <c r="H2739">
        <f>0.991-0.587</f>
        <v>0.40400000000000003</v>
      </c>
    </row>
    <row r="2740" spans="1:17" x14ac:dyDescent="0.2">
      <c r="B2740" s="6" t="s">
        <v>3446</v>
      </c>
      <c r="C2740">
        <v>2</v>
      </c>
      <c r="D2740" s="6" t="s">
        <v>3462</v>
      </c>
      <c r="E2740" s="8" t="s">
        <v>3557</v>
      </c>
      <c r="F2740" s="6" t="s">
        <v>1264</v>
      </c>
      <c r="H2740">
        <f>8.4-0.295</f>
        <v>8.1050000000000004</v>
      </c>
      <c r="M2740" t="s">
        <v>802</v>
      </c>
      <c r="O2740" t="s">
        <v>3463</v>
      </c>
    </row>
    <row r="2741" spans="1:17" x14ac:dyDescent="0.2">
      <c r="B2741" s="6" t="s">
        <v>3446</v>
      </c>
      <c r="C2741">
        <v>2</v>
      </c>
      <c r="D2741" s="6" t="s">
        <v>3462</v>
      </c>
      <c r="E2741" s="8" t="s">
        <v>3558</v>
      </c>
      <c r="F2741" s="6" t="s">
        <v>1538</v>
      </c>
      <c r="G2741">
        <v>73</v>
      </c>
      <c r="Q2741" t="s">
        <v>10043</v>
      </c>
    </row>
    <row r="2742" spans="1:17" x14ac:dyDescent="0.2">
      <c r="B2742" s="6" t="s">
        <v>3446</v>
      </c>
      <c r="C2742">
        <v>2</v>
      </c>
      <c r="D2742" s="6" t="s">
        <v>3462</v>
      </c>
      <c r="E2742" s="8" t="s">
        <v>3559</v>
      </c>
      <c r="F2742" s="6" t="s">
        <v>1538</v>
      </c>
      <c r="G2742">
        <v>34</v>
      </c>
      <c r="Q2742" t="s">
        <v>10044</v>
      </c>
    </row>
    <row r="2743" spans="1:17" x14ac:dyDescent="0.2">
      <c r="B2743" s="6" t="s">
        <v>3446</v>
      </c>
      <c r="C2743">
        <v>2</v>
      </c>
      <c r="D2743" s="6" t="s">
        <v>3462</v>
      </c>
      <c r="E2743" s="8" t="s">
        <v>3560</v>
      </c>
      <c r="F2743" s="6" t="s">
        <v>1538</v>
      </c>
      <c r="G2743">
        <v>24</v>
      </c>
      <c r="Q2743" t="s">
        <v>10045</v>
      </c>
    </row>
    <row r="2744" spans="1:17" x14ac:dyDescent="0.2">
      <c r="B2744" s="6" t="s">
        <v>3446</v>
      </c>
      <c r="C2744">
        <v>2</v>
      </c>
      <c r="D2744" s="6" t="s">
        <v>3462</v>
      </c>
      <c r="E2744" s="8" t="s">
        <v>3561</v>
      </c>
      <c r="F2744" s="6" t="s">
        <v>1538</v>
      </c>
      <c r="G2744">
        <v>17</v>
      </c>
      <c r="Q2744" t="s">
        <v>10046</v>
      </c>
    </row>
    <row r="2745" spans="1:17" x14ac:dyDescent="0.2">
      <c r="B2745" s="6" t="s">
        <v>3446</v>
      </c>
      <c r="C2745">
        <v>2</v>
      </c>
      <c r="D2745" s="6" t="s">
        <v>3462</v>
      </c>
      <c r="E2745" s="8" t="s">
        <v>3563</v>
      </c>
      <c r="F2745" s="6" t="s">
        <v>1538</v>
      </c>
      <c r="G2745">
        <v>57</v>
      </c>
      <c r="Q2745" t="s">
        <v>10047</v>
      </c>
    </row>
    <row r="2746" spans="1:17" x14ac:dyDescent="0.2">
      <c r="B2746" s="6" t="s">
        <v>3446</v>
      </c>
      <c r="C2746">
        <v>2</v>
      </c>
      <c r="D2746" s="6" t="s">
        <v>3462</v>
      </c>
      <c r="E2746" s="8" t="s">
        <v>3562</v>
      </c>
      <c r="F2746" s="6" t="s">
        <v>1538</v>
      </c>
      <c r="G2746">
        <v>177</v>
      </c>
      <c r="M2746">
        <v>5</v>
      </c>
    </row>
    <row r="2747" spans="1:17" x14ac:dyDescent="0.2">
      <c r="B2747" s="6" t="s">
        <v>3446</v>
      </c>
      <c r="C2747">
        <v>2</v>
      </c>
      <c r="D2747" s="6" t="s">
        <v>3462</v>
      </c>
      <c r="E2747" s="8" t="s">
        <v>3564</v>
      </c>
      <c r="F2747" s="6" t="s">
        <v>1538</v>
      </c>
      <c r="G2747">
        <v>788</v>
      </c>
    </row>
    <row r="2748" spans="1:17" x14ac:dyDescent="0.2">
      <c r="B2748" s="6" t="s">
        <v>3446</v>
      </c>
      <c r="C2748">
        <v>2</v>
      </c>
      <c r="D2748" s="6" t="s">
        <v>3462</v>
      </c>
      <c r="E2748" s="8" t="s">
        <v>3565</v>
      </c>
      <c r="F2748" s="6" t="s">
        <v>1538</v>
      </c>
      <c r="G2748">
        <v>8</v>
      </c>
      <c r="Q2748" t="s">
        <v>10048</v>
      </c>
    </row>
    <row r="2749" spans="1:17" x14ac:dyDescent="0.2">
      <c r="B2749" s="6" t="s">
        <v>3446</v>
      </c>
      <c r="C2749">
        <v>2</v>
      </c>
      <c r="D2749" s="6" t="s">
        <v>3462</v>
      </c>
      <c r="E2749" s="8" t="s">
        <v>3566</v>
      </c>
      <c r="F2749" s="6" t="s">
        <v>1538</v>
      </c>
      <c r="G2749">
        <v>4</v>
      </c>
      <c r="Q2749" t="s">
        <v>10049</v>
      </c>
    </row>
    <row r="2750" spans="1:17" x14ac:dyDescent="0.2">
      <c r="B2750" s="6" t="s">
        <v>3446</v>
      </c>
      <c r="C2750">
        <v>2</v>
      </c>
      <c r="D2750" s="6" t="s">
        <v>3462</v>
      </c>
      <c r="E2750" s="8" t="s">
        <v>3567</v>
      </c>
      <c r="F2750" s="6" t="s">
        <v>1538</v>
      </c>
      <c r="G2750">
        <v>5</v>
      </c>
      <c r="Q2750" t="s">
        <v>10050</v>
      </c>
    </row>
    <row r="2751" spans="1:17" x14ac:dyDescent="0.2">
      <c r="B2751" s="6" t="s">
        <v>3446</v>
      </c>
      <c r="C2751">
        <v>2</v>
      </c>
      <c r="D2751" s="6" t="s">
        <v>3462</v>
      </c>
      <c r="E2751" s="8" t="s">
        <v>3568</v>
      </c>
      <c r="F2751" s="6" t="s">
        <v>1538</v>
      </c>
      <c r="G2751" t="s">
        <v>114</v>
      </c>
      <c r="Q2751" t="s">
        <v>10051</v>
      </c>
    </row>
    <row r="2752" spans="1:17" x14ac:dyDescent="0.2">
      <c r="B2752" s="6" t="s">
        <v>3446</v>
      </c>
      <c r="C2752">
        <v>2</v>
      </c>
      <c r="D2752" s="6" t="s">
        <v>3462</v>
      </c>
      <c r="E2752" s="8" t="s">
        <v>3569</v>
      </c>
      <c r="F2752" s="6" t="s">
        <v>1538</v>
      </c>
      <c r="G2752">
        <v>6</v>
      </c>
      <c r="Q2752" t="s">
        <v>10052</v>
      </c>
    </row>
    <row r="2753" spans="2:17" x14ac:dyDescent="0.2">
      <c r="B2753" s="6" t="s">
        <v>3446</v>
      </c>
      <c r="C2753">
        <v>2</v>
      </c>
      <c r="D2753" s="6" t="s">
        <v>3462</v>
      </c>
      <c r="E2753" s="8" t="s">
        <v>3564</v>
      </c>
      <c r="F2753" s="6" t="s">
        <v>1538</v>
      </c>
      <c r="G2753">
        <v>350</v>
      </c>
      <c r="M2753" t="s">
        <v>802</v>
      </c>
    </row>
    <row r="2754" spans="2:17" x14ac:dyDescent="0.2">
      <c r="B2754" s="6" t="s">
        <v>3446</v>
      </c>
      <c r="C2754">
        <v>2</v>
      </c>
      <c r="D2754" s="6" t="s">
        <v>3462</v>
      </c>
      <c r="E2754" s="8" t="s">
        <v>3570</v>
      </c>
      <c r="F2754" s="6" t="s">
        <v>1538</v>
      </c>
      <c r="G2754">
        <v>13</v>
      </c>
      <c r="M2754">
        <v>5</v>
      </c>
    </row>
    <row r="2755" spans="2:17" x14ac:dyDescent="0.2">
      <c r="B2755" s="6" t="s">
        <v>3446</v>
      </c>
      <c r="C2755">
        <v>2</v>
      </c>
      <c r="D2755" s="6" t="s">
        <v>3462</v>
      </c>
      <c r="E2755" s="8" t="s">
        <v>3571</v>
      </c>
      <c r="F2755" s="6" t="s">
        <v>6283</v>
      </c>
      <c r="G2755">
        <v>19</v>
      </c>
      <c r="Q2755" s="40" t="s">
        <v>6310</v>
      </c>
    </row>
    <row r="2756" spans="2:17" x14ac:dyDescent="0.2">
      <c r="B2756" s="6" t="s">
        <v>3446</v>
      </c>
      <c r="C2756">
        <v>2</v>
      </c>
      <c r="D2756" s="6" t="s">
        <v>3462</v>
      </c>
      <c r="E2756" s="8" t="s">
        <v>3572</v>
      </c>
      <c r="F2756" s="6" t="s">
        <v>6283</v>
      </c>
      <c r="G2756">
        <v>5</v>
      </c>
      <c r="Q2756" s="40" t="s">
        <v>6311</v>
      </c>
    </row>
    <row r="2757" spans="2:17" x14ac:dyDescent="0.2">
      <c r="B2757" s="6" t="s">
        <v>3446</v>
      </c>
      <c r="C2757">
        <v>2</v>
      </c>
      <c r="D2757" s="6" t="s">
        <v>3462</v>
      </c>
      <c r="E2757" s="8" t="s">
        <v>3573</v>
      </c>
      <c r="F2757" s="6" t="s">
        <v>6283</v>
      </c>
      <c r="G2757">
        <v>7</v>
      </c>
      <c r="Q2757" s="40" t="s">
        <v>6312</v>
      </c>
    </row>
    <row r="2758" spans="2:17" x14ac:dyDescent="0.2">
      <c r="B2758" s="6" t="s">
        <v>3446</v>
      </c>
      <c r="C2758">
        <v>2</v>
      </c>
      <c r="D2758" s="6" t="s">
        <v>3462</v>
      </c>
      <c r="E2758" s="8" t="s">
        <v>3574</v>
      </c>
      <c r="F2758" s="6" t="s">
        <v>6283</v>
      </c>
      <c r="G2758">
        <v>9</v>
      </c>
      <c r="Q2758" s="40" t="s">
        <v>6313</v>
      </c>
    </row>
    <row r="2759" spans="2:17" x14ac:dyDescent="0.2">
      <c r="B2759" s="6" t="s">
        <v>3446</v>
      </c>
      <c r="C2759">
        <v>2</v>
      </c>
      <c r="D2759" s="6" t="s">
        <v>3462</v>
      </c>
      <c r="E2759" s="8" t="s">
        <v>3575</v>
      </c>
      <c r="F2759" s="6" t="s">
        <v>6283</v>
      </c>
      <c r="G2759">
        <v>7</v>
      </c>
      <c r="Q2759" s="40" t="s">
        <v>6314</v>
      </c>
    </row>
    <row r="2760" spans="2:17" x14ac:dyDescent="0.2">
      <c r="B2760" s="6" t="s">
        <v>3446</v>
      </c>
      <c r="C2760">
        <v>2</v>
      </c>
      <c r="D2760" s="6" t="s">
        <v>3462</v>
      </c>
      <c r="E2760" s="8" t="s">
        <v>3576</v>
      </c>
      <c r="F2760" s="6" t="s">
        <v>1425</v>
      </c>
      <c r="G2760">
        <v>43</v>
      </c>
      <c r="M2760">
        <v>5</v>
      </c>
    </row>
    <row r="2761" spans="2:17" x14ac:dyDescent="0.2">
      <c r="B2761" s="6" t="s">
        <v>3446</v>
      </c>
      <c r="C2761">
        <v>2</v>
      </c>
      <c r="D2761" s="6" t="s">
        <v>3462</v>
      </c>
      <c r="E2761" s="8" t="s">
        <v>3564</v>
      </c>
      <c r="F2761" s="6" t="s">
        <v>1425</v>
      </c>
      <c r="G2761">
        <v>20</v>
      </c>
    </row>
    <row r="2762" spans="2:17" x14ac:dyDescent="0.2">
      <c r="B2762" s="6" t="s">
        <v>3446</v>
      </c>
      <c r="C2762">
        <v>2</v>
      </c>
      <c r="D2762" s="6" t="s">
        <v>3462</v>
      </c>
      <c r="E2762" s="8" t="s">
        <v>3577</v>
      </c>
      <c r="F2762" s="6" t="s">
        <v>6250</v>
      </c>
      <c r="G2762">
        <v>10</v>
      </c>
      <c r="O2762" s="41" t="s">
        <v>6315</v>
      </c>
      <c r="Q2762" s="40" t="s">
        <v>6305</v>
      </c>
    </row>
    <row r="2763" spans="2:17" x14ac:dyDescent="0.2">
      <c r="B2763" s="6" t="s">
        <v>3446</v>
      </c>
      <c r="C2763">
        <v>2</v>
      </c>
      <c r="D2763" s="6" t="s">
        <v>3462</v>
      </c>
      <c r="E2763" s="8" t="s">
        <v>3578</v>
      </c>
      <c r="F2763" s="6" t="s">
        <v>6250</v>
      </c>
      <c r="G2763">
        <v>7</v>
      </c>
      <c r="O2763" s="41" t="s">
        <v>6316</v>
      </c>
      <c r="Q2763" s="40" t="s">
        <v>6306</v>
      </c>
    </row>
    <row r="2764" spans="2:17" x14ac:dyDescent="0.2">
      <c r="B2764" s="6" t="s">
        <v>3446</v>
      </c>
      <c r="C2764">
        <v>2</v>
      </c>
      <c r="D2764" s="6" t="s">
        <v>3462</v>
      </c>
      <c r="E2764" s="8" t="s">
        <v>3579</v>
      </c>
      <c r="F2764" s="6" t="s">
        <v>6250</v>
      </c>
      <c r="G2764">
        <v>2</v>
      </c>
      <c r="O2764" s="41" t="s">
        <v>6315</v>
      </c>
      <c r="Q2764" s="40" t="s">
        <v>6307</v>
      </c>
    </row>
    <row r="2765" spans="2:17" x14ac:dyDescent="0.2">
      <c r="B2765" s="6" t="s">
        <v>3446</v>
      </c>
      <c r="C2765">
        <v>2</v>
      </c>
      <c r="D2765" s="6" t="s">
        <v>3462</v>
      </c>
      <c r="E2765" s="8" t="s">
        <v>3580</v>
      </c>
      <c r="F2765" s="6" t="s">
        <v>6250</v>
      </c>
      <c r="G2765">
        <v>3</v>
      </c>
      <c r="O2765" s="41" t="s">
        <v>6315</v>
      </c>
      <c r="Q2765" s="40" t="s">
        <v>6308</v>
      </c>
    </row>
    <row r="2766" spans="2:17" x14ac:dyDescent="0.2">
      <c r="B2766" s="6" t="s">
        <v>3446</v>
      </c>
      <c r="C2766">
        <v>2</v>
      </c>
      <c r="D2766" s="6" t="s">
        <v>3462</v>
      </c>
      <c r="E2766" s="8" t="s">
        <v>3581</v>
      </c>
      <c r="F2766" s="6" t="s">
        <v>6250</v>
      </c>
      <c r="G2766">
        <v>5</v>
      </c>
      <c r="O2766" s="41" t="s">
        <v>6316</v>
      </c>
      <c r="Q2766" s="40" t="s">
        <v>6309</v>
      </c>
    </row>
    <row r="2767" spans="2:17" x14ac:dyDescent="0.2">
      <c r="B2767" s="6" t="s">
        <v>3446</v>
      </c>
      <c r="C2767">
        <v>2</v>
      </c>
      <c r="D2767" s="6" t="s">
        <v>3462</v>
      </c>
      <c r="E2767" s="8" t="s">
        <v>3582</v>
      </c>
      <c r="F2767" s="6" t="s">
        <v>1389</v>
      </c>
      <c r="G2767">
        <v>27</v>
      </c>
      <c r="M2767">
        <v>5</v>
      </c>
    </row>
    <row r="2768" spans="2:17" x14ac:dyDescent="0.2">
      <c r="B2768" s="6" t="s">
        <v>3446</v>
      </c>
      <c r="C2768">
        <v>2</v>
      </c>
      <c r="D2768" s="6" t="s">
        <v>3462</v>
      </c>
      <c r="E2768" s="8" t="s">
        <v>3564</v>
      </c>
      <c r="F2768" s="6" t="s">
        <v>1389</v>
      </c>
      <c r="G2768">
        <v>16</v>
      </c>
      <c r="M2768" t="s">
        <v>802</v>
      </c>
    </row>
    <row r="2769" spans="2:17" x14ac:dyDescent="0.2">
      <c r="B2769" s="6" t="s">
        <v>3446</v>
      </c>
      <c r="C2769">
        <v>2</v>
      </c>
      <c r="D2769" s="6" t="s">
        <v>3462</v>
      </c>
      <c r="E2769" s="8" t="s">
        <v>3564</v>
      </c>
      <c r="F2769" s="6" t="s">
        <v>1582</v>
      </c>
      <c r="G2769">
        <v>76</v>
      </c>
      <c r="M2769" t="s">
        <v>802</v>
      </c>
    </row>
    <row r="2770" spans="2:17" x14ac:dyDescent="0.2">
      <c r="B2770" s="6" t="s">
        <v>3446</v>
      </c>
      <c r="C2770">
        <v>2</v>
      </c>
      <c r="D2770" s="6" t="s">
        <v>3462</v>
      </c>
      <c r="E2770" s="8" t="s">
        <v>3583</v>
      </c>
      <c r="F2770" s="6" t="s">
        <v>7337</v>
      </c>
      <c r="G2770">
        <v>46</v>
      </c>
      <c r="Q2770" t="s">
        <v>10054</v>
      </c>
    </row>
    <row r="2771" spans="2:17" x14ac:dyDescent="0.2">
      <c r="B2771" s="6" t="s">
        <v>3446</v>
      </c>
      <c r="C2771">
        <v>2</v>
      </c>
      <c r="D2771" s="6" t="s">
        <v>3462</v>
      </c>
      <c r="E2771" s="8" t="s">
        <v>3584</v>
      </c>
      <c r="F2771" s="6" t="s">
        <v>7337</v>
      </c>
      <c r="G2771">
        <v>63</v>
      </c>
      <c r="Q2771" t="s">
        <v>10053</v>
      </c>
    </row>
    <row r="2772" spans="2:17" x14ac:dyDescent="0.2">
      <c r="B2772" s="6" t="s">
        <v>3446</v>
      </c>
      <c r="C2772">
        <v>2</v>
      </c>
      <c r="D2772" s="6" t="s">
        <v>3462</v>
      </c>
      <c r="E2772" t="s">
        <v>3585</v>
      </c>
      <c r="F2772" s="6" t="s">
        <v>6231</v>
      </c>
      <c r="G2772">
        <v>7</v>
      </c>
      <c r="Q2772" t="s">
        <v>6317</v>
      </c>
    </row>
    <row r="2773" spans="2:17" x14ac:dyDescent="0.2">
      <c r="B2773" s="6" t="s">
        <v>3446</v>
      </c>
      <c r="C2773">
        <v>2</v>
      </c>
      <c r="D2773" s="6" t="s">
        <v>3462</v>
      </c>
      <c r="E2773" t="s">
        <v>3586</v>
      </c>
      <c r="F2773" s="6" t="s">
        <v>1425</v>
      </c>
      <c r="G2773">
        <v>13</v>
      </c>
      <c r="Q2773" t="s">
        <v>10055</v>
      </c>
    </row>
    <row r="2774" spans="2:17" x14ac:dyDescent="0.2">
      <c r="B2774" s="6" t="s">
        <v>3446</v>
      </c>
      <c r="C2774">
        <v>2</v>
      </c>
      <c r="D2774" s="6" t="s">
        <v>3462</v>
      </c>
      <c r="E2774" t="s">
        <v>3587</v>
      </c>
      <c r="F2774" s="6" t="s">
        <v>1425</v>
      </c>
      <c r="G2774">
        <v>15</v>
      </c>
      <c r="Q2774" t="s">
        <v>10056</v>
      </c>
    </row>
    <row r="2775" spans="2:17" x14ac:dyDescent="0.2">
      <c r="B2775" s="6" t="s">
        <v>3446</v>
      </c>
      <c r="C2775">
        <v>2</v>
      </c>
      <c r="D2775" s="6" t="s">
        <v>3462</v>
      </c>
      <c r="E2775" t="s">
        <v>3588</v>
      </c>
      <c r="F2775" s="6" t="s">
        <v>1425</v>
      </c>
      <c r="G2775">
        <v>16</v>
      </c>
      <c r="Q2775" t="s">
        <v>10057</v>
      </c>
    </row>
    <row r="2776" spans="2:17" x14ac:dyDescent="0.2">
      <c r="B2776" s="6" t="s">
        <v>3446</v>
      </c>
      <c r="C2776">
        <v>2</v>
      </c>
      <c r="D2776" s="6" t="s">
        <v>3462</v>
      </c>
      <c r="E2776" t="s">
        <v>3589</v>
      </c>
      <c r="F2776" s="6" t="s">
        <v>1425</v>
      </c>
      <c r="G2776">
        <v>13</v>
      </c>
      <c r="Q2776" t="s">
        <v>10058</v>
      </c>
    </row>
    <row r="2777" spans="2:17" x14ac:dyDescent="0.2">
      <c r="B2777" s="6" t="s">
        <v>3446</v>
      </c>
      <c r="C2777">
        <v>2</v>
      </c>
      <c r="D2777" s="6" t="s">
        <v>3462</v>
      </c>
      <c r="E2777" t="s">
        <v>3590</v>
      </c>
      <c r="F2777" s="6" t="s">
        <v>1425</v>
      </c>
      <c r="G2777">
        <v>8</v>
      </c>
      <c r="Q2777" t="s">
        <v>10059</v>
      </c>
    </row>
    <row r="2778" spans="2:17" x14ac:dyDescent="0.2">
      <c r="B2778" s="6" t="s">
        <v>3446</v>
      </c>
      <c r="C2778">
        <v>2</v>
      </c>
      <c r="D2778" s="6" t="s">
        <v>3462</v>
      </c>
      <c r="E2778" t="s">
        <v>3591</v>
      </c>
      <c r="F2778" s="6" t="s">
        <v>5629</v>
      </c>
      <c r="G2778">
        <v>37</v>
      </c>
      <c r="Q2778" t="s">
        <v>6318</v>
      </c>
    </row>
    <row r="2779" spans="2:17" x14ac:dyDescent="0.2">
      <c r="B2779" s="6" t="s">
        <v>3446</v>
      </c>
      <c r="C2779">
        <v>2</v>
      </c>
      <c r="D2779" s="6" t="s">
        <v>3462</v>
      </c>
      <c r="E2779" t="s">
        <v>3592</v>
      </c>
      <c r="F2779" s="6" t="s">
        <v>6231</v>
      </c>
      <c r="G2779">
        <v>23</v>
      </c>
      <c r="Q2779" t="s">
        <v>6317</v>
      </c>
    </row>
    <row r="2780" spans="2:17" x14ac:dyDescent="0.2">
      <c r="B2780" s="6" t="s">
        <v>3446</v>
      </c>
      <c r="C2780">
        <v>2</v>
      </c>
      <c r="D2780" s="6" t="s">
        <v>3462</v>
      </c>
      <c r="E2780" t="s">
        <v>3593</v>
      </c>
      <c r="F2780" s="6" t="s">
        <v>1425</v>
      </c>
      <c r="G2780">
        <v>57</v>
      </c>
      <c r="Q2780" t="s">
        <v>10060</v>
      </c>
    </row>
    <row r="2781" spans="2:17" x14ac:dyDescent="0.2">
      <c r="B2781" s="6" t="s">
        <v>3446</v>
      </c>
      <c r="C2781">
        <v>2</v>
      </c>
      <c r="D2781" s="6" t="s">
        <v>3462</v>
      </c>
      <c r="E2781" t="s">
        <v>3594</v>
      </c>
      <c r="F2781" s="6" t="s">
        <v>1425</v>
      </c>
      <c r="G2781">
        <v>34</v>
      </c>
      <c r="Q2781" t="s">
        <v>10061</v>
      </c>
    </row>
    <row r="2782" spans="2:17" x14ac:dyDescent="0.2">
      <c r="B2782" s="6" t="s">
        <v>3446</v>
      </c>
      <c r="C2782">
        <v>2</v>
      </c>
      <c r="D2782" s="6" t="s">
        <v>3462</v>
      </c>
      <c r="E2782" t="s">
        <v>3595</v>
      </c>
      <c r="F2782" s="6" t="s">
        <v>1425</v>
      </c>
      <c r="G2782">
        <v>4</v>
      </c>
      <c r="Q2782" t="s">
        <v>10062</v>
      </c>
    </row>
    <row r="2783" spans="2:17" x14ac:dyDescent="0.2">
      <c r="B2783" s="6" t="s">
        <v>3446</v>
      </c>
      <c r="C2783">
        <v>2</v>
      </c>
      <c r="D2783" s="6" t="s">
        <v>3462</v>
      </c>
      <c r="E2783" t="s">
        <v>3596</v>
      </c>
      <c r="F2783" s="6" t="s">
        <v>1311</v>
      </c>
      <c r="G2783">
        <v>3</v>
      </c>
      <c r="Q2783" s="40" t="s">
        <v>6319</v>
      </c>
    </row>
    <row r="2784" spans="2:17" x14ac:dyDescent="0.2">
      <c r="B2784" s="6" t="s">
        <v>3446</v>
      </c>
      <c r="C2784">
        <v>2</v>
      </c>
      <c r="D2784" s="6" t="s">
        <v>3462</v>
      </c>
      <c r="E2784" t="s">
        <v>3597</v>
      </c>
      <c r="F2784" s="6" t="s">
        <v>1311</v>
      </c>
      <c r="G2784">
        <v>3</v>
      </c>
      <c r="Q2784" s="40" t="s">
        <v>6320</v>
      </c>
    </row>
    <row r="2785" spans="2:17" x14ac:dyDescent="0.2">
      <c r="B2785" s="6" t="s">
        <v>3446</v>
      </c>
      <c r="C2785">
        <v>2</v>
      </c>
      <c r="D2785" s="6" t="s">
        <v>3462</v>
      </c>
      <c r="E2785" t="s">
        <v>3598</v>
      </c>
      <c r="F2785" s="6" t="s">
        <v>5995</v>
      </c>
      <c r="G2785">
        <v>5</v>
      </c>
      <c r="Q2785" t="s">
        <v>6112</v>
      </c>
    </row>
    <row r="2786" spans="2:17" x14ac:dyDescent="0.2">
      <c r="B2786" s="6" t="s">
        <v>3446</v>
      </c>
      <c r="C2786">
        <v>2</v>
      </c>
      <c r="D2786" s="6" t="s">
        <v>3462</v>
      </c>
      <c r="E2786" t="s">
        <v>3599</v>
      </c>
      <c r="F2786" s="6" t="s">
        <v>5995</v>
      </c>
      <c r="G2786">
        <v>3</v>
      </c>
      <c r="Q2786" t="s">
        <v>6113</v>
      </c>
    </row>
    <row r="2787" spans="2:17" x14ac:dyDescent="0.2">
      <c r="B2787" s="6" t="s">
        <v>3446</v>
      </c>
      <c r="C2787">
        <v>2</v>
      </c>
      <c r="D2787" s="6" t="s">
        <v>3462</v>
      </c>
      <c r="E2787" t="s">
        <v>3600</v>
      </c>
      <c r="F2787" s="6" t="s">
        <v>5995</v>
      </c>
      <c r="G2787">
        <v>2</v>
      </c>
      <c r="Q2787" t="s">
        <v>6114</v>
      </c>
    </row>
    <row r="2788" spans="2:17" x14ac:dyDescent="0.2">
      <c r="B2788" s="6" t="s">
        <v>3446</v>
      </c>
      <c r="C2788">
        <v>2</v>
      </c>
      <c r="D2788" s="6" t="s">
        <v>3462</v>
      </c>
      <c r="E2788" t="s">
        <v>3601</v>
      </c>
      <c r="F2788" s="6" t="s">
        <v>5995</v>
      </c>
      <c r="G2788">
        <v>6</v>
      </c>
      <c r="Q2788" t="s">
        <v>6115</v>
      </c>
    </row>
    <row r="2789" spans="2:17" x14ac:dyDescent="0.2">
      <c r="B2789" s="6" t="s">
        <v>3446</v>
      </c>
      <c r="C2789">
        <v>2</v>
      </c>
      <c r="D2789" s="6" t="s">
        <v>3462</v>
      </c>
      <c r="E2789" t="s">
        <v>3602</v>
      </c>
      <c r="F2789" s="6" t="s">
        <v>5995</v>
      </c>
      <c r="G2789">
        <v>4</v>
      </c>
      <c r="Q2789" t="s">
        <v>6116</v>
      </c>
    </row>
    <row r="2790" spans="2:17" x14ac:dyDescent="0.2">
      <c r="B2790" s="6" t="s">
        <v>3446</v>
      </c>
      <c r="C2790">
        <v>2</v>
      </c>
      <c r="D2790" s="6" t="s">
        <v>3462</v>
      </c>
      <c r="E2790" t="s">
        <v>3564</v>
      </c>
      <c r="F2790" s="6" t="s">
        <v>3251</v>
      </c>
      <c r="H2790">
        <f>0.573-0.344</f>
        <v>0.22899999999999998</v>
      </c>
    </row>
    <row r="2791" spans="2:17" x14ac:dyDescent="0.2">
      <c r="B2791" s="6" t="s">
        <v>3446</v>
      </c>
      <c r="C2791">
        <v>2</v>
      </c>
      <c r="D2791" s="6" t="s">
        <v>3462</v>
      </c>
      <c r="E2791" t="s">
        <v>3603</v>
      </c>
      <c r="F2791" s="6" t="s">
        <v>2957</v>
      </c>
      <c r="G2791">
        <v>11</v>
      </c>
    </row>
    <row r="2792" spans="2:17" x14ac:dyDescent="0.2">
      <c r="B2792" s="6" t="s">
        <v>3446</v>
      </c>
      <c r="C2792">
        <v>2</v>
      </c>
      <c r="D2792" s="6" t="s">
        <v>3462</v>
      </c>
      <c r="E2792" t="s">
        <v>3604</v>
      </c>
      <c r="F2792" s="6" t="s">
        <v>121</v>
      </c>
      <c r="G2792">
        <v>15</v>
      </c>
    </row>
    <row r="2793" spans="2:17" x14ac:dyDescent="0.2">
      <c r="B2793" s="6" t="s">
        <v>3446</v>
      </c>
      <c r="C2793">
        <v>2</v>
      </c>
      <c r="D2793" s="6" t="s">
        <v>3462</v>
      </c>
      <c r="E2793" t="s">
        <v>3605</v>
      </c>
      <c r="F2793" s="6" t="s">
        <v>7138</v>
      </c>
      <c r="G2793">
        <v>3</v>
      </c>
      <c r="M2793">
        <v>2</v>
      </c>
      <c r="Q2793" t="s">
        <v>10063</v>
      </c>
    </row>
    <row r="2794" spans="2:17" x14ac:dyDescent="0.2">
      <c r="B2794" s="6" t="s">
        <v>3446</v>
      </c>
      <c r="C2794">
        <v>2</v>
      </c>
      <c r="D2794" s="6" t="s">
        <v>3462</v>
      </c>
      <c r="E2794" t="s">
        <v>3606</v>
      </c>
      <c r="F2794" s="6" t="s">
        <v>106</v>
      </c>
      <c r="G2794" t="s">
        <v>114</v>
      </c>
      <c r="M2794">
        <v>3</v>
      </c>
    </row>
    <row r="2795" spans="2:17" x14ac:dyDescent="0.2">
      <c r="B2795" s="6" t="s">
        <v>3446</v>
      </c>
      <c r="C2795">
        <v>2</v>
      </c>
      <c r="D2795" s="6" t="s">
        <v>3462</v>
      </c>
      <c r="E2795" t="s">
        <v>3607</v>
      </c>
      <c r="F2795" s="6" t="s">
        <v>3429</v>
      </c>
      <c r="G2795">
        <v>7</v>
      </c>
    </row>
    <row r="2796" spans="2:17" x14ac:dyDescent="0.2">
      <c r="B2796" s="6" t="s">
        <v>3446</v>
      </c>
      <c r="C2796">
        <v>2</v>
      </c>
      <c r="D2796" s="6" t="s">
        <v>3462</v>
      </c>
      <c r="E2796" t="s">
        <v>3608</v>
      </c>
      <c r="F2796" s="6" t="s">
        <v>3183</v>
      </c>
      <c r="H2796">
        <f>0.643-0.424</f>
        <v>0.21900000000000003</v>
      </c>
      <c r="O2796" t="s">
        <v>3468</v>
      </c>
    </row>
    <row r="2797" spans="2:17" x14ac:dyDescent="0.2">
      <c r="B2797" s="6" t="s">
        <v>3446</v>
      </c>
      <c r="C2797">
        <v>3</v>
      </c>
      <c r="D2797" s="6" t="s">
        <v>3462</v>
      </c>
      <c r="E2797" s="8" t="s">
        <v>3609</v>
      </c>
      <c r="F2797" s="6" t="s">
        <v>1389</v>
      </c>
      <c r="G2797">
        <v>12</v>
      </c>
    </row>
    <row r="2798" spans="2:17" x14ac:dyDescent="0.2">
      <c r="B2798" s="6" t="s">
        <v>3446</v>
      </c>
      <c r="C2798">
        <v>3</v>
      </c>
      <c r="D2798" s="6" t="s">
        <v>3462</v>
      </c>
      <c r="E2798" s="8" t="s">
        <v>3610</v>
      </c>
      <c r="F2798" s="6" t="s">
        <v>1389</v>
      </c>
      <c r="G2798">
        <v>3</v>
      </c>
      <c r="Q2798" t="s">
        <v>10074</v>
      </c>
    </row>
    <row r="2799" spans="2:17" x14ac:dyDescent="0.2">
      <c r="B2799" s="6" t="s">
        <v>3446</v>
      </c>
      <c r="C2799">
        <v>3</v>
      </c>
      <c r="D2799" s="6" t="s">
        <v>3462</v>
      </c>
      <c r="E2799" s="8" t="s">
        <v>3611</v>
      </c>
      <c r="F2799" s="6" t="s">
        <v>1389</v>
      </c>
      <c r="G2799">
        <v>7</v>
      </c>
      <c r="Q2799" t="s">
        <v>10075</v>
      </c>
    </row>
    <row r="2800" spans="2:17" x14ac:dyDescent="0.2">
      <c r="B2800" s="6" t="s">
        <v>3446</v>
      </c>
      <c r="C2800">
        <v>3</v>
      </c>
      <c r="D2800" s="6" t="s">
        <v>3462</v>
      </c>
      <c r="E2800" s="8" t="s">
        <v>3612</v>
      </c>
      <c r="F2800" s="6" t="s">
        <v>1389</v>
      </c>
      <c r="G2800">
        <v>5</v>
      </c>
      <c r="Q2800" t="s">
        <v>10076</v>
      </c>
    </row>
    <row r="2801" spans="2:17" x14ac:dyDescent="0.2">
      <c r="B2801" s="6" t="s">
        <v>3446</v>
      </c>
      <c r="C2801">
        <v>3</v>
      </c>
      <c r="D2801" s="6" t="s">
        <v>3462</v>
      </c>
      <c r="E2801" s="8" t="s">
        <v>3613</v>
      </c>
      <c r="F2801" s="6" t="s">
        <v>1389</v>
      </c>
      <c r="G2801">
        <v>4</v>
      </c>
      <c r="Q2801" t="s">
        <v>10077</v>
      </c>
    </row>
    <row r="2802" spans="2:17" x14ac:dyDescent="0.2">
      <c r="B2802" s="6" t="s">
        <v>3446</v>
      </c>
      <c r="C2802">
        <v>3</v>
      </c>
      <c r="D2802" s="6" t="s">
        <v>3462</v>
      </c>
      <c r="E2802" s="8" t="s">
        <v>3614</v>
      </c>
      <c r="F2802" s="6" t="s">
        <v>1389</v>
      </c>
      <c r="G2802">
        <v>35</v>
      </c>
      <c r="M2802">
        <v>5</v>
      </c>
    </row>
    <row r="2803" spans="2:17" x14ac:dyDescent="0.2">
      <c r="B2803" s="6" t="s">
        <v>3446</v>
      </c>
      <c r="C2803">
        <v>3</v>
      </c>
      <c r="D2803" s="6" t="s">
        <v>3462</v>
      </c>
      <c r="E2803" s="8" t="s">
        <v>3615</v>
      </c>
      <c r="F2803" s="6" t="s">
        <v>1264</v>
      </c>
      <c r="H2803">
        <f>7.6-0.261</f>
        <v>7.3389999999999995</v>
      </c>
      <c r="O2803" t="s">
        <v>3467</v>
      </c>
    </row>
    <row r="2804" spans="2:17" x14ac:dyDescent="0.2">
      <c r="B2804" s="6" t="s">
        <v>3446</v>
      </c>
      <c r="C2804">
        <v>3</v>
      </c>
      <c r="D2804" s="6" t="s">
        <v>3462</v>
      </c>
      <c r="E2804" s="8" t="s">
        <v>3616</v>
      </c>
      <c r="F2804" s="6" t="s">
        <v>1389</v>
      </c>
      <c r="G2804">
        <v>204</v>
      </c>
      <c r="M2804" t="s">
        <v>802</v>
      </c>
    </row>
    <row r="2805" spans="2:17" x14ac:dyDescent="0.2">
      <c r="B2805" s="6" t="s">
        <v>3446</v>
      </c>
      <c r="C2805">
        <v>3</v>
      </c>
      <c r="D2805" s="6" t="s">
        <v>3462</v>
      </c>
      <c r="E2805" s="8" t="s">
        <v>3617</v>
      </c>
      <c r="F2805" s="6" t="s">
        <v>1425</v>
      </c>
      <c r="G2805">
        <v>24</v>
      </c>
      <c r="Q2805" t="s">
        <v>10064</v>
      </c>
    </row>
    <row r="2806" spans="2:17" x14ac:dyDescent="0.2">
      <c r="B2806" s="6" t="s">
        <v>3446</v>
      </c>
      <c r="C2806">
        <v>3</v>
      </c>
      <c r="D2806" s="6" t="s">
        <v>3462</v>
      </c>
      <c r="E2806" s="8" t="s">
        <v>3618</v>
      </c>
      <c r="F2806" s="6" t="s">
        <v>6322</v>
      </c>
      <c r="G2806">
        <v>16</v>
      </c>
      <c r="Q2806" s="40" t="s">
        <v>6321</v>
      </c>
    </row>
    <row r="2807" spans="2:17" x14ac:dyDescent="0.2">
      <c r="B2807" s="6" t="s">
        <v>3446</v>
      </c>
      <c r="C2807">
        <v>3</v>
      </c>
      <c r="D2807" s="6" t="s">
        <v>3462</v>
      </c>
      <c r="E2807" t="s">
        <v>3619</v>
      </c>
      <c r="F2807" s="6" t="s">
        <v>6231</v>
      </c>
      <c r="G2807">
        <v>18</v>
      </c>
      <c r="Q2807" t="s">
        <v>6323</v>
      </c>
    </row>
    <row r="2808" spans="2:17" x14ac:dyDescent="0.2">
      <c r="B2808" s="6" t="s">
        <v>3446</v>
      </c>
      <c r="C2808">
        <v>3</v>
      </c>
      <c r="D2808" s="6" t="s">
        <v>3462</v>
      </c>
      <c r="E2808" t="s">
        <v>3620</v>
      </c>
      <c r="F2808" t="s">
        <v>9043</v>
      </c>
      <c r="G2808">
        <v>11</v>
      </c>
      <c r="P2808" t="s">
        <v>5999</v>
      </c>
      <c r="Q2808" t="s">
        <v>6117</v>
      </c>
    </row>
    <row r="2809" spans="2:17" x14ac:dyDescent="0.2">
      <c r="B2809" s="6" t="s">
        <v>3446</v>
      </c>
      <c r="C2809">
        <v>3</v>
      </c>
      <c r="D2809" s="6" t="s">
        <v>3462</v>
      </c>
      <c r="E2809" t="s">
        <v>3621</v>
      </c>
      <c r="F2809" s="6" t="s">
        <v>5995</v>
      </c>
      <c r="G2809" t="s">
        <v>114</v>
      </c>
      <c r="Q2809" t="s">
        <v>6118</v>
      </c>
    </row>
    <row r="2810" spans="2:17" x14ac:dyDescent="0.2">
      <c r="B2810" s="6" t="s">
        <v>3446</v>
      </c>
      <c r="C2810">
        <v>3</v>
      </c>
      <c r="D2810" s="6" t="s">
        <v>3462</v>
      </c>
      <c r="E2810" t="s">
        <v>3622</v>
      </c>
      <c r="F2810" s="6" t="s">
        <v>1425</v>
      </c>
      <c r="G2810">
        <v>9</v>
      </c>
      <c r="Q2810" t="s">
        <v>10065</v>
      </c>
    </row>
    <row r="2811" spans="2:17" x14ac:dyDescent="0.2">
      <c r="B2811" s="6" t="s">
        <v>3446</v>
      </c>
      <c r="C2811">
        <v>3</v>
      </c>
      <c r="D2811" s="6" t="s">
        <v>3462</v>
      </c>
      <c r="E2811" t="s">
        <v>3623</v>
      </c>
      <c r="F2811" s="6" t="s">
        <v>1425</v>
      </c>
      <c r="G2811">
        <v>6</v>
      </c>
      <c r="Q2811" t="s">
        <v>10066</v>
      </c>
    </row>
    <row r="2812" spans="2:17" x14ac:dyDescent="0.2">
      <c r="B2812" s="6" t="s">
        <v>3446</v>
      </c>
      <c r="C2812">
        <v>3</v>
      </c>
      <c r="D2812" s="6" t="s">
        <v>3462</v>
      </c>
      <c r="E2812" t="s">
        <v>3624</v>
      </c>
      <c r="F2812" s="6" t="s">
        <v>1425</v>
      </c>
      <c r="G2812">
        <v>5</v>
      </c>
      <c r="Q2812" t="s">
        <v>10067</v>
      </c>
    </row>
    <row r="2813" spans="2:17" x14ac:dyDescent="0.2">
      <c r="B2813" s="6" t="s">
        <v>3446</v>
      </c>
      <c r="C2813">
        <v>3</v>
      </c>
      <c r="D2813" s="6" t="s">
        <v>3462</v>
      </c>
      <c r="E2813" t="s">
        <v>3625</v>
      </c>
      <c r="F2813" s="6" t="s">
        <v>1425</v>
      </c>
      <c r="G2813">
        <v>3</v>
      </c>
      <c r="Q2813" t="s">
        <v>10068</v>
      </c>
    </row>
    <row r="2814" spans="2:17" x14ac:dyDescent="0.2">
      <c r="B2814" s="6" t="s">
        <v>3446</v>
      </c>
      <c r="C2814">
        <v>3</v>
      </c>
      <c r="D2814" s="6" t="s">
        <v>3462</v>
      </c>
      <c r="E2814" t="s">
        <v>3626</v>
      </c>
      <c r="F2814" s="6" t="s">
        <v>1425</v>
      </c>
      <c r="G2814">
        <v>8</v>
      </c>
      <c r="Q2814" t="s">
        <v>10069</v>
      </c>
    </row>
    <row r="2815" spans="2:17" x14ac:dyDescent="0.2">
      <c r="B2815" s="6" t="s">
        <v>3446</v>
      </c>
      <c r="C2815">
        <v>3</v>
      </c>
      <c r="D2815" s="6" t="s">
        <v>3462</v>
      </c>
      <c r="E2815" t="s">
        <v>3627</v>
      </c>
      <c r="F2815" s="6" t="s">
        <v>1311</v>
      </c>
      <c r="G2815">
        <v>1</v>
      </c>
      <c r="Q2815" t="s">
        <v>6324</v>
      </c>
    </row>
    <row r="2816" spans="2:17" x14ac:dyDescent="0.2">
      <c r="B2816" s="6" t="s">
        <v>3446</v>
      </c>
      <c r="C2816">
        <v>3</v>
      </c>
      <c r="D2816" s="6" t="s">
        <v>3462</v>
      </c>
      <c r="E2816" t="s">
        <v>3628</v>
      </c>
      <c r="F2816" s="6" t="s">
        <v>1311</v>
      </c>
      <c r="G2816">
        <v>1</v>
      </c>
      <c r="Q2816" t="s">
        <v>6325</v>
      </c>
    </row>
    <row r="2817" spans="2:17" x14ac:dyDescent="0.2">
      <c r="B2817" s="6" t="s">
        <v>3446</v>
      </c>
      <c r="C2817">
        <v>3</v>
      </c>
      <c r="D2817" s="6" t="s">
        <v>3462</v>
      </c>
      <c r="E2817" t="s">
        <v>3629</v>
      </c>
      <c r="F2817" s="6" t="s">
        <v>1538</v>
      </c>
      <c r="G2817" t="s">
        <v>114</v>
      </c>
      <c r="Q2817" t="s">
        <v>10070</v>
      </c>
    </row>
    <row r="2818" spans="2:17" x14ac:dyDescent="0.2">
      <c r="B2818" s="6" t="s">
        <v>3446</v>
      </c>
      <c r="C2818">
        <v>3</v>
      </c>
      <c r="D2818" s="6" t="s">
        <v>3462</v>
      </c>
      <c r="E2818" t="s">
        <v>3630</v>
      </c>
      <c r="F2818" s="6" t="s">
        <v>1538</v>
      </c>
      <c r="G2818" t="s">
        <v>114</v>
      </c>
      <c r="Q2818" t="s">
        <v>10071</v>
      </c>
    </row>
    <row r="2819" spans="2:17" x14ac:dyDescent="0.2">
      <c r="B2819" s="6" t="s">
        <v>3446</v>
      </c>
      <c r="C2819">
        <v>3</v>
      </c>
      <c r="D2819" s="6" t="s">
        <v>3462</v>
      </c>
      <c r="E2819" t="s">
        <v>3631</v>
      </c>
      <c r="F2819" s="6" t="s">
        <v>1538</v>
      </c>
      <c r="G2819">
        <v>1</v>
      </c>
      <c r="Q2819" t="s">
        <v>10072</v>
      </c>
    </row>
    <row r="2820" spans="2:17" x14ac:dyDescent="0.2">
      <c r="B2820" s="6" t="s">
        <v>3446</v>
      </c>
      <c r="C2820">
        <v>3</v>
      </c>
      <c r="D2820" s="6" t="s">
        <v>3462</v>
      </c>
      <c r="E2820" t="s">
        <v>3632</v>
      </c>
      <c r="F2820" s="6" t="s">
        <v>1538</v>
      </c>
      <c r="G2820">
        <v>1</v>
      </c>
      <c r="Q2820" t="s">
        <v>10073</v>
      </c>
    </row>
    <row r="2821" spans="2:17" x14ac:dyDescent="0.2">
      <c r="B2821" s="6" t="s">
        <v>3446</v>
      </c>
      <c r="C2821">
        <v>3</v>
      </c>
      <c r="D2821" s="6" t="s">
        <v>3462</v>
      </c>
      <c r="E2821" t="s">
        <v>3633</v>
      </c>
      <c r="F2821" s="6" t="s">
        <v>698</v>
      </c>
      <c r="G2821" t="s">
        <v>114</v>
      </c>
    </row>
    <row r="2822" spans="2:17" x14ac:dyDescent="0.2">
      <c r="B2822" s="6" t="s">
        <v>3446</v>
      </c>
      <c r="C2822">
        <v>3</v>
      </c>
      <c r="D2822" s="6" t="s">
        <v>3462</v>
      </c>
      <c r="E2822" t="s">
        <v>3634</v>
      </c>
      <c r="F2822" s="6" t="s">
        <v>1538</v>
      </c>
      <c r="G2822">
        <v>42</v>
      </c>
      <c r="Q2822" t="s">
        <v>10080</v>
      </c>
    </row>
    <row r="2823" spans="2:17" x14ac:dyDescent="0.2">
      <c r="B2823" s="6" t="s">
        <v>3446</v>
      </c>
      <c r="C2823">
        <v>3</v>
      </c>
      <c r="D2823" s="6" t="s">
        <v>3462</v>
      </c>
      <c r="E2823" t="s">
        <v>3635</v>
      </c>
      <c r="F2823" s="6" t="s">
        <v>1538</v>
      </c>
      <c r="G2823">
        <v>37</v>
      </c>
      <c r="Q2823" t="s">
        <v>10081</v>
      </c>
    </row>
    <row r="2824" spans="2:17" x14ac:dyDescent="0.2">
      <c r="B2824" s="6" t="s">
        <v>3446</v>
      </c>
      <c r="C2824">
        <v>3</v>
      </c>
      <c r="D2824" s="6" t="s">
        <v>3462</v>
      </c>
      <c r="E2824" t="s">
        <v>3636</v>
      </c>
      <c r="F2824" s="6" t="s">
        <v>1538</v>
      </c>
      <c r="G2824">
        <v>13</v>
      </c>
      <c r="Q2824" t="s">
        <v>10082</v>
      </c>
    </row>
    <row r="2825" spans="2:17" x14ac:dyDescent="0.2">
      <c r="B2825" s="6" t="s">
        <v>3446</v>
      </c>
      <c r="C2825">
        <v>3</v>
      </c>
      <c r="D2825" s="6" t="s">
        <v>3462</v>
      </c>
      <c r="E2825" t="s">
        <v>3637</v>
      </c>
      <c r="F2825" s="6" t="s">
        <v>1538</v>
      </c>
      <c r="G2825">
        <v>12</v>
      </c>
      <c r="Q2825" t="s">
        <v>10078</v>
      </c>
    </row>
    <row r="2826" spans="2:17" x14ac:dyDescent="0.2">
      <c r="B2826" s="6" t="s">
        <v>3446</v>
      </c>
      <c r="C2826">
        <v>3</v>
      </c>
      <c r="D2826" s="6" t="s">
        <v>3462</v>
      </c>
      <c r="E2826" t="s">
        <v>3638</v>
      </c>
      <c r="F2826" s="6" t="s">
        <v>1538</v>
      </c>
      <c r="G2826">
        <v>6</v>
      </c>
      <c r="Q2826" t="s">
        <v>10079</v>
      </c>
    </row>
    <row r="2827" spans="2:17" x14ac:dyDescent="0.2">
      <c r="B2827" s="6" t="s">
        <v>3446</v>
      </c>
      <c r="C2827">
        <v>3</v>
      </c>
      <c r="D2827" s="6" t="s">
        <v>3462</v>
      </c>
      <c r="E2827" t="s">
        <v>3639</v>
      </c>
      <c r="F2827" s="6" t="s">
        <v>1538</v>
      </c>
      <c r="G2827">
        <v>86</v>
      </c>
      <c r="M2827">
        <v>5</v>
      </c>
    </row>
    <row r="2828" spans="2:17" x14ac:dyDescent="0.2">
      <c r="B2828" s="6" t="s">
        <v>3446</v>
      </c>
      <c r="C2828">
        <v>3</v>
      </c>
      <c r="D2828" s="6" t="s">
        <v>3462</v>
      </c>
      <c r="E2828" t="s">
        <v>3616</v>
      </c>
      <c r="F2828" s="6" t="s">
        <v>1538</v>
      </c>
      <c r="G2828">
        <v>87</v>
      </c>
      <c r="M2828" t="s">
        <v>802</v>
      </c>
    </row>
    <row r="2829" spans="2:17" x14ac:dyDescent="0.2">
      <c r="B2829" s="6" t="s">
        <v>3446</v>
      </c>
      <c r="C2829">
        <v>3</v>
      </c>
      <c r="D2829" s="6" t="s">
        <v>3462</v>
      </c>
      <c r="E2829" t="s">
        <v>3616</v>
      </c>
      <c r="F2829" s="6" t="s">
        <v>1389</v>
      </c>
      <c r="G2829">
        <v>41</v>
      </c>
      <c r="M2829" t="s">
        <v>802</v>
      </c>
    </row>
    <row r="2830" spans="2:17" x14ac:dyDescent="0.2">
      <c r="B2830" s="6" t="s">
        <v>3446</v>
      </c>
      <c r="C2830">
        <v>3</v>
      </c>
      <c r="D2830" s="6" t="s">
        <v>3462</v>
      </c>
      <c r="E2830" t="s">
        <v>3640</v>
      </c>
      <c r="F2830" s="6" t="s">
        <v>810</v>
      </c>
      <c r="G2830">
        <v>25</v>
      </c>
      <c r="M2830" t="s">
        <v>802</v>
      </c>
    </row>
    <row r="2831" spans="2:17" x14ac:dyDescent="0.2">
      <c r="B2831" s="6" t="s">
        <v>3446</v>
      </c>
      <c r="C2831">
        <v>3</v>
      </c>
      <c r="D2831" s="6" t="s">
        <v>3462</v>
      </c>
      <c r="E2831" t="s">
        <v>3641</v>
      </c>
      <c r="F2831" s="6" t="s">
        <v>7138</v>
      </c>
      <c r="G2831">
        <v>5</v>
      </c>
      <c r="M2831">
        <v>5</v>
      </c>
      <c r="Q2831" t="s">
        <v>10083</v>
      </c>
    </row>
    <row r="2832" spans="2:17" x14ac:dyDescent="0.2">
      <c r="B2832" s="6" t="s">
        <v>3446</v>
      </c>
      <c r="C2832">
        <v>3</v>
      </c>
      <c r="D2832" s="6" t="s">
        <v>3462</v>
      </c>
      <c r="E2832" t="s">
        <v>3642</v>
      </c>
      <c r="F2832" s="6" t="s">
        <v>2957</v>
      </c>
      <c r="G2832">
        <v>12</v>
      </c>
      <c r="M2832" t="s">
        <v>802</v>
      </c>
    </row>
    <row r="2833" spans="2:17" x14ac:dyDescent="0.2">
      <c r="B2833" s="6" t="s">
        <v>3446</v>
      </c>
      <c r="C2833">
        <v>3</v>
      </c>
      <c r="D2833" s="6" t="s">
        <v>3462</v>
      </c>
      <c r="E2833" t="s">
        <v>3643</v>
      </c>
      <c r="F2833" s="6" t="s">
        <v>3429</v>
      </c>
      <c r="G2833">
        <v>10</v>
      </c>
      <c r="M2833" t="s">
        <v>802</v>
      </c>
      <c r="O2833" t="s">
        <v>3469</v>
      </c>
    </row>
    <row r="2834" spans="2:17" x14ac:dyDescent="0.2">
      <c r="B2834" s="6" t="s">
        <v>3446</v>
      </c>
      <c r="C2834">
        <v>3</v>
      </c>
      <c r="D2834" s="6" t="s">
        <v>3462</v>
      </c>
      <c r="E2834" t="s">
        <v>3644</v>
      </c>
      <c r="F2834" t="s">
        <v>3183</v>
      </c>
      <c r="G2834">
        <v>100</v>
      </c>
      <c r="M2834" t="s">
        <v>802</v>
      </c>
    </row>
    <row r="2835" spans="2:17" x14ac:dyDescent="0.2">
      <c r="B2835" s="6" t="s">
        <v>3446</v>
      </c>
      <c r="C2835">
        <v>3</v>
      </c>
      <c r="D2835" s="6" t="s">
        <v>3462</v>
      </c>
      <c r="E2835" t="s">
        <v>3616</v>
      </c>
      <c r="F2835" t="s">
        <v>3251</v>
      </c>
      <c r="G2835">
        <v>35</v>
      </c>
      <c r="M2835" t="s">
        <v>802</v>
      </c>
    </row>
    <row r="2836" spans="2:17" x14ac:dyDescent="0.2">
      <c r="B2836" s="6" t="s">
        <v>3446</v>
      </c>
      <c r="C2836">
        <v>4</v>
      </c>
      <c r="D2836" s="6" t="s">
        <v>3462</v>
      </c>
      <c r="E2836" s="8" t="s">
        <v>3645</v>
      </c>
      <c r="F2836" s="6" t="s">
        <v>1264</v>
      </c>
      <c r="H2836">
        <f>0.728-0.357</f>
        <v>0.371</v>
      </c>
      <c r="M2836" t="s">
        <v>802</v>
      </c>
      <c r="O2836" t="s">
        <v>3470</v>
      </c>
    </row>
    <row r="2837" spans="2:17" x14ac:dyDescent="0.2">
      <c r="B2837" s="6" t="s">
        <v>3446</v>
      </c>
      <c r="C2837" t="s">
        <v>462</v>
      </c>
      <c r="D2837" s="6" t="s">
        <v>3462</v>
      </c>
      <c r="E2837" t="s">
        <v>3646</v>
      </c>
      <c r="F2837" s="6" t="s">
        <v>3183</v>
      </c>
      <c r="H2837" s="6">
        <f>0.7*1.017</f>
        <v>0.71189999999999987</v>
      </c>
      <c r="M2837" t="s">
        <v>802</v>
      </c>
    </row>
    <row r="2838" spans="2:17" x14ac:dyDescent="0.2">
      <c r="B2838" s="6" t="s">
        <v>3446</v>
      </c>
      <c r="C2838" t="s">
        <v>462</v>
      </c>
      <c r="D2838" s="6" t="s">
        <v>3462</v>
      </c>
      <c r="E2838" t="s">
        <v>3646</v>
      </c>
      <c r="F2838" t="s">
        <v>112</v>
      </c>
      <c r="H2838" s="6">
        <f>0.1*1.017</f>
        <v>0.1017</v>
      </c>
      <c r="M2838" t="s">
        <v>802</v>
      </c>
    </row>
    <row r="2839" spans="2:17" x14ac:dyDescent="0.2">
      <c r="B2839" s="6" t="s">
        <v>3446</v>
      </c>
      <c r="C2839" t="s">
        <v>462</v>
      </c>
      <c r="D2839" s="6" t="s">
        <v>3462</v>
      </c>
      <c r="E2839" t="s">
        <v>3646</v>
      </c>
      <c r="F2839" t="s">
        <v>740</v>
      </c>
      <c r="H2839" s="6">
        <f>0.2*1.017</f>
        <v>0.2034</v>
      </c>
      <c r="M2839" t="s">
        <v>802</v>
      </c>
    </row>
    <row r="2840" spans="2:17" x14ac:dyDescent="0.2">
      <c r="B2840" s="6" t="s">
        <v>3446</v>
      </c>
      <c r="C2840">
        <v>5</v>
      </c>
      <c r="D2840" s="6" t="s">
        <v>3462</v>
      </c>
      <c r="E2840" s="8" t="s">
        <v>3647</v>
      </c>
      <c r="F2840" t="s">
        <v>1264</v>
      </c>
      <c r="H2840">
        <f>6.3-0.295</f>
        <v>6.0049999999999999</v>
      </c>
      <c r="M2840" t="s">
        <v>802</v>
      </c>
      <c r="O2840" t="s">
        <v>3472</v>
      </c>
    </row>
    <row r="2841" spans="2:17" x14ac:dyDescent="0.2">
      <c r="B2841" s="6" t="s">
        <v>3446</v>
      </c>
      <c r="C2841">
        <v>5</v>
      </c>
      <c r="D2841" s="6" t="s">
        <v>3462</v>
      </c>
      <c r="E2841" s="8" t="s">
        <v>3648</v>
      </c>
      <c r="F2841" t="s">
        <v>1538</v>
      </c>
      <c r="G2841">
        <v>5</v>
      </c>
      <c r="Q2841" t="s">
        <v>10084</v>
      </c>
    </row>
    <row r="2842" spans="2:17" x14ac:dyDescent="0.2">
      <c r="B2842" s="6" t="s">
        <v>3446</v>
      </c>
      <c r="C2842">
        <v>5</v>
      </c>
      <c r="D2842" s="6" t="s">
        <v>3462</v>
      </c>
      <c r="E2842" s="8" t="s">
        <v>3649</v>
      </c>
      <c r="F2842" t="s">
        <v>1389</v>
      </c>
      <c r="G2842" t="s">
        <v>114</v>
      </c>
      <c r="Q2842" t="s">
        <v>10085</v>
      </c>
    </row>
    <row r="2843" spans="2:17" x14ac:dyDescent="0.2">
      <c r="B2843" s="6" t="s">
        <v>3446</v>
      </c>
      <c r="C2843">
        <v>5</v>
      </c>
      <c r="D2843" s="6" t="s">
        <v>3462</v>
      </c>
      <c r="E2843" s="8" t="s">
        <v>3650</v>
      </c>
      <c r="F2843" t="s">
        <v>1389</v>
      </c>
      <c r="G2843">
        <v>2</v>
      </c>
      <c r="Q2843" t="s">
        <v>10086</v>
      </c>
    </row>
    <row r="2844" spans="2:17" x14ac:dyDescent="0.2">
      <c r="B2844" s="6" t="s">
        <v>3446</v>
      </c>
      <c r="C2844">
        <v>5</v>
      </c>
      <c r="D2844" s="6" t="s">
        <v>3462</v>
      </c>
      <c r="E2844" s="8" t="s">
        <v>3651</v>
      </c>
      <c r="F2844" t="s">
        <v>2957</v>
      </c>
      <c r="G2844">
        <v>14</v>
      </c>
    </row>
    <row r="2845" spans="2:17" x14ac:dyDescent="0.2">
      <c r="B2845" s="6" t="s">
        <v>3446</v>
      </c>
      <c r="C2845">
        <v>5</v>
      </c>
      <c r="D2845" s="6" t="s">
        <v>3462</v>
      </c>
      <c r="E2845" s="8" t="s">
        <v>3652</v>
      </c>
      <c r="F2845" t="s">
        <v>3471</v>
      </c>
      <c r="G2845" t="s">
        <v>114</v>
      </c>
    </row>
    <row r="2846" spans="2:17" x14ac:dyDescent="0.2">
      <c r="B2846" s="6" t="s">
        <v>3446</v>
      </c>
      <c r="C2846">
        <v>5</v>
      </c>
      <c r="D2846" s="6" t="s">
        <v>3462</v>
      </c>
      <c r="E2846" s="8" t="s">
        <v>3653</v>
      </c>
      <c r="F2846" t="s">
        <v>7138</v>
      </c>
      <c r="G2846">
        <v>2</v>
      </c>
      <c r="Q2846" t="s">
        <v>10087</v>
      </c>
    </row>
    <row r="2847" spans="2:17" x14ac:dyDescent="0.2">
      <c r="B2847" s="6" t="s">
        <v>3446</v>
      </c>
      <c r="C2847">
        <v>5</v>
      </c>
      <c r="D2847" s="6" t="s">
        <v>3462</v>
      </c>
      <c r="E2847" s="8" t="s">
        <v>3654</v>
      </c>
      <c r="F2847" t="s">
        <v>3429</v>
      </c>
      <c r="G2847">
        <v>2</v>
      </c>
    </row>
    <row r="2848" spans="2:17" x14ac:dyDescent="0.2">
      <c r="B2848" s="6" t="s">
        <v>3446</v>
      </c>
      <c r="C2848">
        <v>5</v>
      </c>
      <c r="D2848" s="6" t="s">
        <v>3462</v>
      </c>
      <c r="E2848" s="8" t="s">
        <v>3655</v>
      </c>
      <c r="F2848" t="s">
        <v>3183</v>
      </c>
      <c r="H2848">
        <f>0.205-0.012</f>
        <v>0.19299999999999998</v>
      </c>
    </row>
    <row r="2849" spans="2:17" x14ac:dyDescent="0.2">
      <c r="B2849" s="6" t="s">
        <v>3446</v>
      </c>
      <c r="C2849">
        <v>4</v>
      </c>
      <c r="D2849" s="6" t="s">
        <v>3462</v>
      </c>
      <c r="E2849" t="s">
        <v>3656</v>
      </c>
      <c r="F2849" t="s">
        <v>3458</v>
      </c>
      <c r="H2849">
        <f>0.428-0.357</f>
        <v>7.1000000000000008E-2</v>
      </c>
    </row>
    <row r="2850" spans="2:17" x14ac:dyDescent="0.2">
      <c r="B2850" s="6" t="s">
        <v>3446</v>
      </c>
      <c r="C2850">
        <v>4</v>
      </c>
      <c r="D2850" s="6" t="s">
        <v>3462</v>
      </c>
      <c r="E2850" s="8" t="s">
        <v>3657</v>
      </c>
      <c r="F2850" t="s">
        <v>1425</v>
      </c>
      <c r="G2850">
        <v>22</v>
      </c>
      <c r="Q2850" t="s">
        <v>10088</v>
      </c>
    </row>
    <row r="2851" spans="2:17" x14ac:dyDescent="0.2">
      <c r="B2851" s="6" t="s">
        <v>3446</v>
      </c>
      <c r="C2851">
        <v>4</v>
      </c>
      <c r="D2851" s="6" t="s">
        <v>3462</v>
      </c>
      <c r="E2851" s="8" t="s">
        <v>3658</v>
      </c>
      <c r="F2851" t="s">
        <v>6239</v>
      </c>
      <c r="G2851">
        <v>1</v>
      </c>
      <c r="Q2851" t="s">
        <v>10089</v>
      </c>
    </row>
    <row r="2852" spans="2:17" x14ac:dyDescent="0.2">
      <c r="B2852" s="6" t="s">
        <v>3446</v>
      </c>
      <c r="C2852">
        <v>4</v>
      </c>
      <c r="D2852" s="6" t="s">
        <v>3462</v>
      </c>
      <c r="E2852" s="8" t="s">
        <v>3659</v>
      </c>
      <c r="F2852" t="s">
        <v>1425</v>
      </c>
      <c r="G2852">
        <v>2</v>
      </c>
      <c r="Q2852" t="s">
        <v>10090</v>
      </c>
    </row>
    <row r="2853" spans="2:17" x14ac:dyDescent="0.2">
      <c r="B2853" s="6" t="s">
        <v>3446</v>
      </c>
      <c r="C2853">
        <v>4</v>
      </c>
      <c r="D2853" s="6" t="s">
        <v>3462</v>
      </c>
      <c r="E2853" s="8" t="s">
        <v>3660</v>
      </c>
      <c r="F2853" t="s">
        <v>1538</v>
      </c>
      <c r="G2853">
        <v>2</v>
      </c>
      <c r="Q2853" t="s">
        <v>10091</v>
      </c>
    </row>
    <row r="2854" spans="2:17" x14ac:dyDescent="0.2">
      <c r="B2854" s="6" t="s">
        <v>3446</v>
      </c>
      <c r="C2854">
        <v>4</v>
      </c>
      <c r="D2854" s="6" t="s">
        <v>3462</v>
      </c>
      <c r="E2854" s="8" t="s">
        <v>3661</v>
      </c>
      <c r="F2854" t="s">
        <v>1389</v>
      </c>
      <c r="G2854">
        <v>3</v>
      </c>
      <c r="Q2854" t="s">
        <v>10092</v>
      </c>
    </row>
    <row r="2855" spans="2:17" x14ac:dyDescent="0.2">
      <c r="B2855" s="6" t="s">
        <v>3446</v>
      </c>
      <c r="C2855">
        <v>4</v>
      </c>
      <c r="D2855" s="6" t="s">
        <v>3462</v>
      </c>
      <c r="E2855" s="8" t="s">
        <v>3662</v>
      </c>
      <c r="F2855" t="s">
        <v>1389</v>
      </c>
      <c r="G2855">
        <v>5</v>
      </c>
      <c r="Q2855" t="s">
        <v>10093</v>
      </c>
    </row>
    <row r="2856" spans="2:17" x14ac:dyDescent="0.2">
      <c r="B2856" s="6" t="s">
        <v>3446</v>
      </c>
      <c r="C2856">
        <v>4</v>
      </c>
      <c r="D2856" s="6" t="s">
        <v>3462</v>
      </c>
      <c r="E2856" s="8" t="s">
        <v>3663</v>
      </c>
      <c r="F2856" t="s">
        <v>1389</v>
      </c>
      <c r="G2856">
        <v>11</v>
      </c>
      <c r="Q2856" t="s">
        <v>10094</v>
      </c>
    </row>
    <row r="2857" spans="2:17" x14ac:dyDescent="0.2">
      <c r="B2857" s="6" t="s">
        <v>3446</v>
      </c>
      <c r="C2857">
        <v>4</v>
      </c>
      <c r="D2857" s="6" t="s">
        <v>3462</v>
      </c>
      <c r="E2857" s="8" t="s">
        <v>3664</v>
      </c>
      <c r="F2857" t="s">
        <v>1389</v>
      </c>
      <c r="G2857" t="s">
        <v>114</v>
      </c>
      <c r="Q2857" t="s">
        <v>10095</v>
      </c>
    </row>
    <row r="2858" spans="2:17" x14ac:dyDescent="0.2">
      <c r="B2858" s="6" t="s">
        <v>3446</v>
      </c>
      <c r="C2858">
        <v>4</v>
      </c>
      <c r="D2858" s="6" t="s">
        <v>3462</v>
      </c>
      <c r="E2858" s="8" t="s">
        <v>3665</v>
      </c>
      <c r="F2858" t="s">
        <v>1389</v>
      </c>
      <c r="G2858">
        <v>1</v>
      </c>
      <c r="Q2858" t="s">
        <v>10096</v>
      </c>
    </row>
    <row r="2859" spans="2:17" x14ac:dyDescent="0.2">
      <c r="B2859" s="6" t="s">
        <v>3446</v>
      </c>
      <c r="C2859">
        <v>4</v>
      </c>
      <c r="D2859" s="6" t="s">
        <v>3462</v>
      </c>
      <c r="E2859" s="8" t="s">
        <v>3666</v>
      </c>
      <c r="F2859" t="s">
        <v>1389</v>
      </c>
      <c r="G2859" t="s">
        <v>114</v>
      </c>
      <c r="M2859">
        <v>2</v>
      </c>
      <c r="Q2859" t="s">
        <v>10097</v>
      </c>
    </row>
    <row r="2860" spans="2:17" x14ac:dyDescent="0.2">
      <c r="B2860" s="6" t="s">
        <v>3446</v>
      </c>
      <c r="C2860">
        <v>4</v>
      </c>
      <c r="D2860" s="6" t="s">
        <v>3462</v>
      </c>
      <c r="E2860" t="s">
        <v>3667</v>
      </c>
      <c r="F2860" t="s">
        <v>2957</v>
      </c>
      <c r="G2860">
        <v>158</v>
      </c>
      <c r="M2860" t="s">
        <v>802</v>
      </c>
    </row>
    <row r="2861" spans="2:17" x14ac:dyDescent="0.2">
      <c r="B2861" s="6" t="s">
        <v>3446</v>
      </c>
      <c r="C2861">
        <v>4</v>
      </c>
      <c r="D2861" s="6" t="s">
        <v>3462</v>
      </c>
      <c r="E2861" s="8" t="s">
        <v>3668</v>
      </c>
      <c r="F2861" t="s">
        <v>3183</v>
      </c>
      <c r="G2861">
        <v>60</v>
      </c>
      <c r="M2861" t="s">
        <v>802</v>
      </c>
    </row>
    <row r="2862" spans="2:17" x14ac:dyDescent="0.2">
      <c r="B2862" s="6" t="s">
        <v>3446</v>
      </c>
      <c r="C2862">
        <v>4</v>
      </c>
      <c r="D2862" s="6" t="s">
        <v>3462</v>
      </c>
      <c r="E2862" t="s">
        <v>3669</v>
      </c>
      <c r="F2862" t="s">
        <v>1458</v>
      </c>
      <c r="G2862">
        <v>8</v>
      </c>
      <c r="M2862" t="s">
        <v>802</v>
      </c>
    </row>
    <row r="2863" spans="2:17" x14ac:dyDescent="0.2">
      <c r="B2863" s="6" t="s">
        <v>3446</v>
      </c>
      <c r="C2863">
        <v>4</v>
      </c>
      <c r="D2863" s="6" t="s">
        <v>3462</v>
      </c>
      <c r="E2863" t="s">
        <v>3670</v>
      </c>
      <c r="F2863" t="s">
        <v>7138</v>
      </c>
      <c r="G2863">
        <v>5</v>
      </c>
      <c r="M2863">
        <v>5</v>
      </c>
      <c r="Q2863" t="s">
        <v>10098</v>
      </c>
    </row>
    <row r="2864" spans="2:17" x14ac:dyDescent="0.2">
      <c r="B2864" s="6" t="s">
        <v>3446</v>
      </c>
      <c r="C2864">
        <v>4</v>
      </c>
      <c r="D2864" s="6" t="s">
        <v>3462</v>
      </c>
      <c r="E2864" t="s">
        <v>3671</v>
      </c>
      <c r="F2864" t="s">
        <v>106</v>
      </c>
      <c r="G2864">
        <v>3</v>
      </c>
      <c r="M2864" t="s">
        <v>802</v>
      </c>
    </row>
    <row r="2865" spans="2:17" x14ac:dyDescent="0.2">
      <c r="B2865" s="6" t="s">
        <v>3446</v>
      </c>
      <c r="C2865">
        <v>6</v>
      </c>
      <c r="D2865" s="6" t="s">
        <v>3462</v>
      </c>
      <c r="E2865" s="8" t="s">
        <v>3672</v>
      </c>
      <c r="F2865" s="6" t="s">
        <v>5995</v>
      </c>
      <c r="G2865">
        <v>44</v>
      </c>
      <c r="Q2865" t="s">
        <v>6119</v>
      </c>
    </row>
    <row r="2866" spans="2:17" x14ac:dyDescent="0.2">
      <c r="B2866" s="6" t="s">
        <v>3446</v>
      </c>
      <c r="C2866">
        <v>6</v>
      </c>
      <c r="D2866" s="6" t="s">
        <v>3462</v>
      </c>
      <c r="E2866" s="8" t="s">
        <v>3673</v>
      </c>
      <c r="F2866" s="6" t="s">
        <v>5995</v>
      </c>
      <c r="G2866" t="s">
        <v>114</v>
      </c>
      <c r="Q2866" t="s">
        <v>6120</v>
      </c>
    </row>
    <row r="2867" spans="2:17" x14ac:dyDescent="0.2">
      <c r="B2867" s="6" t="s">
        <v>3446</v>
      </c>
      <c r="C2867">
        <v>6</v>
      </c>
      <c r="D2867" s="6" t="s">
        <v>3462</v>
      </c>
      <c r="E2867" s="8" t="s">
        <v>3674</v>
      </c>
      <c r="F2867" s="6" t="s">
        <v>5995</v>
      </c>
      <c r="G2867">
        <v>2</v>
      </c>
      <c r="Q2867" t="s">
        <v>6121</v>
      </c>
    </row>
    <row r="2868" spans="2:17" x14ac:dyDescent="0.2">
      <c r="B2868" s="6" t="s">
        <v>3446</v>
      </c>
      <c r="C2868">
        <v>6</v>
      </c>
      <c r="D2868" s="6" t="s">
        <v>3462</v>
      </c>
      <c r="E2868" s="8" t="s">
        <v>3675</v>
      </c>
      <c r="F2868" s="6" t="s">
        <v>5995</v>
      </c>
      <c r="G2868">
        <v>9</v>
      </c>
      <c r="Q2868" t="s">
        <v>6122</v>
      </c>
    </row>
    <row r="2869" spans="2:17" x14ac:dyDescent="0.2">
      <c r="B2869" s="6" t="s">
        <v>3446</v>
      </c>
      <c r="C2869">
        <v>6</v>
      </c>
      <c r="D2869" s="6" t="s">
        <v>3462</v>
      </c>
      <c r="E2869" s="8" t="s">
        <v>3676</v>
      </c>
      <c r="F2869" s="6" t="s">
        <v>5995</v>
      </c>
      <c r="G2869">
        <v>4</v>
      </c>
      <c r="Q2869" t="s">
        <v>6123</v>
      </c>
    </row>
    <row r="2870" spans="2:17" x14ac:dyDescent="0.2">
      <c r="B2870" s="6" t="s">
        <v>3446</v>
      </c>
      <c r="C2870">
        <v>6</v>
      </c>
      <c r="D2870" s="6" t="s">
        <v>3462</v>
      </c>
      <c r="E2870" s="8" t="s">
        <v>3677</v>
      </c>
      <c r="F2870" s="6" t="s">
        <v>5995</v>
      </c>
      <c r="G2870">
        <v>8</v>
      </c>
      <c r="M2870">
        <v>5</v>
      </c>
    </row>
    <row r="2871" spans="2:17" x14ac:dyDescent="0.2">
      <c r="B2871" s="6" t="s">
        <v>3446</v>
      </c>
      <c r="C2871">
        <v>6</v>
      </c>
      <c r="D2871" s="6" t="s">
        <v>3462</v>
      </c>
      <c r="E2871" s="8" t="s">
        <v>3678</v>
      </c>
      <c r="F2871" t="s">
        <v>698</v>
      </c>
      <c r="G2871">
        <v>3</v>
      </c>
      <c r="M2871">
        <v>6</v>
      </c>
      <c r="Q2871" t="s">
        <v>10099</v>
      </c>
    </row>
    <row r="2872" spans="2:17" x14ac:dyDescent="0.2">
      <c r="B2872" s="6" t="s">
        <v>3446</v>
      </c>
      <c r="C2872">
        <v>6</v>
      </c>
      <c r="D2872" s="6" t="s">
        <v>3462</v>
      </c>
      <c r="E2872" s="8" t="s">
        <v>3679</v>
      </c>
      <c r="F2872" t="s">
        <v>1389</v>
      </c>
      <c r="G2872">
        <v>1</v>
      </c>
      <c r="Q2872" t="s">
        <v>10100</v>
      </c>
    </row>
    <row r="2873" spans="2:17" x14ac:dyDescent="0.2">
      <c r="B2873" s="6" t="s">
        <v>3446</v>
      </c>
      <c r="C2873">
        <v>6</v>
      </c>
      <c r="D2873" s="6" t="s">
        <v>3462</v>
      </c>
      <c r="E2873" s="8" t="s">
        <v>3680</v>
      </c>
      <c r="F2873" t="s">
        <v>1389</v>
      </c>
      <c r="G2873">
        <v>2</v>
      </c>
      <c r="Q2873" t="s">
        <v>10101</v>
      </c>
    </row>
    <row r="2874" spans="2:17" x14ac:dyDescent="0.2">
      <c r="B2874" s="6" t="s">
        <v>3446</v>
      </c>
      <c r="C2874">
        <v>6</v>
      </c>
      <c r="D2874" s="6" t="s">
        <v>3462</v>
      </c>
      <c r="E2874" s="8" t="s">
        <v>3681</v>
      </c>
      <c r="F2874" t="s">
        <v>1389</v>
      </c>
      <c r="G2874">
        <v>1</v>
      </c>
      <c r="Q2874" t="s">
        <v>10102</v>
      </c>
    </row>
    <row r="2875" spans="2:17" x14ac:dyDescent="0.2">
      <c r="B2875" s="6" t="s">
        <v>3446</v>
      </c>
      <c r="C2875">
        <v>6</v>
      </c>
      <c r="D2875" s="6" t="s">
        <v>3462</v>
      </c>
      <c r="E2875" s="8" t="s">
        <v>3682</v>
      </c>
      <c r="F2875" t="s">
        <v>1389</v>
      </c>
      <c r="G2875" t="s">
        <v>114</v>
      </c>
      <c r="Q2875" t="s">
        <v>10103</v>
      </c>
    </row>
    <row r="2876" spans="2:17" x14ac:dyDescent="0.2">
      <c r="B2876" s="6" t="s">
        <v>3446</v>
      </c>
      <c r="C2876">
        <v>6</v>
      </c>
      <c r="D2876" s="6" t="s">
        <v>3462</v>
      </c>
      <c r="E2876" s="8" t="s">
        <v>3683</v>
      </c>
      <c r="F2876" t="s">
        <v>1311</v>
      </c>
      <c r="G2876">
        <v>3</v>
      </c>
      <c r="M2876">
        <v>6</v>
      </c>
      <c r="O2876" t="s">
        <v>3476</v>
      </c>
    </row>
    <row r="2877" spans="2:17" x14ac:dyDescent="0.2">
      <c r="B2877" s="6" t="s">
        <v>3446</v>
      </c>
      <c r="C2877">
        <v>6</v>
      </c>
      <c r="D2877" s="6" t="s">
        <v>3462</v>
      </c>
      <c r="E2877" t="s">
        <v>3684</v>
      </c>
      <c r="F2877" t="s">
        <v>740</v>
      </c>
      <c r="G2877">
        <v>5</v>
      </c>
    </row>
    <row r="2878" spans="2:17" x14ac:dyDescent="0.2">
      <c r="B2878" s="6" t="s">
        <v>3446</v>
      </c>
      <c r="C2878">
        <v>6</v>
      </c>
      <c r="D2878" s="6" t="s">
        <v>3462</v>
      </c>
      <c r="E2878" t="s">
        <v>3685</v>
      </c>
      <c r="F2878" t="s">
        <v>112</v>
      </c>
      <c r="G2878">
        <v>5</v>
      </c>
      <c r="O2878" t="s">
        <v>1494</v>
      </c>
    </row>
    <row r="2879" spans="2:17" x14ac:dyDescent="0.2">
      <c r="B2879" s="6" t="s">
        <v>3446</v>
      </c>
      <c r="C2879">
        <v>6</v>
      </c>
      <c r="D2879" s="6" t="s">
        <v>3462</v>
      </c>
      <c r="E2879" t="s">
        <v>3686</v>
      </c>
      <c r="F2879" t="s">
        <v>9908</v>
      </c>
      <c r="G2879">
        <v>1</v>
      </c>
      <c r="M2879">
        <v>2</v>
      </c>
      <c r="Q2879" t="s">
        <v>10104</v>
      </c>
    </row>
    <row r="2880" spans="2:17" x14ac:dyDescent="0.2">
      <c r="B2880" s="6" t="s">
        <v>3446</v>
      </c>
      <c r="C2880">
        <v>6</v>
      </c>
      <c r="D2880" s="6" t="s">
        <v>3462</v>
      </c>
      <c r="E2880" t="s">
        <v>3687</v>
      </c>
      <c r="F2880" t="s">
        <v>6933</v>
      </c>
      <c r="G2880">
        <v>51</v>
      </c>
      <c r="Q2880" t="s">
        <v>10105</v>
      </c>
    </row>
    <row r="2881" spans="2:17" x14ac:dyDescent="0.2">
      <c r="B2881" s="6" t="s">
        <v>3446</v>
      </c>
      <c r="C2881">
        <v>6</v>
      </c>
      <c r="D2881" s="6" t="s">
        <v>3462</v>
      </c>
      <c r="E2881" t="s">
        <v>3688</v>
      </c>
      <c r="F2881" t="s">
        <v>1264</v>
      </c>
      <c r="H2881">
        <f>4.8-0.261</f>
        <v>4.5389999999999997</v>
      </c>
      <c r="O2881" t="s">
        <v>3475</v>
      </c>
    </row>
    <row r="2882" spans="2:17" x14ac:dyDescent="0.2">
      <c r="B2882" s="6" t="s">
        <v>3446</v>
      </c>
      <c r="C2882">
        <v>6</v>
      </c>
      <c r="D2882" s="6" t="s">
        <v>3462</v>
      </c>
      <c r="E2882" t="s">
        <v>3689</v>
      </c>
      <c r="F2882" t="s">
        <v>6933</v>
      </c>
      <c r="G2882">
        <v>43</v>
      </c>
      <c r="Q2882" t="s">
        <v>10106</v>
      </c>
    </row>
    <row r="2883" spans="2:17" x14ac:dyDescent="0.2">
      <c r="B2883" s="6" t="s">
        <v>3446</v>
      </c>
      <c r="C2883">
        <v>6</v>
      </c>
      <c r="D2883" s="6" t="s">
        <v>3462</v>
      </c>
      <c r="E2883" t="s">
        <v>3690</v>
      </c>
      <c r="F2883" t="s">
        <v>121</v>
      </c>
      <c r="G2883">
        <v>15</v>
      </c>
    </row>
    <row r="2884" spans="2:17" x14ac:dyDescent="0.2">
      <c r="B2884" s="6" t="s">
        <v>3446</v>
      </c>
      <c r="C2884">
        <v>6</v>
      </c>
      <c r="D2884" s="6" t="s">
        <v>3462</v>
      </c>
      <c r="E2884" t="s">
        <v>3691</v>
      </c>
      <c r="F2884" t="s">
        <v>3429</v>
      </c>
      <c r="G2884">
        <v>3</v>
      </c>
    </row>
    <row r="2885" spans="2:17" x14ac:dyDescent="0.2">
      <c r="B2885" s="6" t="s">
        <v>3446</v>
      </c>
      <c r="C2885">
        <v>6</v>
      </c>
      <c r="D2885" s="6" t="s">
        <v>3462</v>
      </c>
      <c r="E2885" t="s">
        <v>3692</v>
      </c>
      <c r="F2885" t="s">
        <v>3183</v>
      </c>
      <c r="O2885" t="s">
        <v>3474</v>
      </c>
    </row>
    <row r="2886" spans="2:17" x14ac:dyDescent="0.2">
      <c r="B2886" s="6" t="s">
        <v>3446</v>
      </c>
      <c r="C2886">
        <v>6</v>
      </c>
      <c r="D2886" s="6" t="s">
        <v>3462</v>
      </c>
      <c r="E2886" t="s">
        <v>3684</v>
      </c>
      <c r="F2886" t="s">
        <v>3183</v>
      </c>
      <c r="H2886">
        <f>0.185/3</f>
        <v>6.1666666666666668E-2</v>
      </c>
    </row>
    <row r="2887" spans="2:17" x14ac:dyDescent="0.2">
      <c r="B2887" s="6" t="s">
        <v>3446</v>
      </c>
      <c r="C2887">
        <v>6</v>
      </c>
      <c r="D2887" s="6" t="s">
        <v>3462</v>
      </c>
      <c r="E2887" t="s">
        <v>3684</v>
      </c>
      <c r="F2887" t="s">
        <v>3473</v>
      </c>
      <c r="H2887">
        <f>0.185/3</f>
        <v>6.1666666666666668E-2</v>
      </c>
    </row>
    <row r="2888" spans="2:17" x14ac:dyDescent="0.2">
      <c r="B2888" s="6" t="s">
        <v>3446</v>
      </c>
      <c r="C2888">
        <v>6</v>
      </c>
      <c r="D2888" s="6" t="s">
        <v>3462</v>
      </c>
      <c r="E2888" t="s">
        <v>3684</v>
      </c>
      <c r="F2888" t="s">
        <v>3184</v>
      </c>
      <c r="H2888">
        <f>0.185/3</f>
        <v>6.1666666666666668E-2</v>
      </c>
    </row>
    <row r="2889" spans="2:17" x14ac:dyDescent="0.2">
      <c r="B2889" s="6" t="s">
        <v>3446</v>
      </c>
      <c r="C2889">
        <v>6</v>
      </c>
      <c r="D2889" s="6" t="s">
        <v>3462</v>
      </c>
      <c r="E2889" t="s">
        <v>3693</v>
      </c>
      <c r="F2889" t="s">
        <v>6231</v>
      </c>
      <c r="G2889">
        <v>22</v>
      </c>
      <c r="Q2889" t="s">
        <v>10114</v>
      </c>
    </row>
    <row r="2890" spans="2:17" x14ac:dyDescent="0.2">
      <c r="B2890" s="6" t="s">
        <v>3446</v>
      </c>
      <c r="C2890">
        <v>6</v>
      </c>
      <c r="D2890" s="6" t="s">
        <v>3462</v>
      </c>
      <c r="E2890" t="s">
        <v>3694</v>
      </c>
      <c r="F2890" t="s">
        <v>1425</v>
      </c>
      <c r="G2890">
        <v>4</v>
      </c>
      <c r="Q2890" t="s">
        <v>10113</v>
      </c>
    </row>
    <row r="2891" spans="2:17" x14ac:dyDescent="0.2">
      <c r="B2891" s="6" t="s">
        <v>3446</v>
      </c>
      <c r="C2891">
        <v>6</v>
      </c>
      <c r="D2891" s="6" t="s">
        <v>3462</v>
      </c>
      <c r="E2891" t="s">
        <v>3695</v>
      </c>
      <c r="F2891" t="s">
        <v>1538</v>
      </c>
      <c r="G2891">
        <v>27</v>
      </c>
      <c r="Q2891" t="s">
        <v>10107</v>
      </c>
    </row>
    <row r="2892" spans="2:17" x14ac:dyDescent="0.2">
      <c r="B2892" s="6" t="s">
        <v>3446</v>
      </c>
      <c r="C2892">
        <v>6</v>
      </c>
      <c r="D2892" s="6" t="s">
        <v>3462</v>
      </c>
      <c r="E2892" t="s">
        <v>3696</v>
      </c>
      <c r="F2892" t="s">
        <v>1538</v>
      </c>
      <c r="G2892">
        <v>10</v>
      </c>
      <c r="Q2892" t="s">
        <v>10108</v>
      </c>
    </row>
    <row r="2893" spans="2:17" x14ac:dyDescent="0.2">
      <c r="B2893" s="6" t="s">
        <v>3446</v>
      </c>
      <c r="C2893">
        <v>6</v>
      </c>
      <c r="D2893" s="6" t="s">
        <v>3462</v>
      </c>
      <c r="E2893" t="s">
        <v>3697</v>
      </c>
      <c r="F2893" t="s">
        <v>1538</v>
      </c>
      <c r="G2893">
        <v>5</v>
      </c>
      <c r="Q2893" t="s">
        <v>10109</v>
      </c>
    </row>
    <row r="2894" spans="2:17" x14ac:dyDescent="0.2">
      <c r="B2894" s="6" t="s">
        <v>3446</v>
      </c>
      <c r="C2894">
        <v>6</v>
      </c>
      <c r="D2894" s="6" t="s">
        <v>3462</v>
      </c>
      <c r="E2894" t="s">
        <v>3698</v>
      </c>
      <c r="F2894" t="s">
        <v>1538</v>
      </c>
      <c r="G2894">
        <v>2</v>
      </c>
      <c r="Q2894" t="s">
        <v>10110</v>
      </c>
    </row>
    <row r="2895" spans="2:17" x14ac:dyDescent="0.2">
      <c r="B2895" s="6" t="s">
        <v>3446</v>
      </c>
      <c r="C2895">
        <v>6</v>
      </c>
      <c r="D2895" s="6" t="s">
        <v>3462</v>
      </c>
      <c r="E2895" t="s">
        <v>3699</v>
      </c>
      <c r="F2895" t="s">
        <v>1538</v>
      </c>
      <c r="G2895">
        <v>17</v>
      </c>
      <c r="Q2895" t="s">
        <v>10111</v>
      </c>
    </row>
    <row r="2896" spans="2:17" x14ac:dyDescent="0.2">
      <c r="B2896" s="6" t="s">
        <v>3446</v>
      </c>
      <c r="C2896">
        <v>6</v>
      </c>
      <c r="D2896" s="6" t="s">
        <v>3462</v>
      </c>
      <c r="E2896" t="s">
        <v>3700</v>
      </c>
      <c r="F2896" t="s">
        <v>1538</v>
      </c>
      <c r="G2896">
        <v>7</v>
      </c>
      <c r="Q2896" t="s">
        <v>10112</v>
      </c>
    </row>
    <row r="2897" spans="2:17" x14ac:dyDescent="0.2">
      <c r="B2897" s="6" t="s">
        <v>3446</v>
      </c>
      <c r="C2897">
        <v>6</v>
      </c>
      <c r="D2897" s="6" t="s">
        <v>3462</v>
      </c>
      <c r="E2897" t="s">
        <v>3701</v>
      </c>
      <c r="F2897" t="s">
        <v>1538</v>
      </c>
      <c r="G2897">
        <v>3</v>
      </c>
      <c r="Q2897" t="s">
        <v>10115</v>
      </c>
    </row>
    <row r="2898" spans="2:17" x14ac:dyDescent="0.2">
      <c r="B2898" s="6" t="s">
        <v>3446</v>
      </c>
      <c r="C2898">
        <v>6</v>
      </c>
      <c r="D2898" s="6" t="s">
        <v>3462</v>
      </c>
      <c r="E2898" t="s">
        <v>3702</v>
      </c>
      <c r="F2898" t="s">
        <v>1538</v>
      </c>
      <c r="G2898">
        <v>1</v>
      </c>
      <c r="Q2898" t="s">
        <v>10116</v>
      </c>
    </row>
    <row r="2899" spans="2:17" x14ac:dyDescent="0.2">
      <c r="B2899" s="6" t="s">
        <v>3446</v>
      </c>
      <c r="C2899">
        <v>6</v>
      </c>
      <c r="D2899" s="6" t="s">
        <v>3462</v>
      </c>
      <c r="E2899" t="s">
        <v>3703</v>
      </c>
      <c r="F2899" t="s">
        <v>1538</v>
      </c>
      <c r="G2899">
        <v>1</v>
      </c>
      <c r="Q2899" t="s">
        <v>10117</v>
      </c>
    </row>
    <row r="2900" spans="2:17" x14ac:dyDescent="0.2">
      <c r="B2900" s="6" t="s">
        <v>3446</v>
      </c>
      <c r="C2900">
        <v>6</v>
      </c>
      <c r="D2900" s="6" t="s">
        <v>3462</v>
      </c>
      <c r="E2900" t="s">
        <v>3704</v>
      </c>
      <c r="F2900" t="s">
        <v>1538</v>
      </c>
      <c r="G2900" t="s">
        <v>114</v>
      </c>
      <c r="Q2900" t="s">
        <v>10118</v>
      </c>
    </row>
    <row r="2901" spans="2:17" x14ac:dyDescent="0.2">
      <c r="B2901" s="6" t="s">
        <v>3446</v>
      </c>
      <c r="C2901">
        <v>6</v>
      </c>
      <c r="D2901" s="6" t="s">
        <v>3462</v>
      </c>
      <c r="E2901" t="s">
        <v>3705</v>
      </c>
      <c r="F2901" t="s">
        <v>1538</v>
      </c>
      <c r="G2901" t="s">
        <v>114</v>
      </c>
      <c r="Q2901" t="s">
        <v>10119</v>
      </c>
    </row>
    <row r="2902" spans="2:17" x14ac:dyDescent="0.2">
      <c r="B2902" s="6" t="s">
        <v>3446</v>
      </c>
      <c r="C2902">
        <v>6</v>
      </c>
      <c r="D2902" s="6" t="s">
        <v>3462</v>
      </c>
      <c r="E2902" t="s">
        <v>3706</v>
      </c>
      <c r="F2902" t="s">
        <v>1538</v>
      </c>
      <c r="G2902">
        <v>6</v>
      </c>
      <c r="M2902">
        <v>5</v>
      </c>
    </row>
    <row r="2903" spans="2:17" x14ac:dyDescent="0.2">
      <c r="B2903" s="6" t="s">
        <v>3446</v>
      </c>
      <c r="C2903">
        <v>6</v>
      </c>
      <c r="D2903" s="6" t="s">
        <v>3462</v>
      </c>
      <c r="E2903" t="s">
        <v>3684</v>
      </c>
      <c r="F2903" t="s">
        <v>1538</v>
      </c>
      <c r="G2903">
        <v>3</v>
      </c>
    </row>
    <row r="2904" spans="2:17" x14ac:dyDescent="0.2">
      <c r="B2904" s="6" t="s">
        <v>3446</v>
      </c>
      <c r="C2904">
        <v>1</v>
      </c>
      <c r="D2904" s="6" t="s">
        <v>3462</v>
      </c>
      <c r="E2904" t="s">
        <v>3707</v>
      </c>
      <c r="F2904" s="6" t="s">
        <v>1264</v>
      </c>
      <c r="H2904">
        <f>37.1-1.8</f>
        <v>35.300000000000004</v>
      </c>
    </row>
    <row r="2905" spans="2:17" x14ac:dyDescent="0.2">
      <c r="B2905" s="6" t="s">
        <v>3446</v>
      </c>
      <c r="C2905">
        <v>1</v>
      </c>
      <c r="D2905" s="6" t="s">
        <v>3462</v>
      </c>
      <c r="E2905" t="s">
        <v>3707</v>
      </c>
      <c r="F2905" s="6" t="s">
        <v>740</v>
      </c>
      <c r="H2905">
        <f>2.665-0.4</f>
        <v>2.2650000000000001</v>
      </c>
    </row>
    <row r="2906" spans="2:17" x14ac:dyDescent="0.2">
      <c r="B2906" s="6" t="s">
        <v>3446</v>
      </c>
      <c r="C2906">
        <v>1</v>
      </c>
      <c r="D2906" s="6" t="s">
        <v>3462</v>
      </c>
      <c r="E2906" t="s">
        <v>3707</v>
      </c>
      <c r="F2906" s="6" t="s">
        <v>3477</v>
      </c>
      <c r="H2906">
        <f>2.1-0.311</f>
        <v>1.7890000000000001</v>
      </c>
    </row>
    <row r="2907" spans="2:17" x14ac:dyDescent="0.2">
      <c r="B2907" s="6" t="s">
        <v>3446</v>
      </c>
      <c r="C2907">
        <v>1</v>
      </c>
      <c r="D2907" s="6" t="s">
        <v>3462</v>
      </c>
      <c r="E2907" s="8" t="s">
        <v>3708</v>
      </c>
      <c r="F2907" s="6" t="s">
        <v>6331</v>
      </c>
      <c r="G2907">
        <v>35</v>
      </c>
      <c r="O2907" t="s">
        <v>3479</v>
      </c>
      <c r="Q2907" t="s">
        <v>10120</v>
      </c>
    </row>
    <row r="2908" spans="2:17" x14ac:dyDescent="0.2">
      <c r="B2908" s="6" t="s">
        <v>3446</v>
      </c>
      <c r="C2908">
        <v>1</v>
      </c>
      <c r="D2908" s="6" t="s">
        <v>3462</v>
      </c>
      <c r="E2908" s="8" t="s">
        <v>3709</v>
      </c>
      <c r="F2908" s="6" t="s">
        <v>6379</v>
      </c>
      <c r="G2908">
        <v>14</v>
      </c>
      <c r="O2908" t="s">
        <v>3478</v>
      </c>
      <c r="Q2908" t="s">
        <v>10121</v>
      </c>
    </row>
    <row r="2909" spans="2:17" x14ac:dyDescent="0.2">
      <c r="B2909" s="6" t="s">
        <v>3446</v>
      </c>
      <c r="C2909">
        <v>1</v>
      </c>
      <c r="D2909" s="6" t="s">
        <v>3462</v>
      </c>
      <c r="E2909" s="8" t="s">
        <v>3710</v>
      </c>
      <c r="F2909" s="6" t="s">
        <v>1425</v>
      </c>
      <c r="G2909">
        <v>14</v>
      </c>
      <c r="O2909" t="s">
        <v>3464</v>
      </c>
      <c r="Q2909" t="s">
        <v>10122</v>
      </c>
    </row>
    <row r="2910" spans="2:17" x14ac:dyDescent="0.2">
      <c r="B2910" s="6" t="s">
        <v>3447</v>
      </c>
      <c r="C2910">
        <v>2</v>
      </c>
      <c r="D2910" s="6" t="s">
        <v>3480</v>
      </c>
      <c r="E2910" s="8" t="s">
        <v>3711</v>
      </c>
      <c r="F2910" s="6" t="s">
        <v>1538</v>
      </c>
      <c r="H2910">
        <f>0.073-0.008</f>
        <v>6.5000000000000002E-2</v>
      </c>
      <c r="Q2910" t="s">
        <v>10123</v>
      </c>
    </row>
    <row r="2911" spans="2:17" x14ac:dyDescent="0.2">
      <c r="B2911" s="6" t="s">
        <v>3447</v>
      </c>
      <c r="C2911">
        <v>2</v>
      </c>
      <c r="D2911" s="6" t="s">
        <v>3480</v>
      </c>
      <c r="E2911" s="8" t="s">
        <v>3712</v>
      </c>
      <c r="F2911" s="6" t="s">
        <v>1538</v>
      </c>
      <c r="G2911">
        <v>36</v>
      </c>
      <c r="Q2911" t="s">
        <v>10124</v>
      </c>
    </row>
    <row r="2912" spans="2:17" x14ac:dyDescent="0.2">
      <c r="B2912" s="6" t="s">
        <v>3447</v>
      </c>
      <c r="C2912">
        <v>2</v>
      </c>
      <c r="D2912" s="6" t="s">
        <v>3480</v>
      </c>
      <c r="E2912" s="8" t="s">
        <v>3713</v>
      </c>
      <c r="F2912" s="6" t="s">
        <v>1538</v>
      </c>
      <c r="G2912">
        <v>6</v>
      </c>
      <c r="Q2912" t="s">
        <v>10125</v>
      </c>
    </row>
    <row r="2913" spans="2:17" x14ac:dyDescent="0.2">
      <c r="B2913" s="6" t="s">
        <v>3447</v>
      </c>
      <c r="C2913">
        <v>2</v>
      </c>
      <c r="D2913" s="6" t="s">
        <v>3480</v>
      </c>
      <c r="E2913" s="8" t="s">
        <v>3714</v>
      </c>
      <c r="F2913" s="6" t="s">
        <v>1538</v>
      </c>
      <c r="G2913">
        <v>12</v>
      </c>
      <c r="Q2913" t="s">
        <v>10126</v>
      </c>
    </row>
    <row r="2914" spans="2:17" x14ac:dyDescent="0.2">
      <c r="B2914" s="6" t="s">
        <v>3447</v>
      </c>
      <c r="C2914">
        <v>2</v>
      </c>
      <c r="D2914" s="6" t="s">
        <v>3480</v>
      </c>
      <c r="E2914" s="8" t="s">
        <v>3715</v>
      </c>
      <c r="F2914" s="6" t="s">
        <v>1538</v>
      </c>
      <c r="G2914">
        <v>5</v>
      </c>
      <c r="Q2914" t="s">
        <v>10127</v>
      </c>
    </row>
    <row r="2915" spans="2:17" x14ac:dyDescent="0.2">
      <c r="B2915" s="6" t="s">
        <v>3447</v>
      </c>
      <c r="C2915">
        <v>2</v>
      </c>
      <c r="D2915" s="6" t="s">
        <v>3480</v>
      </c>
      <c r="E2915" s="8" t="s">
        <v>3716</v>
      </c>
      <c r="F2915" s="6" t="s">
        <v>1538</v>
      </c>
      <c r="G2915">
        <v>10</v>
      </c>
      <c r="Q2915" t="s">
        <v>10128</v>
      </c>
    </row>
    <row r="2916" spans="2:17" x14ac:dyDescent="0.2">
      <c r="B2916" s="6" t="s">
        <v>3447</v>
      </c>
      <c r="C2916">
        <v>2</v>
      </c>
      <c r="D2916" s="6" t="s">
        <v>3480</v>
      </c>
      <c r="E2916" s="8" t="s">
        <v>3717</v>
      </c>
      <c r="F2916" s="6" t="s">
        <v>1538</v>
      </c>
      <c r="G2916">
        <v>139</v>
      </c>
      <c r="M2916">
        <v>5</v>
      </c>
    </row>
    <row r="2917" spans="2:17" x14ac:dyDescent="0.2">
      <c r="B2917" s="6" t="s">
        <v>3447</v>
      </c>
      <c r="C2917">
        <v>2</v>
      </c>
      <c r="D2917" s="6" t="s">
        <v>3480</v>
      </c>
      <c r="E2917" t="s">
        <v>3718</v>
      </c>
      <c r="F2917" s="6" t="s">
        <v>1538</v>
      </c>
      <c r="G2917">
        <v>85</v>
      </c>
      <c r="M2917" t="s">
        <v>802</v>
      </c>
    </row>
    <row r="2918" spans="2:17" x14ac:dyDescent="0.2">
      <c r="B2918" s="6" t="s">
        <v>3447</v>
      </c>
      <c r="C2918">
        <v>2</v>
      </c>
      <c r="D2918" s="6" t="s">
        <v>3480</v>
      </c>
      <c r="E2918" s="8" t="s">
        <v>3719</v>
      </c>
      <c r="F2918" s="6" t="s">
        <v>1264</v>
      </c>
      <c r="H2918">
        <f>4-0.261</f>
        <v>3.7389999999999999</v>
      </c>
      <c r="O2918" t="s">
        <v>3483</v>
      </c>
    </row>
    <row r="2919" spans="2:17" x14ac:dyDescent="0.2">
      <c r="B2919" s="6" t="s">
        <v>3447</v>
      </c>
      <c r="C2919">
        <v>2</v>
      </c>
      <c r="D2919" s="6" t="s">
        <v>3480</v>
      </c>
      <c r="E2919" t="s">
        <v>3720</v>
      </c>
      <c r="F2919" s="6" t="s">
        <v>810</v>
      </c>
      <c r="G2919">
        <v>13</v>
      </c>
    </row>
    <row r="2920" spans="2:17" x14ac:dyDescent="0.2">
      <c r="B2920" s="6" t="s">
        <v>3447</v>
      </c>
      <c r="C2920">
        <v>2</v>
      </c>
      <c r="D2920" s="6" t="s">
        <v>3480</v>
      </c>
      <c r="E2920" t="s">
        <v>3721</v>
      </c>
      <c r="F2920" s="6" t="s">
        <v>121</v>
      </c>
      <c r="G2920">
        <v>22</v>
      </c>
    </row>
    <row r="2921" spans="2:17" x14ac:dyDescent="0.2">
      <c r="B2921" s="6" t="s">
        <v>3447</v>
      </c>
      <c r="C2921">
        <v>2</v>
      </c>
      <c r="D2921" s="6" t="s">
        <v>3480</v>
      </c>
      <c r="E2921" s="8" t="s">
        <v>3722</v>
      </c>
      <c r="F2921" s="6" t="s">
        <v>504</v>
      </c>
      <c r="H2921">
        <f>1.454-0.295</f>
        <v>1.159</v>
      </c>
      <c r="O2921" t="s">
        <v>3482</v>
      </c>
    </row>
    <row r="2922" spans="2:17" x14ac:dyDescent="0.2">
      <c r="B2922" s="6" t="s">
        <v>3447</v>
      </c>
      <c r="C2922">
        <v>2</v>
      </c>
      <c r="D2922" s="6" t="s">
        <v>3480</v>
      </c>
      <c r="E2922" t="s">
        <v>3723</v>
      </c>
      <c r="F2922" s="6" t="s">
        <v>7138</v>
      </c>
      <c r="G2922">
        <v>7</v>
      </c>
      <c r="M2922">
        <v>2</v>
      </c>
      <c r="Q2922" t="s">
        <v>10129</v>
      </c>
    </row>
    <row r="2923" spans="2:17" x14ac:dyDescent="0.2">
      <c r="B2923" s="6" t="s">
        <v>3447</v>
      </c>
      <c r="C2923">
        <v>2</v>
      </c>
      <c r="D2923" s="6" t="s">
        <v>3480</v>
      </c>
      <c r="E2923" t="s">
        <v>3724</v>
      </c>
      <c r="F2923" s="6" t="s">
        <v>3431</v>
      </c>
      <c r="G2923">
        <v>5</v>
      </c>
      <c r="M2923">
        <v>5</v>
      </c>
    </row>
    <row r="2924" spans="2:17" x14ac:dyDescent="0.2">
      <c r="B2924" s="6" t="s">
        <v>3447</v>
      </c>
      <c r="C2924">
        <v>2</v>
      </c>
      <c r="D2924" s="6" t="s">
        <v>3480</v>
      </c>
      <c r="E2924" t="s">
        <v>3725</v>
      </c>
      <c r="F2924" s="6" t="s">
        <v>3183</v>
      </c>
      <c r="G2924">
        <v>43</v>
      </c>
    </row>
    <row r="2925" spans="2:17" x14ac:dyDescent="0.2">
      <c r="B2925" s="6" t="s">
        <v>3447</v>
      </c>
      <c r="C2925">
        <v>2</v>
      </c>
      <c r="D2925" s="6" t="s">
        <v>3480</v>
      </c>
      <c r="E2925" t="s">
        <v>3726</v>
      </c>
      <c r="F2925" s="6" t="s">
        <v>5869</v>
      </c>
      <c r="G2925">
        <v>50</v>
      </c>
      <c r="Q2925" t="s">
        <v>6125</v>
      </c>
    </row>
    <row r="2926" spans="2:17" x14ac:dyDescent="0.2">
      <c r="B2926" s="6" t="s">
        <v>3447</v>
      </c>
      <c r="C2926">
        <v>2</v>
      </c>
      <c r="D2926" s="6" t="s">
        <v>3480</v>
      </c>
      <c r="E2926" t="s">
        <v>3727</v>
      </c>
      <c r="F2926" s="6" t="s">
        <v>5869</v>
      </c>
      <c r="G2926">
        <v>42</v>
      </c>
      <c r="O2926" t="s">
        <v>3484</v>
      </c>
      <c r="Q2926" t="s">
        <v>6126</v>
      </c>
    </row>
    <row r="2927" spans="2:17" x14ac:dyDescent="0.2">
      <c r="B2927" s="6" t="s">
        <v>3447</v>
      </c>
      <c r="C2927">
        <v>2</v>
      </c>
      <c r="D2927" s="6" t="s">
        <v>3480</v>
      </c>
      <c r="E2927" t="s">
        <v>3728</v>
      </c>
      <c r="F2927" s="6" t="s">
        <v>106</v>
      </c>
      <c r="G2927">
        <v>1</v>
      </c>
    </row>
    <row r="2928" spans="2:17" x14ac:dyDescent="0.2">
      <c r="B2928" s="6" t="s">
        <v>3447</v>
      </c>
      <c r="C2928">
        <v>2</v>
      </c>
      <c r="D2928" s="6" t="s">
        <v>3480</v>
      </c>
      <c r="E2928" t="s">
        <v>3729</v>
      </c>
      <c r="F2928" t="s">
        <v>9043</v>
      </c>
      <c r="G2928">
        <v>1</v>
      </c>
      <c r="P2928" t="s">
        <v>5999</v>
      </c>
      <c r="Q2928" t="s">
        <v>6124</v>
      </c>
    </row>
    <row r="2929" spans="2:17" x14ac:dyDescent="0.2">
      <c r="B2929" s="6" t="s">
        <v>3447</v>
      </c>
      <c r="C2929">
        <v>2</v>
      </c>
      <c r="D2929" s="6" t="s">
        <v>3480</v>
      </c>
      <c r="E2929" t="s">
        <v>3730</v>
      </c>
      <c r="F2929" s="6" t="s">
        <v>1425</v>
      </c>
      <c r="G2929">
        <v>3</v>
      </c>
      <c r="O2929" t="s">
        <v>3485</v>
      </c>
      <c r="Q2929" t="s">
        <v>10130</v>
      </c>
    </row>
    <row r="2930" spans="2:17" x14ac:dyDescent="0.2">
      <c r="B2930" s="6" t="s">
        <v>3447</v>
      </c>
      <c r="C2930">
        <v>2</v>
      </c>
      <c r="D2930" s="6" t="s">
        <v>3480</v>
      </c>
      <c r="E2930" t="s">
        <v>3731</v>
      </c>
      <c r="F2930" s="6" t="s">
        <v>1425</v>
      </c>
      <c r="G2930">
        <v>16</v>
      </c>
      <c r="Q2930" t="s">
        <v>6126</v>
      </c>
    </row>
    <row r="2931" spans="2:17" x14ac:dyDescent="0.2">
      <c r="B2931" s="6" t="s">
        <v>3447</v>
      </c>
      <c r="C2931">
        <v>2</v>
      </c>
      <c r="D2931" s="6" t="s">
        <v>3480</v>
      </c>
      <c r="E2931" t="s">
        <v>3732</v>
      </c>
      <c r="F2931" s="6" t="s">
        <v>1425</v>
      </c>
      <c r="G2931">
        <v>8</v>
      </c>
      <c r="Q2931" t="s">
        <v>10131</v>
      </c>
    </row>
    <row r="2932" spans="2:17" x14ac:dyDescent="0.2">
      <c r="B2932" s="6" t="s">
        <v>3447</v>
      </c>
      <c r="C2932">
        <v>2</v>
      </c>
      <c r="D2932" s="6" t="s">
        <v>3480</v>
      </c>
      <c r="E2932" t="s">
        <v>3733</v>
      </c>
      <c r="F2932" s="6" t="s">
        <v>1425</v>
      </c>
      <c r="G2932">
        <v>3</v>
      </c>
      <c r="Q2932" t="s">
        <v>10132</v>
      </c>
    </row>
    <row r="2933" spans="2:17" x14ac:dyDescent="0.2">
      <c r="B2933" s="6" t="s">
        <v>3447</v>
      </c>
      <c r="C2933">
        <v>2</v>
      </c>
      <c r="D2933" s="6" t="s">
        <v>3480</v>
      </c>
      <c r="E2933" t="s">
        <v>3734</v>
      </c>
      <c r="F2933" s="6" t="s">
        <v>1425</v>
      </c>
      <c r="G2933">
        <v>4</v>
      </c>
      <c r="Q2933" t="s">
        <v>10133</v>
      </c>
    </row>
    <row r="2934" spans="2:17" x14ac:dyDescent="0.2">
      <c r="B2934" s="6" t="s">
        <v>3447</v>
      </c>
      <c r="C2934">
        <v>2</v>
      </c>
      <c r="D2934" s="6" t="s">
        <v>3480</v>
      </c>
      <c r="E2934" t="s">
        <v>3735</v>
      </c>
      <c r="F2934" s="6" t="s">
        <v>1425</v>
      </c>
      <c r="G2934">
        <v>47</v>
      </c>
      <c r="M2934">
        <v>5</v>
      </c>
    </row>
    <row r="2935" spans="2:17" x14ac:dyDescent="0.2">
      <c r="B2935" s="6" t="s">
        <v>3447</v>
      </c>
      <c r="C2935">
        <v>2</v>
      </c>
      <c r="D2935" s="6" t="s">
        <v>3480</v>
      </c>
      <c r="E2935" t="s">
        <v>3718</v>
      </c>
      <c r="F2935" s="6" t="s">
        <v>1425</v>
      </c>
      <c r="G2935">
        <v>64</v>
      </c>
      <c r="M2935" t="s">
        <v>802</v>
      </c>
    </row>
    <row r="2936" spans="2:17" x14ac:dyDescent="0.2">
      <c r="B2936" s="6" t="s">
        <v>3447</v>
      </c>
      <c r="C2936">
        <v>2</v>
      </c>
      <c r="D2936" s="6" t="s">
        <v>3480</v>
      </c>
      <c r="E2936" t="s">
        <v>3724</v>
      </c>
      <c r="F2936" s="6" t="s">
        <v>1425</v>
      </c>
      <c r="G2936">
        <v>33</v>
      </c>
      <c r="Q2936" t="s">
        <v>10141</v>
      </c>
    </row>
    <row r="2937" spans="2:17" x14ac:dyDescent="0.2">
      <c r="B2937" s="6" t="s">
        <v>3447</v>
      </c>
      <c r="C2937">
        <v>2</v>
      </c>
      <c r="D2937" s="6" t="s">
        <v>3480</v>
      </c>
      <c r="E2937" t="s">
        <v>3725</v>
      </c>
      <c r="F2937" s="6" t="s">
        <v>1425</v>
      </c>
      <c r="G2937">
        <v>30</v>
      </c>
      <c r="Q2937" t="s">
        <v>10142</v>
      </c>
    </row>
    <row r="2938" spans="2:17" x14ac:dyDescent="0.2">
      <c r="B2938" s="6" t="s">
        <v>3447</v>
      </c>
      <c r="C2938">
        <v>2</v>
      </c>
      <c r="D2938" s="6" t="s">
        <v>3480</v>
      </c>
      <c r="E2938" t="s">
        <v>3721</v>
      </c>
      <c r="F2938" s="6" t="s">
        <v>6239</v>
      </c>
      <c r="G2938">
        <v>1</v>
      </c>
      <c r="Q2938" t="s">
        <v>10140</v>
      </c>
    </row>
    <row r="2939" spans="2:17" x14ac:dyDescent="0.2">
      <c r="B2939" s="6" t="s">
        <v>3447</v>
      </c>
      <c r="C2939">
        <v>2</v>
      </c>
      <c r="D2939" s="6" t="s">
        <v>3480</v>
      </c>
      <c r="E2939" t="s">
        <v>3723</v>
      </c>
      <c r="F2939" s="6" t="s">
        <v>1311</v>
      </c>
      <c r="G2939">
        <v>3</v>
      </c>
      <c r="Q2939" t="s">
        <v>10139</v>
      </c>
    </row>
    <row r="2940" spans="2:17" x14ac:dyDescent="0.2">
      <c r="B2940" s="6" t="s">
        <v>3447</v>
      </c>
      <c r="C2940">
        <v>2</v>
      </c>
      <c r="D2940" s="6" t="s">
        <v>3480</v>
      </c>
      <c r="E2940" t="s">
        <v>3736</v>
      </c>
      <c r="F2940" s="6" t="s">
        <v>1389</v>
      </c>
      <c r="G2940">
        <v>7</v>
      </c>
      <c r="Q2940" t="s">
        <v>10138</v>
      </c>
    </row>
    <row r="2941" spans="2:17" x14ac:dyDescent="0.2">
      <c r="B2941" s="6" t="s">
        <v>3447</v>
      </c>
      <c r="C2941">
        <v>2</v>
      </c>
      <c r="D2941" s="6" t="s">
        <v>3480</v>
      </c>
      <c r="E2941" t="s">
        <v>3737</v>
      </c>
      <c r="F2941" s="6" t="s">
        <v>1389</v>
      </c>
      <c r="G2941">
        <v>11</v>
      </c>
      <c r="Q2941" t="s">
        <v>10134</v>
      </c>
    </row>
    <row r="2942" spans="2:17" x14ac:dyDescent="0.2">
      <c r="B2942" s="6" t="s">
        <v>3447</v>
      </c>
      <c r="C2942">
        <v>2</v>
      </c>
      <c r="D2942" s="6" t="s">
        <v>3480</v>
      </c>
      <c r="E2942" t="s">
        <v>3738</v>
      </c>
      <c r="F2942" s="6" t="s">
        <v>1389</v>
      </c>
      <c r="G2942" t="s">
        <v>114</v>
      </c>
      <c r="Q2942" t="s">
        <v>10135</v>
      </c>
    </row>
    <row r="2943" spans="2:17" x14ac:dyDescent="0.2">
      <c r="B2943" s="6" t="s">
        <v>3447</v>
      </c>
      <c r="C2943">
        <v>2</v>
      </c>
      <c r="D2943" s="6" t="s">
        <v>3480</v>
      </c>
      <c r="E2943" t="s">
        <v>3739</v>
      </c>
      <c r="F2943" s="6" t="s">
        <v>1389</v>
      </c>
      <c r="G2943">
        <v>1</v>
      </c>
      <c r="Q2943" t="s">
        <v>10136</v>
      </c>
    </row>
    <row r="2944" spans="2:17" x14ac:dyDescent="0.2">
      <c r="B2944" s="6" t="s">
        <v>3447</v>
      </c>
      <c r="C2944">
        <v>2</v>
      </c>
      <c r="D2944" s="6" t="s">
        <v>3480</v>
      </c>
      <c r="E2944" t="s">
        <v>3740</v>
      </c>
      <c r="F2944" s="6" t="s">
        <v>1389</v>
      </c>
      <c r="G2944">
        <v>5</v>
      </c>
      <c r="Q2944" t="s">
        <v>10137</v>
      </c>
    </row>
    <row r="2945" spans="2:17" x14ac:dyDescent="0.2">
      <c r="B2945" s="6" t="s">
        <v>3447</v>
      </c>
      <c r="C2945">
        <v>2</v>
      </c>
      <c r="D2945" s="6" t="s">
        <v>3480</v>
      </c>
      <c r="E2945" t="s">
        <v>3741</v>
      </c>
      <c r="F2945" s="6" t="s">
        <v>1389</v>
      </c>
      <c r="G2945">
        <v>22</v>
      </c>
      <c r="M2945">
        <v>5</v>
      </c>
    </row>
    <row r="2946" spans="2:17" x14ac:dyDescent="0.2">
      <c r="B2946" s="6" t="s">
        <v>3447</v>
      </c>
      <c r="C2946">
        <v>2</v>
      </c>
      <c r="D2946" s="6" t="s">
        <v>3480</v>
      </c>
      <c r="E2946" t="s">
        <v>3726</v>
      </c>
      <c r="F2946" s="6" t="s">
        <v>1538</v>
      </c>
      <c r="G2946">
        <v>2</v>
      </c>
      <c r="P2946" t="s">
        <v>5852</v>
      </c>
      <c r="Q2946" t="s">
        <v>10144</v>
      </c>
    </row>
    <row r="2947" spans="2:17" x14ac:dyDescent="0.2">
      <c r="B2947" s="6" t="s">
        <v>3447</v>
      </c>
      <c r="C2947">
        <v>2</v>
      </c>
      <c r="D2947" s="6" t="s">
        <v>3480</v>
      </c>
      <c r="E2947" t="s">
        <v>3727</v>
      </c>
      <c r="F2947" s="6" t="s">
        <v>1538</v>
      </c>
      <c r="G2947">
        <v>7</v>
      </c>
      <c r="P2947" t="s">
        <v>5852</v>
      </c>
      <c r="Q2947" t="s">
        <v>10145</v>
      </c>
    </row>
    <row r="2948" spans="2:17" x14ac:dyDescent="0.2">
      <c r="B2948" s="6" t="s">
        <v>3447</v>
      </c>
      <c r="C2948">
        <v>2</v>
      </c>
      <c r="D2948" s="6" t="s">
        <v>3480</v>
      </c>
      <c r="E2948" t="s">
        <v>3742</v>
      </c>
      <c r="F2948" s="6" t="s">
        <v>1538</v>
      </c>
      <c r="G2948">
        <v>5</v>
      </c>
      <c r="Q2948" t="s">
        <v>10146</v>
      </c>
    </row>
    <row r="2949" spans="2:17" x14ac:dyDescent="0.2">
      <c r="B2949" s="6" t="s">
        <v>3447</v>
      </c>
      <c r="C2949">
        <v>2</v>
      </c>
      <c r="D2949" s="6" t="s">
        <v>3480</v>
      </c>
      <c r="E2949" t="s">
        <v>3718</v>
      </c>
      <c r="F2949" s="6" t="s">
        <v>1389</v>
      </c>
      <c r="G2949">
        <v>25</v>
      </c>
    </row>
    <row r="2950" spans="2:17" x14ac:dyDescent="0.2">
      <c r="B2950" s="6" t="s">
        <v>3447</v>
      </c>
      <c r="C2950">
        <v>2</v>
      </c>
      <c r="D2950" s="6" t="s">
        <v>3480</v>
      </c>
      <c r="E2950" t="s">
        <v>3720</v>
      </c>
      <c r="F2950" s="6" t="s">
        <v>1538</v>
      </c>
      <c r="G2950">
        <v>9</v>
      </c>
      <c r="Q2950" t="s">
        <v>10143</v>
      </c>
    </row>
    <row r="2951" spans="2:17" x14ac:dyDescent="0.2">
      <c r="B2951" s="6" t="s">
        <v>3447</v>
      </c>
      <c r="C2951">
        <v>2</v>
      </c>
      <c r="D2951" s="6" t="s">
        <v>3480</v>
      </c>
      <c r="E2951" t="s">
        <v>3743</v>
      </c>
      <c r="F2951" s="6" t="s">
        <v>1538</v>
      </c>
      <c r="G2951">
        <v>2</v>
      </c>
      <c r="Q2951" t="s">
        <v>10147</v>
      </c>
    </row>
    <row r="2952" spans="2:17" x14ac:dyDescent="0.2">
      <c r="B2952" s="6" t="s">
        <v>3447</v>
      </c>
      <c r="C2952">
        <v>2</v>
      </c>
      <c r="D2952" s="6" t="s">
        <v>3480</v>
      </c>
      <c r="E2952" t="s">
        <v>3718</v>
      </c>
      <c r="F2952" s="6" t="s">
        <v>1538</v>
      </c>
      <c r="G2952">
        <v>21</v>
      </c>
    </row>
    <row r="2953" spans="2:17" x14ac:dyDescent="0.2">
      <c r="B2953" s="6" t="s">
        <v>3447</v>
      </c>
      <c r="C2953">
        <v>2</v>
      </c>
      <c r="D2953" s="6" t="s">
        <v>3480</v>
      </c>
      <c r="E2953" t="s">
        <v>3744</v>
      </c>
      <c r="F2953" s="6" t="s">
        <v>1538</v>
      </c>
      <c r="G2953">
        <v>16</v>
      </c>
      <c r="M2953">
        <v>5</v>
      </c>
    </row>
    <row r="2954" spans="2:17" x14ac:dyDescent="0.2">
      <c r="B2954" s="6" t="s">
        <v>3447</v>
      </c>
      <c r="C2954">
        <v>3</v>
      </c>
      <c r="D2954" s="6" t="s">
        <v>3480</v>
      </c>
      <c r="E2954" s="8" t="s">
        <v>3745</v>
      </c>
      <c r="F2954" s="6" t="s">
        <v>1264</v>
      </c>
      <c r="H2954">
        <f>4-0.424</f>
        <v>3.5760000000000001</v>
      </c>
      <c r="O2954" t="s">
        <v>3486</v>
      </c>
    </row>
    <row r="2955" spans="2:17" x14ac:dyDescent="0.2">
      <c r="B2955" s="6" t="s">
        <v>3447</v>
      </c>
      <c r="C2955">
        <v>3</v>
      </c>
      <c r="D2955" s="6" t="s">
        <v>3480</v>
      </c>
      <c r="E2955" s="8" t="s">
        <v>3746</v>
      </c>
      <c r="F2955" s="6" t="s">
        <v>1389</v>
      </c>
      <c r="G2955">
        <v>16</v>
      </c>
      <c r="Q2955" t="s">
        <v>10148</v>
      </c>
    </row>
    <row r="2956" spans="2:17" x14ac:dyDescent="0.2">
      <c r="B2956" s="6" t="s">
        <v>3447</v>
      </c>
      <c r="C2956">
        <v>3</v>
      </c>
      <c r="D2956" s="6" t="s">
        <v>3480</v>
      </c>
      <c r="E2956" s="8" t="s">
        <v>3747</v>
      </c>
      <c r="F2956" s="6" t="s">
        <v>1389</v>
      </c>
      <c r="G2956">
        <v>6</v>
      </c>
      <c r="Q2956" t="s">
        <v>10149</v>
      </c>
    </row>
    <row r="2957" spans="2:17" x14ac:dyDescent="0.2">
      <c r="B2957" s="6" t="s">
        <v>3447</v>
      </c>
      <c r="C2957">
        <v>3</v>
      </c>
      <c r="D2957" s="6" t="s">
        <v>3480</v>
      </c>
      <c r="E2957" s="8" t="s">
        <v>3748</v>
      </c>
      <c r="F2957" s="6" t="s">
        <v>1389</v>
      </c>
      <c r="G2957">
        <v>3</v>
      </c>
      <c r="Q2957" t="s">
        <v>10150</v>
      </c>
    </row>
    <row r="2958" spans="2:17" x14ac:dyDescent="0.2">
      <c r="B2958" s="6" t="s">
        <v>3447</v>
      </c>
      <c r="C2958">
        <v>3</v>
      </c>
      <c r="D2958" s="6" t="s">
        <v>3480</v>
      </c>
      <c r="E2958" s="8" t="s">
        <v>3749</v>
      </c>
      <c r="F2958" s="6" t="s">
        <v>1389</v>
      </c>
      <c r="G2958">
        <v>2</v>
      </c>
      <c r="Q2958" t="s">
        <v>10151</v>
      </c>
    </row>
    <row r="2959" spans="2:17" x14ac:dyDescent="0.2">
      <c r="B2959" s="6" t="s">
        <v>3447</v>
      </c>
      <c r="C2959">
        <v>3</v>
      </c>
      <c r="D2959" s="6" t="s">
        <v>3480</v>
      </c>
      <c r="E2959" s="8" t="s">
        <v>3750</v>
      </c>
      <c r="F2959" s="6" t="s">
        <v>1389</v>
      </c>
      <c r="G2959" s="6" t="s">
        <v>114</v>
      </c>
      <c r="Q2959" t="s">
        <v>10152</v>
      </c>
    </row>
    <row r="2960" spans="2:17" x14ac:dyDescent="0.2">
      <c r="B2960" s="6" t="s">
        <v>3447</v>
      </c>
      <c r="C2960">
        <v>3</v>
      </c>
      <c r="D2960" s="6" t="s">
        <v>3480</v>
      </c>
      <c r="E2960" s="8" t="s">
        <v>3751</v>
      </c>
      <c r="F2960" s="6" t="s">
        <v>1389</v>
      </c>
      <c r="G2960">
        <v>36</v>
      </c>
      <c r="M2960">
        <v>5</v>
      </c>
    </row>
    <row r="2961" spans="2:17" x14ac:dyDescent="0.2">
      <c r="B2961" s="6" t="s">
        <v>3447</v>
      </c>
      <c r="C2961">
        <v>3</v>
      </c>
      <c r="D2961" s="6" t="s">
        <v>3480</v>
      </c>
      <c r="E2961" t="s">
        <v>3752</v>
      </c>
      <c r="F2961" s="6" t="s">
        <v>1389</v>
      </c>
      <c r="H2961">
        <f>0.558-0.41</f>
        <v>0.14800000000000008</v>
      </c>
    </row>
    <row r="2962" spans="2:17" x14ac:dyDescent="0.2">
      <c r="B2962" s="6" t="s">
        <v>3447</v>
      </c>
      <c r="C2962">
        <v>3</v>
      </c>
      <c r="D2962" s="6" t="s">
        <v>3480</v>
      </c>
      <c r="E2962" t="s">
        <v>3753</v>
      </c>
      <c r="F2962" s="6" t="s">
        <v>1425</v>
      </c>
      <c r="G2962">
        <v>13</v>
      </c>
      <c r="Q2962" t="s">
        <v>10153</v>
      </c>
    </row>
    <row r="2963" spans="2:17" x14ac:dyDescent="0.2">
      <c r="B2963" s="6" t="s">
        <v>3447</v>
      </c>
      <c r="C2963">
        <v>3</v>
      </c>
      <c r="D2963" s="6" t="s">
        <v>3480</v>
      </c>
      <c r="E2963" t="s">
        <v>3754</v>
      </c>
      <c r="F2963" s="6" t="s">
        <v>1425</v>
      </c>
      <c r="G2963">
        <v>6</v>
      </c>
      <c r="Q2963" t="s">
        <v>10155</v>
      </c>
    </row>
    <row r="2964" spans="2:17" x14ac:dyDescent="0.2">
      <c r="B2964" s="6" t="s">
        <v>3447</v>
      </c>
      <c r="C2964">
        <v>3</v>
      </c>
      <c r="D2964" s="6" t="s">
        <v>3480</v>
      </c>
      <c r="E2964" t="s">
        <v>3755</v>
      </c>
      <c r="F2964" s="6" t="s">
        <v>1425</v>
      </c>
      <c r="G2964">
        <v>3</v>
      </c>
      <c r="Q2964" t="s">
        <v>10154</v>
      </c>
    </row>
    <row r="2965" spans="2:17" x14ac:dyDescent="0.2">
      <c r="B2965" s="6" t="s">
        <v>3447</v>
      </c>
      <c r="C2965">
        <v>3</v>
      </c>
      <c r="D2965" s="6" t="s">
        <v>3480</v>
      </c>
      <c r="E2965" t="s">
        <v>3756</v>
      </c>
      <c r="F2965" s="6" t="s">
        <v>1425</v>
      </c>
      <c r="G2965">
        <v>2</v>
      </c>
      <c r="Q2965" t="s">
        <v>10156</v>
      </c>
    </row>
    <row r="2966" spans="2:17" x14ac:dyDescent="0.2">
      <c r="B2966" s="6" t="s">
        <v>3447</v>
      </c>
      <c r="C2966">
        <v>3</v>
      </c>
      <c r="D2966" s="6" t="s">
        <v>3480</v>
      </c>
      <c r="E2966" t="s">
        <v>3757</v>
      </c>
      <c r="F2966" s="6" t="s">
        <v>1425</v>
      </c>
      <c r="G2966">
        <v>4</v>
      </c>
      <c r="Q2966" t="s">
        <v>10157</v>
      </c>
    </row>
    <row r="2967" spans="2:17" x14ac:dyDescent="0.2">
      <c r="B2967" s="6" t="s">
        <v>3447</v>
      </c>
      <c r="C2967">
        <v>3</v>
      </c>
      <c r="D2967" s="6" t="s">
        <v>3480</v>
      </c>
      <c r="E2967" t="s">
        <v>3758</v>
      </c>
      <c r="F2967" s="6" t="s">
        <v>504</v>
      </c>
      <c r="H2967">
        <f>1.577-0.261</f>
        <v>1.3159999999999998</v>
      </c>
      <c r="O2967" t="s">
        <v>3488</v>
      </c>
    </row>
    <row r="2968" spans="2:17" x14ac:dyDescent="0.2">
      <c r="B2968" s="6" t="s">
        <v>3447</v>
      </c>
      <c r="C2968">
        <v>3</v>
      </c>
      <c r="D2968" s="6" t="s">
        <v>3480</v>
      </c>
      <c r="E2968" s="8" t="s">
        <v>3759</v>
      </c>
      <c r="F2968" s="6" t="s">
        <v>5620</v>
      </c>
      <c r="G2968">
        <v>41</v>
      </c>
      <c r="Q2968" t="s">
        <v>10159</v>
      </c>
    </row>
    <row r="2969" spans="2:17" x14ac:dyDescent="0.2">
      <c r="B2969" s="6" t="s">
        <v>3447</v>
      </c>
      <c r="C2969">
        <v>3</v>
      </c>
      <c r="D2969" s="6" t="s">
        <v>3480</v>
      </c>
      <c r="E2969" s="8" t="s">
        <v>3760</v>
      </c>
      <c r="F2969" t="s">
        <v>6338</v>
      </c>
      <c r="G2969">
        <v>48</v>
      </c>
      <c r="O2969" t="s">
        <v>3487</v>
      </c>
      <c r="Q2969" t="s">
        <v>10158</v>
      </c>
    </row>
    <row r="2970" spans="2:17" x14ac:dyDescent="0.2">
      <c r="B2970" s="6" t="s">
        <v>3447</v>
      </c>
      <c r="C2970">
        <v>3</v>
      </c>
      <c r="D2970" s="6" t="s">
        <v>3480</v>
      </c>
      <c r="E2970" t="s">
        <v>3752</v>
      </c>
      <c r="F2970" s="6" t="s">
        <v>1425</v>
      </c>
      <c r="G2970">
        <v>84</v>
      </c>
    </row>
    <row r="2971" spans="2:17" x14ac:dyDescent="0.2">
      <c r="B2971" s="6" t="s">
        <v>3447</v>
      </c>
      <c r="C2971">
        <v>3</v>
      </c>
      <c r="D2971" s="6" t="s">
        <v>3480</v>
      </c>
      <c r="E2971" t="s">
        <v>3761</v>
      </c>
      <c r="F2971" s="6" t="s">
        <v>1425</v>
      </c>
      <c r="G2971">
        <v>20</v>
      </c>
      <c r="M2971">
        <v>5</v>
      </c>
    </row>
    <row r="2972" spans="2:17" x14ac:dyDescent="0.2">
      <c r="B2972" s="6" t="s">
        <v>3447</v>
      </c>
      <c r="C2972">
        <v>3</v>
      </c>
      <c r="D2972" s="6" t="s">
        <v>3480</v>
      </c>
      <c r="E2972" t="s">
        <v>3762</v>
      </c>
      <c r="F2972" s="6" t="s">
        <v>1458</v>
      </c>
      <c r="G2972">
        <v>6</v>
      </c>
      <c r="O2972" t="s">
        <v>2218</v>
      </c>
    </row>
    <row r="2973" spans="2:17" x14ac:dyDescent="0.2">
      <c r="B2973" s="6" t="s">
        <v>3447</v>
      </c>
      <c r="C2973">
        <v>3</v>
      </c>
      <c r="D2973" s="6" t="s">
        <v>3480</v>
      </c>
      <c r="E2973" t="s">
        <v>3763</v>
      </c>
      <c r="F2973" s="6" t="s">
        <v>106</v>
      </c>
      <c r="G2973">
        <v>1</v>
      </c>
    </row>
    <row r="2974" spans="2:17" x14ac:dyDescent="0.2">
      <c r="B2974" s="6" t="s">
        <v>3447</v>
      </c>
      <c r="C2974">
        <v>3</v>
      </c>
      <c r="D2974" s="6" t="s">
        <v>3480</v>
      </c>
      <c r="E2974" t="s">
        <v>3764</v>
      </c>
      <c r="F2974" s="6" t="s">
        <v>7138</v>
      </c>
      <c r="G2974">
        <v>17</v>
      </c>
      <c r="M2974">
        <v>6</v>
      </c>
      <c r="Q2974" t="s">
        <v>10160</v>
      </c>
    </row>
    <row r="2975" spans="2:17" x14ac:dyDescent="0.2">
      <c r="B2975" s="6" t="s">
        <v>3447</v>
      </c>
      <c r="C2975">
        <v>3</v>
      </c>
      <c r="D2975" s="6" t="s">
        <v>3480</v>
      </c>
      <c r="E2975" t="s">
        <v>3765</v>
      </c>
      <c r="F2975" s="6" t="s">
        <v>810</v>
      </c>
      <c r="G2975">
        <v>30</v>
      </c>
    </row>
    <row r="2976" spans="2:17" x14ac:dyDescent="0.2">
      <c r="B2976" s="6" t="s">
        <v>3447</v>
      </c>
      <c r="C2976">
        <v>3</v>
      </c>
      <c r="D2976" s="6" t="s">
        <v>3480</v>
      </c>
      <c r="E2976" t="s">
        <v>3766</v>
      </c>
      <c r="F2976" s="6" t="s">
        <v>1311</v>
      </c>
      <c r="G2976">
        <v>3</v>
      </c>
      <c r="Q2976" t="s">
        <v>10161</v>
      </c>
    </row>
    <row r="2977" spans="2:17" x14ac:dyDescent="0.2">
      <c r="B2977" s="6" t="s">
        <v>3447</v>
      </c>
      <c r="C2977">
        <v>3</v>
      </c>
      <c r="D2977" s="6" t="s">
        <v>3480</v>
      </c>
      <c r="E2977" t="s">
        <v>3767</v>
      </c>
      <c r="F2977" s="6" t="s">
        <v>1311</v>
      </c>
      <c r="G2977">
        <v>2</v>
      </c>
      <c r="Q2977" t="s">
        <v>10162</v>
      </c>
    </row>
    <row r="2978" spans="2:17" x14ac:dyDescent="0.2">
      <c r="B2978" s="6" t="s">
        <v>3447</v>
      </c>
      <c r="C2978">
        <v>3</v>
      </c>
      <c r="D2978" s="6" t="s">
        <v>3480</v>
      </c>
      <c r="E2978" t="s">
        <v>3768</v>
      </c>
      <c r="F2978" s="6" t="s">
        <v>5930</v>
      </c>
      <c r="G2978" t="s">
        <v>114</v>
      </c>
      <c r="Q2978" t="s">
        <v>6127</v>
      </c>
    </row>
    <row r="2979" spans="2:17" x14ac:dyDescent="0.2">
      <c r="B2979" s="6" t="s">
        <v>3447</v>
      </c>
      <c r="C2979">
        <v>3</v>
      </c>
      <c r="D2979" s="6" t="s">
        <v>3480</v>
      </c>
      <c r="E2979" t="s">
        <v>3769</v>
      </c>
      <c r="F2979" s="6" t="s">
        <v>1538</v>
      </c>
      <c r="G2979">
        <v>3</v>
      </c>
      <c r="Q2979" t="s">
        <v>10163</v>
      </c>
    </row>
    <row r="2980" spans="2:17" x14ac:dyDescent="0.2">
      <c r="B2980" s="6" t="s">
        <v>3447</v>
      </c>
      <c r="C2980">
        <v>3</v>
      </c>
      <c r="D2980" s="6" t="s">
        <v>3480</v>
      </c>
      <c r="E2980" t="s">
        <v>3770</v>
      </c>
      <c r="F2980" s="6" t="s">
        <v>1538</v>
      </c>
      <c r="G2980">
        <v>2</v>
      </c>
      <c r="Q2980" t="s">
        <v>10164</v>
      </c>
    </row>
    <row r="2981" spans="2:17" x14ac:dyDescent="0.2">
      <c r="B2981" s="6" t="s">
        <v>3447</v>
      </c>
      <c r="C2981">
        <v>3</v>
      </c>
      <c r="D2981" s="6" t="s">
        <v>3480</v>
      </c>
      <c r="E2981" t="s">
        <v>3771</v>
      </c>
      <c r="F2981" s="6" t="s">
        <v>1538</v>
      </c>
      <c r="G2981">
        <v>2</v>
      </c>
      <c r="Q2981" t="s">
        <v>10165</v>
      </c>
    </row>
    <row r="2982" spans="2:17" x14ac:dyDescent="0.2">
      <c r="B2982" s="6" t="s">
        <v>3447</v>
      </c>
      <c r="C2982">
        <v>3</v>
      </c>
      <c r="D2982" s="6" t="s">
        <v>3480</v>
      </c>
      <c r="E2982" t="s">
        <v>3772</v>
      </c>
      <c r="F2982" s="6" t="s">
        <v>1538</v>
      </c>
      <c r="G2982">
        <v>2</v>
      </c>
      <c r="Q2982" t="s">
        <v>10166</v>
      </c>
    </row>
    <row r="2983" spans="2:17" x14ac:dyDescent="0.2">
      <c r="B2983" s="6" t="s">
        <v>3447</v>
      </c>
      <c r="C2983">
        <v>3</v>
      </c>
      <c r="D2983" s="6" t="s">
        <v>3480</v>
      </c>
      <c r="E2983" t="s">
        <v>3773</v>
      </c>
      <c r="F2983" s="6" t="s">
        <v>1538</v>
      </c>
      <c r="G2983">
        <v>2</v>
      </c>
      <c r="Q2983" t="s">
        <v>10167</v>
      </c>
    </row>
    <row r="2984" spans="2:17" x14ac:dyDescent="0.2">
      <c r="B2984" s="6" t="s">
        <v>3447</v>
      </c>
      <c r="C2984">
        <v>3</v>
      </c>
      <c r="D2984" s="6" t="s">
        <v>3480</v>
      </c>
      <c r="E2984" t="s">
        <v>3774</v>
      </c>
      <c r="F2984" s="6" t="s">
        <v>1538</v>
      </c>
      <c r="G2984">
        <v>4</v>
      </c>
      <c r="Q2984" t="s">
        <v>10168</v>
      </c>
    </row>
    <row r="2985" spans="2:17" x14ac:dyDescent="0.2">
      <c r="B2985" s="6" t="s">
        <v>3447</v>
      </c>
      <c r="C2985">
        <v>3</v>
      </c>
      <c r="D2985" s="6" t="s">
        <v>3480</v>
      </c>
      <c r="E2985" t="s">
        <v>3775</v>
      </c>
      <c r="F2985" s="6" t="s">
        <v>1538</v>
      </c>
      <c r="G2985">
        <v>10</v>
      </c>
      <c r="Q2985" t="s">
        <v>10169</v>
      </c>
    </row>
    <row r="2986" spans="2:17" x14ac:dyDescent="0.2">
      <c r="B2986" s="6" t="s">
        <v>3447</v>
      </c>
      <c r="C2986">
        <v>3</v>
      </c>
      <c r="D2986" s="6" t="s">
        <v>3480</v>
      </c>
      <c r="E2986" t="s">
        <v>3776</v>
      </c>
      <c r="F2986" s="6" t="s">
        <v>1538</v>
      </c>
      <c r="G2986" t="s">
        <v>114</v>
      </c>
      <c r="Q2986" t="s">
        <v>10170</v>
      </c>
    </row>
    <row r="2987" spans="2:17" x14ac:dyDescent="0.2">
      <c r="B2987" s="6" t="s">
        <v>3447</v>
      </c>
      <c r="C2987">
        <v>3</v>
      </c>
      <c r="D2987" s="6" t="s">
        <v>3480</v>
      </c>
      <c r="E2987" t="s">
        <v>3777</v>
      </c>
      <c r="F2987" s="6" t="s">
        <v>3183</v>
      </c>
      <c r="G2987">
        <v>36</v>
      </c>
    </row>
    <row r="2988" spans="2:17" x14ac:dyDescent="0.2">
      <c r="B2988" s="6" t="s">
        <v>3447</v>
      </c>
      <c r="C2988">
        <v>3</v>
      </c>
      <c r="D2988" s="6" t="s">
        <v>3480</v>
      </c>
      <c r="E2988" t="s">
        <v>3778</v>
      </c>
      <c r="F2988" s="6" t="s">
        <v>2957</v>
      </c>
      <c r="G2988">
        <v>12</v>
      </c>
    </row>
    <row r="2989" spans="2:17" x14ac:dyDescent="0.2">
      <c r="B2989" s="6" t="s">
        <v>3447</v>
      </c>
      <c r="C2989">
        <v>4</v>
      </c>
      <c r="D2989" s="6" t="s">
        <v>3480</v>
      </c>
      <c r="E2989" s="8" t="s">
        <v>3779</v>
      </c>
      <c r="F2989" s="6" t="s">
        <v>7138</v>
      </c>
      <c r="G2989">
        <v>1</v>
      </c>
      <c r="Q2989" t="s">
        <v>10171</v>
      </c>
    </row>
    <row r="2990" spans="2:17" x14ac:dyDescent="0.2">
      <c r="B2990" s="6" t="s">
        <v>3447</v>
      </c>
      <c r="C2990">
        <v>4</v>
      </c>
      <c r="D2990" s="6" t="s">
        <v>3480</v>
      </c>
      <c r="E2990" s="8" t="s">
        <v>3780</v>
      </c>
      <c r="F2990" s="6" t="s">
        <v>106</v>
      </c>
      <c r="G2990">
        <v>7</v>
      </c>
    </row>
    <row r="2991" spans="2:17" x14ac:dyDescent="0.2">
      <c r="B2991" s="6" t="s">
        <v>3447</v>
      </c>
      <c r="C2991">
        <v>4</v>
      </c>
      <c r="D2991" s="6" t="s">
        <v>3480</v>
      </c>
      <c r="E2991" s="8" t="s">
        <v>3781</v>
      </c>
      <c r="F2991" s="6" t="s">
        <v>3183</v>
      </c>
      <c r="G2991">
        <v>143</v>
      </c>
    </row>
    <row r="2992" spans="2:17" x14ac:dyDescent="0.2">
      <c r="B2992" s="6" t="s">
        <v>3447</v>
      </c>
      <c r="C2992">
        <v>4</v>
      </c>
      <c r="D2992" s="6" t="s">
        <v>3480</v>
      </c>
      <c r="E2992" s="8" t="s">
        <v>3782</v>
      </c>
      <c r="F2992" s="6" t="s">
        <v>2957</v>
      </c>
      <c r="G2992">
        <f>472-285</f>
        <v>187</v>
      </c>
    </row>
    <row r="2993" spans="2:17" x14ac:dyDescent="0.2">
      <c r="B2993" s="6" t="s">
        <v>3447</v>
      </c>
      <c r="C2993">
        <v>4</v>
      </c>
      <c r="D2993" s="6" t="s">
        <v>3480</v>
      </c>
      <c r="E2993" s="8" t="s">
        <v>3783</v>
      </c>
      <c r="F2993" s="6" t="s">
        <v>504</v>
      </c>
      <c r="G2993">
        <f>711-311</f>
        <v>400</v>
      </c>
      <c r="O2993" t="s">
        <v>3489</v>
      </c>
    </row>
    <row r="2994" spans="2:17" x14ac:dyDescent="0.2">
      <c r="B2994" s="6" t="s">
        <v>3447</v>
      </c>
      <c r="C2994">
        <v>4</v>
      </c>
      <c r="D2994" s="6" t="s">
        <v>3480</v>
      </c>
      <c r="E2994" t="s">
        <v>3784</v>
      </c>
      <c r="F2994" s="6" t="s">
        <v>1389</v>
      </c>
      <c r="G2994" t="s">
        <v>114</v>
      </c>
      <c r="M2994">
        <v>5</v>
      </c>
      <c r="O2994" t="s">
        <v>3490</v>
      </c>
    </row>
    <row r="2995" spans="2:17" x14ac:dyDescent="0.2">
      <c r="B2995" s="6" t="s">
        <v>3447</v>
      </c>
      <c r="C2995">
        <v>4</v>
      </c>
      <c r="D2995" s="6" t="s">
        <v>3480</v>
      </c>
      <c r="E2995" t="s">
        <v>3785</v>
      </c>
      <c r="F2995" s="6" t="s">
        <v>505</v>
      </c>
      <c r="G2995">
        <v>1224</v>
      </c>
      <c r="O2995" t="s">
        <v>3491</v>
      </c>
    </row>
    <row r="2996" spans="2:17" x14ac:dyDescent="0.2">
      <c r="B2996" s="6" t="s">
        <v>3447</v>
      </c>
      <c r="C2996">
        <v>4</v>
      </c>
      <c r="D2996" s="6" t="s">
        <v>3480</v>
      </c>
      <c r="E2996" s="8" t="s">
        <v>3786</v>
      </c>
      <c r="F2996" s="6" t="s">
        <v>1559</v>
      </c>
      <c r="G2996">
        <v>2</v>
      </c>
      <c r="O2996" t="s">
        <v>6226</v>
      </c>
      <c r="Q2996" t="s">
        <v>6227</v>
      </c>
    </row>
    <row r="2997" spans="2:17" x14ac:dyDescent="0.2">
      <c r="B2997" s="6" t="s">
        <v>3447</v>
      </c>
      <c r="C2997">
        <v>4</v>
      </c>
      <c r="D2997" s="6" t="s">
        <v>3480</v>
      </c>
      <c r="E2997" s="8" t="s">
        <v>3787</v>
      </c>
      <c r="F2997" s="6" t="s">
        <v>1559</v>
      </c>
      <c r="G2997">
        <v>2</v>
      </c>
      <c r="O2997" t="s">
        <v>6226</v>
      </c>
      <c r="Q2997" t="s">
        <v>6228</v>
      </c>
    </row>
    <row r="2998" spans="2:17" x14ac:dyDescent="0.2">
      <c r="B2998" s="6" t="s">
        <v>3447</v>
      </c>
      <c r="C2998">
        <v>4</v>
      </c>
      <c r="D2998" s="6" t="s">
        <v>3480</v>
      </c>
      <c r="E2998" s="8" t="s">
        <v>3788</v>
      </c>
      <c r="F2998" s="6" t="s">
        <v>1559</v>
      </c>
      <c r="G2998">
        <v>2</v>
      </c>
      <c r="O2998" t="s">
        <v>6226</v>
      </c>
      <c r="Q2998" t="s">
        <v>6229</v>
      </c>
    </row>
    <row r="2999" spans="2:17" x14ac:dyDescent="0.2">
      <c r="B2999" s="6" t="s">
        <v>3447</v>
      </c>
      <c r="C2999">
        <v>4</v>
      </c>
      <c r="D2999" s="6" t="s">
        <v>3480</v>
      </c>
      <c r="E2999" s="8" t="s">
        <v>3789</v>
      </c>
      <c r="F2999" s="6" t="s">
        <v>1559</v>
      </c>
      <c r="G2999">
        <v>2</v>
      </c>
      <c r="O2999" t="s">
        <v>6226</v>
      </c>
      <c r="Q2999" t="s">
        <v>6230</v>
      </c>
    </row>
    <row r="3000" spans="2:17" x14ac:dyDescent="0.2">
      <c r="B3000" s="6" t="s">
        <v>3447</v>
      </c>
      <c r="C3000">
        <v>4</v>
      </c>
      <c r="D3000" s="6" t="s">
        <v>3480</v>
      </c>
      <c r="E3000" t="s">
        <v>3790</v>
      </c>
      <c r="F3000" t="s">
        <v>5995</v>
      </c>
      <c r="G3000">
        <v>1</v>
      </c>
      <c r="Q3000" t="s">
        <v>6128</v>
      </c>
    </row>
    <row r="3001" spans="2:17" x14ac:dyDescent="0.2">
      <c r="B3001" s="6" t="s">
        <v>3447</v>
      </c>
      <c r="C3001">
        <v>4</v>
      </c>
      <c r="D3001" s="6" t="s">
        <v>3480</v>
      </c>
      <c r="E3001" t="s">
        <v>3791</v>
      </c>
      <c r="F3001" t="s">
        <v>5995</v>
      </c>
      <c r="G3001">
        <v>1</v>
      </c>
      <c r="Q3001" t="s">
        <v>6129</v>
      </c>
    </row>
    <row r="3002" spans="2:17" x14ac:dyDescent="0.2">
      <c r="B3002" s="6" t="s">
        <v>3447</v>
      </c>
      <c r="C3002">
        <v>4</v>
      </c>
      <c r="D3002" s="6" t="s">
        <v>3480</v>
      </c>
      <c r="E3002" t="s">
        <v>3792</v>
      </c>
      <c r="F3002" s="6" t="s">
        <v>1425</v>
      </c>
      <c r="G3002">
        <v>36</v>
      </c>
      <c r="Q3002" t="s">
        <v>10173</v>
      </c>
    </row>
    <row r="3003" spans="2:17" x14ac:dyDescent="0.2">
      <c r="B3003" s="6" t="s">
        <v>3447</v>
      </c>
      <c r="C3003">
        <v>4</v>
      </c>
      <c r="D3003" s="6" t="s">
        <v>3480</v>
      </c>
      <c r="E3003" t="s">
        <v>3793</v>
      </c>
      <c r="F3003" s="6" t="s">
        <v>1425</v>
      </c>
      <c r="G3003">
        <v>30</v>
      </c>
      <c r="Q3003" t="s">
        <v>10174</v>
      </c>
    </row>
    <row r="3004" spans="2:17" x14ac:dyDescent="0.2">
      <c r="B3004" s="6" t="s">
        <v>3447</v>
      </c>
      <c r="C3004">
        <v>4</v>
      </c>
      <c r="D3004" s="6" t="s">
        <v>3480</v>
      </c>
      <c r="E3004" t="s">
        <v>3794</v>
      </c>
      <c r="F3004" s="6" t="s">
        <v>1425</v>
      </c>
      <c r="G3004">
        <v>28</v>
      </c>
      <c r="Q3004" t="s">
        <v>10175</v>
      </c>
    </row>
    <row r="3005" spans="2:17" x14ac:dyDescent="0.2">
      <c r="B3005" s="6" t="s">
        <v>3447</v>
      </c>
      <c r="C3005">
        <v>4</v>
      </c>
      <c r="D3005" s="6" t="s">
        <v>3480</v>
      </c>
      <c r="E3005" t="s">
        <v>3795</v>
      </c>
      <c r="F3005" s="6" t="s">
        <v>1425</v>
      </c>
      <c r="G3005">
        <v>13</v>
      </c>
      <c r="Q3005" t="s">
        <v>10176</v>
      </c>
    </row>
    <row r="3006" spans="2:17" x14ac:dyDescent="0.2">
      <c r="B3006" s="6" t="s">
        <v>3447</v>
      </c>
      <c r="C3006">
        <v>4</v>
      </c>
      <c r="D3006" s="6" t="s">
        <v>3480</v>
      </c>
      <c r="E3006" t="s">
        <v>3796</v>
      </c>
      <c r="F3006" s="6" t="s">
        <v>1425</v>
      </c>
      <c r="G3006">
        <v>6</v>
      </c>
      <c r="Q3006" t="s">
        <v>10177</v>
      </c>
    </row>
    <row r="3007" spans="2:17" x14ac:dyDescent="0.2">
      <c r="B3007" s="6" t="s">
        <v>3447</v>
      </c>
      <c r="C3007">
        <v>4</v>
      </c>
      <c r="D3007" s="6" t="s">
        <v>3480</v>
      </c>
      <c r="E3007" t="s">
        <v>3797</v>
      </c>
      <c r="F3007" s="6" t="s">
        <v>1425</v>
      </c>
      <c r="G3007">
        <v>5</v>
      </c>
      <c r="Q3007" t="s">
        <v>10178</v>
      </c>
    </row>
    <row r="3008" spans="2:17" x14ac:dyDescent="0.2">
      <c r="B3008" s="6" t="s">
        <v>3447</v>
      </c>
      <c r="C3008">
        <v>4</v>
      </c>
      <c r="D3008" s="6" t="s">
        <v>3480</v>
      </c>
      <c r="E3008" t="s">
        <v>3798</v>
      </c>
      <c r="F3008" s="6" t="s">
        <v>1425</v>
      </c>
      <c r="G3008">
        <v>3</v>
      </c>
      <c r="Q3008" t="s">
        <v>10179</v>
      </c>
    </row>
    <row r="3009" spans="2:17" x14ac:dyDescent="0.2">
      <c r="B3009" s="6" t="s">
        <v>3447</v>
      </c>
      <c r="C3009">
        <v>4</v>
      </c>
      <c r="D3009" s="6" t="s">
        <v>3480</v>
      </c>
      <c r="E3009" t="s">
        <v>3799</v>
      </c>
      <c r="F3009" s="6" t="s">
        <v>1425</v>
      </c>
      <c r="G3009">
        <v>2</v>
      </c>
      <c r="Q3009" t="s">
        <v>10180</v>
      </c>
    </row>
    <row r="3010" spans="2:17" x14ac:dyDescent="0.2">
      <c r="B3010" s="6" t="s">
        <v>3447</v>
      </c>
      <c r="C3010">
        <v>4</v>
      </c>
      <c r="D3010" s="6" t="s">
        <v>3480</v>
      </c>
      <c r="E3010" t="s">
        <v>3800</v>
      </c>
      <c r="F3010" s="6" t="s">
        <v>1389</v>
      </c>
      <c r="G3010">
        <v>8</v>
      </c>
      <c r="Q3010" t="s">
        <v>10181</v>
      </c>
    </row>
    <row r="3011" spans="2:17" x14ac:dyDescent="0.2">
      <c r="B3011" s="6" t="s">
        <v>3447</v>
      </c>
      <c r="C3011">
        <v>4</v>
      </c>
      <c r="D3011" s="6" t="s">
        <v>3480</v>
      </c>
      <c r="E3011" t="s">
        <v>3801</v>
      </c>
      <c r="F3011" s="6" t="s">
        <v>1389</v>
      </c>
      <c r="G3011">
        <v>6</v>
      </c>
      <c r="Q3011" t="s">
        <v>10182</v>
      </c>
    </row>
    <row r="3012" spans="2:17" x14ac:dyDescent="0.2">
      <c r="B3012" s="6" t="s">
        <v>3447</v>
      </c>
      <c r="C3012">
        <v>4</v>
      </c>
      <c r="D3012" s="6" t="s">
        <v>3480</v>
      </c>
      <c r="E3012" t="s">
        <v>3802</v>
      </c>
      <c r="F3012" s="6" t="s">
        <v>1389</v>
      </c>
      <c r="G3012">
        <v>4</v>
      </c>
      <c r="Q3012" t="s">
        <v>10183</v>
      </c>
    </row>
    <row r="3013" spans="2:17" x14ac:dyDescent="0.2">
      <c r="B3013" s="6" t="s">
        <v>3447</v>
      </c>
      <c r="C3013">
        <v>4</v>
      </c>
      <c r="D3013" s="6" t="s">
        <v>3480</v>
      </c>
      <c r="E3013" t="s">
        <v>3803</v>
      </c>
      <c r="F3013" s="6" t="s">
        <v>1389</v>
      </c>
      <c r="G3013">
        <v>2</v>
      </c>
      <c r="Q3013" t="s">
        <v>10184</v>
      </c>
    </row>
    <row r="3014" spans="2:17" x14ac:dyDescent="0.2">
      <c r="B3014" s="6" t="s">
        <v>3447</v>
      </c>
      <c r="C3014">
        <v>4</v>
      </c>
      <c r="D3014" s="6" t="s">
        <v>3480</v>
      </c>
      <c r="E3014" t="s">
        <v>3784</v>
      </c>
      <c r="F3014" s="6" t="s">
        <v>1389</v>
      </c>
      <c r="G3014">
        <v>1</v>
      </c>
      <c r="Q3014" t="s">
        <v>10185</v>
      </c>
    </row>
    <row r="3015" spans="2:17" x14ac:dyDescent="0.2">
      <c r="B3015" s="6" t="s">
        <v>3447</v>
      </c>
      <c r="C3015">
        <v>4</v>
      </c>
      <c r="D3015" s="6" t="s">
        <v>3480</v>
      </c>
      <c r="E3015" t="s">
        <v>3804</v>
      </c>
      <c r="F3015" s="6" t="s">
        <v>1389</v>
      </c>
      <c r="G3015">
        <v>30</v>
      </c>
    </row>
    <row r="3016" spans="2:17" x14ac:dyDescent="0.2">
      <c r="B3016" s="6" t="s">
        <v>3447</v>
      </c>
      <c r="C3016">
        <v>4</v>
      </c>
      <c r="D3016" s="6" t="s">
        <v>3480</v>
      </c>
      <c r="E3016" t="s">
        <v>3805</v>
      </c>
      <c r="F3016" s="6" t="s">
        <v>698</v>
      </c>
      <c r="G3016" t="s">
        <v>114</v>
      </c>
      <c r="Q3016" t="s">
        <v>10172</v>
      </c>
    </row>
    <row r="3017" spans="2:17" x14ac:dyDescent="0.2">
      <c r="B3017" s="6" t="s">
        <v>3447</v>
      </c>
      <c r="C3017">
        <v>5</v>
      </c>
      <c r="D3017" s="6" t="s">
        <v>3480</v>
      </c>
      <c r="E3017" s="8" t="s">
        <v>3806</v>
      </c>
      <c r="F3017" s="6" t="s">
        <v>505</v>
      </c>
      <c r="G3017">
        <f>1232-345</f>
        <v>887</v>
      </c>
      <c r="O3017" t="s">
        <v>3492</v>
      </c>
    </row>
    <row r="3018" spans="2:17" x14ac:dyDescent="0.2">
      <c r="B3018" s="6" t="s">
        <v>3447</v>
      </c>
      <c r="C3018">
        <v>5</v>
      </c>
      <c r="D3018" s="6" t="s">
        <v>3480</v>
      </c>
      <c r="E3018" s="8" t="s">
        <v>3807</v>
      </c>
      <c r="F3018" s="6" t="s">
        <v>504</v>
      </c>
      <c r="G3018">
        <f>889-295+0.4</f>
        <v>594.4</v>
      </c>
      <c r="O3018" t="s">
        <v>3493</v>
      </c>
    </row>
    <row r="3019" spans="2:17" x14ac:dyDescent="0.2">
      <c r="B3019" s="6" t="s">
        <v>3447</v>
      </c>
      <c r="C3019">
        <v>5</v>
      </c>
      <c r="D3019" s="6" t="s">
        <v>3480</v>
      </c>
      <c r="E3019" s="8" t="s">
        <v>3808</v>
      </c>
      <c r="F3019" s="6" t="s">
        <v>2957</v>
      </c>
      <c r="G3019">
        <v>50</v>
      </c>
    </row>
    <row r="3020" spans="2:17" x14ac:dyDescent="0.2">
      <c r="B3020" s="6" t="s">
        <v>3447</v>
      </c>
      <c r="C3020">
        <v>5</v>
      </c>
      <c r="D3020" s="6" t="s">
        <v>3480</v>
      </c>
      <c r="E3020" t="s">
        <v>3809</v>
      </c>
      <c r="F3020" s="6" t="s">
        <v>3429</v>
      </c>
      <c r="G3020">
        <v>3</v>
      </c>
    </row>
    <row r="3021" spans="2:17" x14ac:dyDescent="0.2">
      <c r="B3021" s="6" t="s">
        <v>3447</v>
      </c>
      <c r="C3021">
        <v>5</v>
      </c>
      <c r="D3021" s="6" t="s">
        <v>3480</v>
      </c>
      <c r="E3021" s="8" t="s">
        <v>3810</v>
      </c>
      <c r="F3021" s="6" t="s">
        <v>3183</v>
      </c>
      <c r="G3021">
        <v>219</v>
      </c>
      <c r="O3021" t="s">
        <v>3494</v>
      </c>
    </row>
    <row r="3022" spans="2:17" x14ac:dyDescent="0.2">
      <c r="B3022" s="6" t="s">
        <v>3447</v>
      </c>
      <c r="C3022">
        <v>5</v>
      </c>
      <c r="D3022" s="6" t="s">
        <v>3480</v>
      </c>
      <c r="E3022" s="8" t="s">
        <v>3811</v>
      </c>
      <c r="F3022" t="s">
        <v>9060</v>
      </c>
      <c r="G3022">
        <v>28</v>
      </c>
      <c r="Q3022" t="s">
        <v>10187</v>
      </c>
    </row>
    <row r="3023" spans="2:17" x14ac:dyDescent="0.2">
      <c r="B3023" s="6" t="s">
        <v>3447</v>
      </c>
      <c r="C3023">
        <v>5</v>
      </c>
      <c r="D3023" s="6" t="s">
        <v>3480</v>
      </c>
      <c r="E3023" s="8" t="s">
        <v>3812</v>
      </c>
      <c r="F3023" t="s">
        <v>9060</v>
      </c>
      <c r="G3023">
        <v>35</v>
      </c>
      <c r="Q3023" t="s">
        <v>10188</v>
      </c>
    </row>
    <row r="3024" spans="2:17" x14ac:dyDescent="0.2">
      <c r="B3024" s="6" t="s">
        <v>3447</v>
      </c>
      <c r="C3024">
        <v>5</v>
      </c>
      <c r="D3024" s="6" t="s">
        <v>3480</v>
      </c>
      <c r="E3024" s="8" t="s">
        <v>3813</v>
      </c>
      <c r="F3024" t="s">
        <v>1311</v>
      </c>
      <c r="G3024">
        <v>6</v>
      </c>
      <c r="O3024" t="s">
        <v>3495</v>
      </c>
      <c r="Q3024" t="s">
        <v>10189</v>
      </c>
    </row>
    <row r="3025" spans="2:17" x14ac:dyDescent="0.2">
      <c r="B3025" s="6" t="s">
        <v>3447</v>
      </c>
      <c r="C3025">
        <v>5</v>
      </c>
      <c r="D3025" s="6" t="s">
        <v>3480</v>
      </c>
      <c r="E3025" s="8" t="s">
        <v>3814</v>
      </c>
      <c r="F3025" t="s">
        <v>1389</v>
      </c>
      <c r="G3025">
        <v>4</v>
      </c>
      <c r="Q3025" t="s">
        <v>10190</v>
      </c>
    </row>
    <row r="3026" spans="2:17" x14ac:dyDescent="0.2">
      <c r="B3026" s="6" t="s">
        <v>3447</v>
      </c>
      <c r="C3026">
        <v>5</v>
      </c>
      <c r="D3026" s="6" t="s">
        <v>3480</v>
      </c>
      <c r="E3026" t="s">
        <v>3815</v>
      </c>
      <c r="F3026" s="6" t="s">
        <v>7138</v>
      </c>
      <c r="G3026">
        <v>1</v>
      </c>
      <c r="M3026">
        <v>2</v>
      </c>
      <c r="Q3026" t="s">
        <v>10186</v>
      </c>
    </row>
    <row r="3027" spans="2:17" x14ac:dyDescent="0.2">
      <c r="B3027" s="6" t="s">
        <v>3447</v>
      </c>
      <c r="C3027">
        <v>5</v>
      </c>
      <c r="D3027" s="6" t="s">
        <v>3480</v>
      </c>
      <c r="E3027" s="8" t="s">
        <v>3816</v>
      </c>
      <c r="F3027" s="6" t="s">
        <v>5930</v>
      </c>
      <c r="G3027" s="6" t="s">
        <v>114</v>
      </c>
      <c r="Q3027" t="s">
        <v>6130</v>
      </c>
    </row>
    <row r="3028" spans="2:17" x14ac:dyDescent="0.2">
      <c r="B3028" s="6" t="s">
        <v>3447</v>
      </c>
      <c r="C3028">
        <v>5</v>
      </c>
      <c r="D3028" s="6" t="s">
        <v>3480</v>
      </c>
      <c r="E3028" t="s">
        <v>3817</v>
      </c>
      <c r="F3028" s="6" t="s">
        <v>106</v>
      </c>
      <c r="G3028">
        <v>6</v>
      </c>
    </row>
    <row r="3029" spans="2:17" x14ac:dyDescent="0.2">
      <c r="B3029" s="6" t="s">
        <v>3447</v>
      </c>
      <c r="C3029">
        <v>5</v>
      </c>
      <c r="D3029" s="6" t="s">
        <v>3480</v>
      </c>
      <c r="E3029" t="s">
        <v>3818</v>
      </c>
      <c r="F3029" s="6" t="s">
        <v>2930</v>
      </c>
      <c r="G3029">
        <v>2</v>
      </c>
    </row>
    <row r="3030" spans="2:17" x14ac:dyDescent="0.2">
      <c r="B3030" s="6" t="s">
        <v>3447</v>
      </c>
      <c r="C3030">
        <v>6</v>
      </c>
      <c r="D3030" s="6" t="s">
        <v>3480</v>
      </c>
      <c r="E3030" s="8" t="s">
        <v>3819</v>
      </c>
      <c r="F3030" s="6" t="s">
        <v>3183</v>
      </c>
      <c r="H3030">
        <f>1.084-0.4</f>
        <v>0.68400000000000005</v>
      </c>
      <c r="O3030" t="s">
        <v>3498</v>
      </c>
    </row>
    <row r="3031" spans="2:17" x14ac:dyDescent="0.2">
      <c r="B3031" s="6" t="s">
        <v>3447</v>
      </c>
      <c r="C3031">
        <v>6</v>
      </c>
      <c r="D3031" s="6" t="s">
        <v>3480</v>
      </c>
      <c r="E3031" t="s">
        <v>3820</v>
      </c>
      <c r="F3031" s="6" t="s">
        <v>504</v>
      </c>
      <c r="H3031">
        <f>10.7-1.8</f>
        <v>8.8999999999999986</v>
      </c>
      <c r="O3031" t="s">
        <v>3497</v>
      </c>
    </row>
    <row r="3032" spans="2:17" x14ac:dyDescent="0.2">
      <c r="B3032" s="6" t="s">
        <v>3447</v>
      </c>
      <c r="C3032">
        <v>6</v>
      </c>
      <c r="D3032" s="6" t="s">
        <v>3480</v>
      </c>
      <c r="E3032" t="s">
        <v>3821</v>
      </c>
      <c r="F3032" s="6" t="s">
        <v>1264</v>
      </c>
      <c r="H3032">
        <f>0.732-0.285</f>
        <v>0.44700000000000001</v>
      </c>
      <c r="O3032" t="s">
        <v>3496</v>
      </c>
    </row>
    <row r="3033" spans="2:17" x14ac:dyDescent="0.2">
      <c r="B3033" s="6" t="s">
        <v>3447</v>
      </c>
      <c r="C3033">
        <v>6</v>
      </c>
      <c r="D3033" s="6" t="s">
        <v>3480</v>
      </c>
      <c r="E3033" t="s">
        <v>3822</v>
      </c>
      <c r="F3033" s="6" t="s">
        <v>1389</v>
      </c>
      <c r="G3033">
        <v>3</v>
      </c>
      <c r="Q3033" t="s">
        <v>10201</v>
      </c>
    </row>
    <row r="3034" spans="2:17" x14ac:dyDescent="0.2">
      <c r="B3034" s="6" t="s">
        <v>3447</v>
      </c>
      <c r="C3034">
        <v>6</v>
      </c>
      <c r="D3034" s="6" t="s">
        <v>3480</v>
      </c>
      <c r="E3034" t="s">
        <v>3823</v>
      </c>
      <c r="F3034" s="6" t="s">
        <v>1389</v>
      </c>
      <c r="G3034">
        <v>1</v>
      </c>
      <c r="Q3034" t="s">
        <v>10202</v>
      </c>
    </row>
    <row r="3035" spans="2:17" x14ac:dyDescent="0.2">
      <c r="B3035" s="6" t="s">
        <v>3447</v>
      </c>
      <c r="C3035">
        <v>6</v>
      </c>
      <c r="D3035" s="6" t="s">
        <v>3480</v>
      </c>
      <c r="E3035" t="s">
        <v>3824</v>
      </c>
      <c r="F3035" s="6" t="s">
        <v>1389</v>
      </c>
      <c r="G3035">
        <v>1</v>
      </c>
      <c r="M3035">
        <v>3</v>
      </c>
      <c r="Q3035" t="s">
        <v>10203</v>
      </c>
    </row>
    <row r="3036" spans="2:17" x14ac:dyDescent="0.2">
      <c r="B3036" s="6" t="s">
        <v>3447</v>
      </c>
      <c r="C3036">
        <v>6</v>
      </c>
      <c r="D3036" s="6" t="s">
        <v>3480</v>
      </c>
      <c r="E3036" t="s">
        <v>3825</v>
      </c>
      <c r="F3036" s="6" t="s">
        <v>1559</v>
      </c>
      <c r="G3036">
        <v>1</v>
      </c>
      <c r="O3036" t="s">
        <v>5392</v>
      </c>
    </row>
    <row r="3037" spans="2:17" x14ac:dyDescent="0.2">
      <c r="B3037" s="6" t="s">
        <v>3447</v>
      </c>
      <c r="C3037">
        <v>6</v>
      </c>
      <c r="D3037" s="6" t="s">
        <v>3480</v>
      </c>
      <c r="E3037" s="8" t="s">
        <v>3826</v>
      </c>
      <c r="F3037" s="6" t="s">
        <v>1538</v>
      </c>
      <c r="G3037">
        <v>15</v>
      </c>
      <c r="Q3037" t="s">
        <v>10199</v>
      </c>
    </row>
    <row r="3038" spans="2:17" x14ac:dyDescent="0.2">
      <c r="B3038" s="6" t="s">
        <v>3447</v>
      </c>
      <c r="C3038">
        <v>6</v>
      </c>
      <c r="D3038" s="6" t="s">
        <v>3480</v>
      </c>
      <c r="E3038" s="8" t="s">
        <v>3827</v>
      </c>
      <c r="F3038" s="6" t="s">
        <v>1538</v>
      </c>
      <c r="G3038">
        <v>7</v>
      </c>
      <c r="Q3038" t="s">
        <v>10198</v>
      </c>
    </row>
    <row r="3039" spans="2:17" x14ac:dyDescent="0.2">
      <c r="B3039" s="6" t="s">
        <v>3447</v>
      </c>
      <c r="C3039">
        <v>6</v>
      </c>
      <c r="D3039" s="6" t="s">
        <v>3480</v>
      </c>
      <c r="E3039" s="8" t="s">
        <v>3828</v>
      </c>
      <c r="F3039" s="6" t="s">
        <v>1538</v>
      </c>
      <c r="G3039" s="6" t="s">
        <v>114</v>
      </c>
      <c r="Q3039" t="s">
        <v>10197</v>
      </c>
    </row>
    <row r="3040" spans="2:17" x14ac:dyDescent="0.2">
      <c r="B3040" s="6" t="s">
        <v>3447</v>
      </c>
      <c r="C3040">
        <v>6</v>
      </c>
      <c r="D3040" s="6" t="s">
        <v>3480</v>
      </c>
      <c r="E3040" t="s">
        <v>3829</v>
      </c>
      <c r="F3040" s="6" t="s">
        <v>1538</v>
      </c>
      <c r="G3040">
        <v>2</v>
      </c>
    </row>
    <row r="3041" spans="2:17" x14ac:dyDescent="0.2">
      <c r="B3041" s="6" t="s">
        <v>3447</v>
      </c>
      <c r="C3041">
        <v>6</v>
      </c>
      <c r="D3041" s="6" t="s">
        <v>3480</v>
      </c>
      <c r="E3041" t="s">
        <v>3830</v>
      </c>
      <c r="F3041" s="6" t="s">
        <v>1538</v>
      </c>
      <c r="G3041">
        <v>2</v>
      </c>
      <c r="Q3041" t="s">
        <v>10200</v>
      </c>
    </row>
    <row r="3042" spans="2:17" x14ac:dyDescent="0.2">
      <c r="B3042" s="6" t="s">
        <v>3447</v>
      </c>
      <c r="C3042">
        <v>6</v>
      </c>
      <c r="D3042" s="6" t="s">
        <v>3480</v>
      </c>
      <c r="E3042" s="8" t="s">
        <v>3831</v>
      </c>
      <c r="F3042" t="s">
        <v>3499</v>
      </c>
      <c r="G3042">
        <v>3</v>
      </c>
      <c r="Q3042" t="s">
        <v>10192</v>
      </c>
    </row>
    <row r="3043" spans="2:17" x14ac:dyDescent="0.2">
      <c r="B3043" s="6" t="s">
        <v>3447</v>
      </c>
      <c r="C3043">
        <v>6</v>
      </c>
      <c r="D3043" s="6" t="s">
        <v>3480</v>
      </c>
      <c r="E3043" s="8" t="s">
        <v>3832</v>
      </c>
      <c r="F3043" t="s">
        <v>1538</v>
      </c>
      <c r="G3043">
        <v>8</v>
      </c>
      <c r="Q3043" t="s">
        <v>10193</v>
      </c>
    </row>
    <row r="3044" spans="2:17" x14ac:dyDescent="0.2">
      <c r="B3044" s="6" t="s">
        <v>3447</v>
      </c>
      <c r="C3044">
        <v>6</v>
      </c>
      <c r="D3044" s="6" t="s">
        <v>3480</v>
      </c>
      <c r="E3044" s="8" t="s">
        <v>3833</v>
      </c>
      <c r="F3044" t="s">
        <v>10191</v>
      </c>
      <c r="G3044">
        <v>19</v>
      </c>
      <c r="Q3044" t="s">
        <v>10194</v>
      </c>
    </row>
    <row r="3045" spans="2:17" x14ac:dyDescent="0.2">
      <c r="B3045" s="6" t="s">
        <v>3447</v>
      </c>
      <c r="C3045">
        <v>6</v>
      </c>
      <c r="D3045" s="6" t="s">
        <v>3480</v>
      </c>
      <c r="E3045" s="8" t="s">
        <v>3834</v>
      </c>
      <c r="F3045" t="s">
        <v>7337</v>
      </c>
      <c r="G3045">
        <v>6</v>
      </c>
      <c r="Q3045" t="s">
        <v>10195</v>
      </c>
    </row>
    <row r="3046" spans="2:17" x14ac:dyDescent="0.2">
      <c r="B3046" s="6" t="s">
        <v>3447</v>
      </c>
      <c r="C3046">
        <v>6</v>
      </c>
      <c r="D3046" s="6" t="s">
        <v>3480</v>
      </c>
      <c r="E3046" s="8" t="s">
        <v>3835</v>
      </c>
      <c r="F3046" t="s">
        <v>7337</v>
      </c>
      <c r="G3046">
        <v>21</v>
      </c>
      <c r="Q3046" t="s">
        <v>10196</v>
      </c>
    </row>
    <row r="3047" spans="2:17" x14ac:dyDescent="0.2">
      <c r="B3047" s="6" t="s">
        <v>3447</v>
      </c>
      <c r="C3047">
        <v>6</v>
      </c>
      <c r="D3047" s="6" t="s">
        <v>3480</v>
      </c>
      <c r="E3047" t="s">
        <v>3836</v>
      </c>
      <c r="F3047" s="6" t="s">
        <v>1425</v>
      </c>
      <c r="G3047">
        <v>4</v>
      </c>
      <c r="Q3047" t="s">
        <v>10204</v>
      </c>
    </row>
    <row r="3048" spans="2:17" x14ac:dyDescent="0.2">
      <c r="B3048" s="6" t="s">
        <v>3447</v>
      </c>
      <c r="C3048">
        <v>6</v>
      </c>
      <c r="D3048" s="6" t="s">
        <v>3480</v>
      </c>
      <c r="E3048" t="s">
        <v>3837</v>
      </c>
      <c r="F3048" s="6" t="s">
        <v>6239</v>
      </c>
      <c r="G3048">
        <v>1</v>
      </c>
      <c r="Q3048" t="s">
        <v>10209</v>
      </c>
    </row>
    <row r="3049" spans="2:17" x14ac:dyDescent="0.2">
      <c r="B3049" s="6" t="s">
        <v>3447</v>
      </c>
      <c r="C3049">
        <v>6</v>
      </c>
      <c r="D3049" s="6" t="s">
        <v>3480</v>
      </c>
      <c r="E3049" t="s">
        <v>3838</v>
      </c>
      <c r="F3049" s="6" t="s">
        <v>6239</v>
      </c>
      <c r="G3049" t="s">
        <v>114</v>
      </c>
      <c r="Q3049" t="s">
        <v>10208</v>
      </c>
    </row>
    <row r="3050" spans="2:17" x14ac:dyDescent="0.2">
      <c r="B3050" s="6" t="s">
        <v>3447</v>
      </c>
      <c r="C3050">
        <v>6</v>
      </c>
      <c r="D3050" s="6" t="s">
        <v>3480</v>
      </c>
      <c r="E3050" t="s">
        <v>3839</v>
      </c>
      <c r="F3050" s="6" t="s">
        <v>6239</v>
      </c>
      <c r="G3050">
        <v>1</v>
      </c>
      <c r="Q3050" t="s">
        <v>10207</v>
      </c>
    </row>
    <row r="3051" spans="2:17" x14ac:dyDescent="0.2">
      <c r="B3051" s="6" t="s">
        <v>3447</v>
      </c>
      <c r="C3051">
        <v>6</v>
      </c>
      <c r="D3051" s="6" t="s">
        <v>3480</v>
      </c>
      <c r="E3051" t="s">
        <v>3840</v>
      </c>
      <c r="F3051" s="6" t="s">
        <v>6239</v>
      </c>
      <c r="G3051">
        <v>9</v>
      </c>
      <c r="Q3051" t="s">
        <v>10206</v>
      </c>
    </row>
    <row r="3052" spans="2:17" x14ac:dyDescent="0.2">
      <c r="B3052" s="6" t="s">
        <v>3447</v>
      </c>
      <c r="C3052">
        <v>6</v>
      </c>
      <c r="D3052" s="6" t="s">
        <v>3480</v>
      </c>
      <c r="E3052" t="s">
        <v>3841</v>
      </c>
      <c r="F3052" s="6" t="s">
        <v>698</v>
      </c>
      <c r="G3052">
        <v>8</v>
      </c>
      <c r="M3052">
        <v>5</v>
      </c>
      <c r="O3052" t="s">
        <v>10211</v>
      </c>
      <c r="Q3052" t="s">
        <v>10210</v>
      </c>
    </row>
    <row r="3053" spans="2:17" x14ac:dyDescent="0.2">
      <c r="B3053" s="6" t="s">
        <v>3447</v>
      </c>
      <c r="C3053">
        <v>6</v>
      </c>
      <c r="D3053" s="6" t="s">
        <v>3480</v>
      </c>
      <c r="E3053" t="s">
        <v>3842</v>
      </c>
      <c r="F3053" s="6" t="s">
        <v>5930</v>
      </c>
      <c r="G3053">
        <v>1</v>
      </c>
      <c r="Q3053" t="s">
        <v>6131</v>
      </c>
    </row>
    <row r="3054" spans="2:17" x14ac:dyDescent="0.2">
      <c r="B3054" s="6" t="s">
        <v>3447</v>
      </c>
      <c r="C3054">
        <v>6</v>
      </c>
      <c r="D3054" s="6" t="s">
        <v>3480</v>
      </c>
      <c r="E3054" t="s">
        <v>3843</v>
      </c>
      <c r="F3054" s="6" t="s">
        <v>5930</v>
      </c>
      <c r="G3054">
        <v>2</v>
      </c>
      <c r="Q3054" t="s">
        <v>6132</v>
      </c>
    </row>
    <row r="3055" spans="2:17" x14ac:dyDescent="0.2">
      <c r="B3055" s="6" t="s">
        <v>3447</v>
      </c>
      <c r="C3055">
        <v>6</v>
      </c>
      <c r="D3055" s="6" t="s">
        <v>3480</v>
      </c>
      <c r="E3055" t="s">
        <v>3844</v>
      </c>
      <c r="F3055" s="6" t="s">
        <v>5930</v>
      </c>
      <c r="G3055" t="s">
        <v>114</v>
      </c>
      <c r="Q3055" t="s">
        <v>6133</v>
      </c>
    </row>
    <row r="3056" spans="2:17" x14ac:dyDescent="0.2">
      <c r="B3056" s="6" t="s">
        <v>3447</v>
      </c>
      <c r="C3056">
        <v>6</v>
      </c>
      <c r="D3056" s="6" t="s">
        <v>3480</v>
      </c>
      <c r="E3056" t="s">
        <v>3845</v>
      </c>
      <c r="F3056" s="6" t="s">
        <v>5930</v>
      </c>
      <c r="G3056" t="s">
        <v>114</v>
      </c>
      <c r="Q3056" t="s">
        <v>6134</v>
      </c>
    </row>
    <row r="3057" spans="2:17" x14ac:dyDescent="0.2">
      <c r="B3057" s="6" t="s">
        <v>3447</v>
      </c>
      <c r="C3057">
        <v>6</v>
      </c>
      <c r="D3057" s="6" t="s">
        <v>3480</v>
      </c>
      <c r="E3057" t="s">
        <v>3846</v>
      </c>
      <c r="F3057" s="6" t="s">
        <v>698</v>
      </c>
      <c r="G3057" t="s">
        <v>114</v>
      </c>
      <c r="M3057">
        <v>3</v>
      </c>
      <c r="Q3057" t="s">
        <v>10205</v>
      </c>
    </row>
    <row r="3058" spans="2:17" x14ac:dyDescent="0.2">
      <c r="B3058" s="6" t="s">
        <v>3447</v>
      </c>
      <c r="C3058">
        <v>6</v>
      </c>
      <c r="D3058" s="6" t="s">
        <v>3480</v>
      </c>
      <c r="E3058" t="s">
        <v>3847</v>
      </c>
      <c r="F3058" s="6" t="s">
        <v>3501</v>
      </c>
      <c r="G3058">
        <v>1</v>
      </c>
    </row>
    <row r="3059" spans="2:17" x14ac:dyDescent="0.2">
      <c r="B3059" s="6" t="s">
        <v>3447</v>
      </c>
      <c r="C3059">
        <v>6</v>
      </c>
      <c r="D3059" s="6" t="s">
        <v>3480</v>
      </c>
      <c r="E3059" t="s">
        <v>3848</v>
      </c>
      <c r="F3059" s="6" t="s">
        <v>7138</v>
      </c>
      <c r="G3059">
        <v>18</v>
      </c>
      <c r="Q3059" t="s">
        <v>10214</v>
      </c>
    </row>
    <row r="3060" spans="2:17" x14ac:dyDescent="0.2">
      <c r="B3060" s="6" t="s">
        <v>3447</v>
      </c>
      <c r="C3060">
        <v>6</v>
      </c>
      <c r="D3060" s="6" t="s">
        <v>3480</v>
      </c>
      <c r="E3060" t="s">
        <v>3849</v>
      </c>
      <c r="F3060" t="s">
        <v>10213</v>
      </c>
      <c r="G3060">
        <v>3</v>
      </c>
      <c r="M3060">
        <v>4</v>
      </c>
      <c r="Q3060" t="s">
        <v>10212</v>
      </c>
    </row>
    <row r="3061" spans="2:17" x14ac:dyDescent="0.2">
      <c r="B3061" s="6" t="s">
        <v>3447</v>
      </c>
      <c r="C3061">
        <v>6</v>
      </c>
      <c r="D3061" s="6" t="s">
        <v>3480</v>
      </c>
      <c r="E3061" t="s">
        <v>3850</v>
      </c>
      <c r="F3061" s="6" t="s">
        <v>3252</v>
      </c>
      <c r="G3061">
        <v>3</v>
      </c>
      <c r="M3061">
        <v>4</v>
      </c>
    </row>
    <row r="3062" spans="2:17" x14ac:dyDescent="0.2">
      <c r="B3062" s="6" t="s">
        <v>3447</v>
      </c>
      <c r="C3062">
        <v>6</v>
      </c>
      <c r="D3062" s="6" t="s">
        <v>3480</v>
      </c>
      <c r="E3062" t="s">
        <v>3851</v>
      </c>
      <c r="F3062" s="6" t="s">
        <v>106</v>
      </c>
      <c r="G3062">
        <v>2</v>
      </c>
      <c r="M3062">
        <v>2</v>
      </c>
      <c r="O3062" s="8" t="s">
        <v>3502</v>
      </c>
    </row>
    <row r="3063" spans="2:17" x14ac:dyDescent="0.2">
      <c r="B3063" s="6" t="s">
        <v>3447</v>
      </c>
      <c r="C3063">
        <v>6</v>
      </c>
      <c r="D3063" s="6" t="s">
        <v>3480</v>
      </c>
      <c r="E3063" t="s">
        <v>3852</v>
      </c>
      <c r="F3063" s="6" t="s">
        <v>2553</v>
      </c>
      <c r="G3063">
        <v>1</v>
      </c>
    </row>
    <row r="3064" spans="2:17" x14ac:dyDescent="0.2">
      <c r="B3064" s="6" t="s">
        <v>3447</v>
      </c>
      <c r="C3064">
        <v>6</v>
      </c>
      <c r="D3064" s="6" t="s">
        <v>3480</v>
      </c>
      <c r="E3064" t="s">
        <v>3853</v>
      </c>
      <c r="F3064" t="s">
        <v>6579</v>
      </c>
      <c r="G3064">
        <v>7</v>
      </c>
      <c r="Q3064" t="s">
        <v>10215</v>
      </c>
    </row>
    <row r="3065" spans="2:17" x14ac:dyDescent="0.2">
      <c r="B3065" s="6" t="s">
        <v>3447</v>
      </c>
      <c r="C3065">
        <v>1</v>
      </c>
      <c r="D3065" s="6" t="s">
        <v>3480</v>
      </c>
      <c r="E3065" s="8" t="s">
        <v>3854</v>
      </c>
      <c r="F3065" s="6" t="s">
        <v>504</v>
      </c>
      <c r="G3065">
        <f>5093*0.4</f>
        <v>2037.2</v>
      </c>
      <c r="O3065" t="s">
        <v>3505</v>
      </c>
    </row>
    <row r="3066" spans="2:17" x14ac:dyDescent="0.2">
      <c r="B3066" s="6" t="s">
        <v>3447</v>
      </c>
      <c r="C3066">
        <v>1</v>
      </c>
      <c r="D3066" s="6" t="s">
        <v>3480</v>
      </c>
      <c r="E3066" s="8" t="s">
        <v>3854</v>
      </c>
      <c r="F3066" s="6" t="s">
        <v>3183</v>
      </c>
      <c r="G3066">
        <f>5093*0.6</f>
        <v>3055.7999999999997</v>
      </c>
      <c r="O3066" t="s">
        <v>3505</v>
      </c>
    </row>
    <row r="3067" spans="2:17" x14ac:dyDescent="0.2">
      <c r="B3067" s="6" t="s">
        <v>3447</v>
      </c>
      <c r="C3067">
        <v>1</v>
      </c>
      <c r="D3067" s="6" t="s">
        <v>3480</v>
      </c>
      <c r="E3067" s="8" t="s">
        <v>3855</v>
      </c>
      <c r="F3067" s="6" t="s">
        <v>1264</v>
      </c>
      <c r="H3067">
        <v>4.8</v>
      </c>
      <c r="O3067" t="s">
        <v>3506</v>
      </c>
    </row>
    <row r="3068" spans="2:17" x14ac:dyDescent="0.2">
      <c r="B3068" s="6" t="s">
        <v>3447</v>
      </c>
      <c r="C3068">
        <v>1</v>
      </c>
      <c r="D3068" s="6" t="s">
        <v>3480</v>
      </c>
      <c r="E3068" s="8" t="s">
        <v>3856</v>
      </c>
      <c r="F3068" s="6" t="s">
        <v>740</v>
      </c>
      <c r="H3068">
        <f>2.613-0.4</f>
        <v>2.2130000000000001</v>
      </c>
    </row>
    <row r="3069" spans="2:17" x14ac:dyDescent="0.2">
      <c r="B3069" s="6" t="s">
        <v>3447</v>
      </c>
      <c r="C3069">
        <v>1</v>
      </c>
      <c r="D3069" s="6" t="s">
        <v>3480</v>
      </c>
      <c r="E3069" s="8" t="s">
        <v>3857</v>
      </c>
      <c r="F3069" s="6" t="s">
        <v>10218</v>
      </c>
      <c r="G3069">
        <f>599-424</f>
        <v>175</v>
      </c>
      <c r="Q3069" t="s">
        <v>10216</v>
      </c>
    </row>
    <row r="3070" spans="2:17" x14ac:dyDescent="0.2">
      <c r="B3070" s="6" t="s">
        <v>3447</v>
      </c>
      <c r="C3070">
        <v>1</v>
      </c>
      <c r="D3070" s="6" t="s">
        <v>3480</v>
      </c>
      <c r="E3070" s="8" t="s">
        <v>3858</v>
      </c>
      <c r="F3070" s="6" t="s">
        <v>3503</v>
      </c>
      <c r="G3070" s="6" t="s">
        <v>114</v>
      </c>
    </row>
    <row r="3071" spans="2:17" x14ac:dyDescent="0.2">
      <c r="B3071" s="6" t="s">
        <v>3447</v>
      </c>
      <c r="C3071">
        <v>1</v>
      </c>
      <c r="D3071" s="6" t="s">
        <v>3480</v>
      </c>
      <c r="E3071" s="8" t="s">
        <v>3859</v>
      </c>
      <c r="F3071" s="6" t="s">
        <v>698</v>
      </c>
      <c r="G3071" s="6" t="s">
        <v>114</v>
      </c>
      <c r="Q3071" t="s">
        <v>10217</v>
      </c>
    </row>
    <row r="3072" spans="2:17" x14ac:dyDescent="0.2">
      <c r="B3072" s="6" t="s">
        <v>3447</v>
      </c>
      <c r="C3072">
        <v>1</v>
      </c>
      <c r="D3072" s="6" t="s">
        <v>3480</v>
      </c>
      <c r="E3072" s="8" t="s">
        <v>3860</v>
      </c>
      <c r="F3072" s="6" t="s">
        <v>118</v>
      </c>
      <c r="G3072">
        <v>62</v>
      </c>
      <c r="O3072" t="s">
        <v>3504</v>
      </c>
    </row>
    <row r="3073" spans="2:17" x14ac:dyDescent="0.2">
      <c r="B3073" s="6" t="s">
        <v>3447</v>
      </c>
      <c r="C3073">
        <v>1</v>
      </c>
      <c r="D3073" s="6" t="s">
        <v>3480</v>
      </c>
      <c r="E3073" s="8" t="s">
        <v>3861</v>
      </c>
      <c r="F3073" s="6" t="s">
        <v>2957</v>
      </c>
      <c r="G3073">
        <v>89</v>
      </c>
    </row>
    <row r="3074" spans="2:17" x14ac:dyDescent="0.2">
      <c r="B3074" s="6" t="s">
        <v>3862</v>
      </c>
      <c r="C3074" t="s">
        <v>462</v>
      </c>
      <c r="D3074" s="6" t="s">
        <v>3480</v>
      </c>
      <c r="E3074" s="8" t="s">
        <v>3987</v>
      </c>
      <c r="F3074" s="6" t="s">
        <v>6933</v>
      </c>
      <c r="G3074">
        <f>392-357</f>
        <v>35</v>
      </c>
      <c r="Q3074" t="s">
        <v>10219</v>
      </c>
    </row>
    <row r="3075" spans="2:17" x14ac:dyDescent="0.2">
      <c r="B3075" s="6" t="s">
        <v>3862</v>
      </c>
      <c r="C3075" t="s">
        <v>462</v>
      </c>
      <c r="D3075" s="6" t="s">
        <v>3480</v>
      </c>
      <c r="E3075" s="8" t="s">
        <v>3988</v>
      </c>
      <c r="F3075" t="s">
        <v>5869</v>
      </c>
      <c r="G3075">
        <f>409-357</f>
        <v>52</v>
      </c>
      <c r="Q3075" t="s">
        <v>5875</v>
      </c>
    </row>
    <row r="3076" spans="2:17" x14ac:dyDescent="0.2">
      <c r="B3076" s="6" t="s">
        <v>3862</v>
      </c>
      <c r="C3076">
        <v>2</v>
      </c>
      <c r="D3076" s="6" t="s">
        <v>3480</v>
      </c>
      <c r="E3076" s="8" t="s">
        <v>3989</v>
      </c>
      <c r="F3076" s="6" t="s">
        <v>1538</v>
      </c>
      <c r="H3076">
        <v>9.7000000000000003E-2</v>
      </c>
      <c r="Q3076" s="40" t="s">
        <v>6328</v>
      </c>
    </row>
    <row r="3077" spans="2:17" x14ac:dyDescent="0.2">
      <c r="B3077" s="6" t="s">
        <v>3862</v>
      </c>
      <c r="C3077">
        <v>2</v>
      </c>
      <c r="D3077" s="6" t="s">
        <v>3480</v>
      </c>
      <c r="E3077" s="8" t="s">
        <v>3990</v>
      </c>
      <c r="F3077" s="6" t="s">
        <v>1538</v>
      </c>
      <c r="G3077">
        <v>22</v>
      </c>
      <c r="Q3077" s="40" t="s">
        <v>6330</v>
      </c>
    </row>
    <row r="3078" spans="2:17" x14ac:dyDescent="0.2">
      <c r="B3078" s="6" t="s">
        <v>3862</v>
      </c>
      <c r="C3078">
        <v>2</v>
      </c>
      <c r="D3078" s="6" t="s">
        <v>3480</v>
      </c>
      <c r="E3078" s="8" t="s">
        <v>3991</v>
      </c>
      <c r="F3078" s="6" t="s">
        <v>1538</v>
      </c>
      <c r="G3078">
        <v>41</v>
      </c>
      <c r="Q3078" s="40" t="s">
        <v>6329</v>
      </c>
    </row>
    <row r="3079" spans="2:17" x14ac:dyDescent="0.2">
      <c r="B3079" s="6" t="s">
        <v>3862</v>
      </c>
      <c r="C3079">
        <v>2</v>
      </c>
      <c r="D3079" s="6" t="s">
        <v>3480</v>
      </c>
      <c r="E3079" t="s">
        <v>3992</v>
      </c>
      <c r="F3079" s="6" t="s">
        <v>1264</v>
      </c>
      <c r="H3079">
        <f>4.5-0.285</f>
        <v>4.2149999999999999</v>
      </c>
      <c r="O3079" t="s">
        <v>3865</v>
      </c>
    </row>
    <row r="3080" spans="2:17" x14ac:dyDescent="0.2">
      <c r="B3080" s="6" t="s">
        <v>3862</v>
      </c>
      <c r="C3080">
        <v>2</v>
      </c>
      <c r="D3080" s="6" t="s">
        <v>3480</v>
      </c>
      <c r="E3080" s="8" t="s">
        <v>3993</v>
      </c>
      <c r="F3080" s="6" t="s">
        <v>1538</v>
      </c>
      <c r="G3080">
        <v>7</v>
      </c>
      <c r="Q3080" s="40" t="s">
        <v>6326</v>
      </c>
    </row>
    <row r="3081" spans="2:17" x14ac:dyDescent="0.2">
      <c r="B3081" s="6" t="s">
        <v>3862</v>
      </c>
      <c r="C3081">
        <v>2</v>
      </c>
      <c r="D3081" s="6" t="s">
        <v>3480</v>
      </c>
      <c r="E3081" s="8" t="s">
        <v>3994</v>
      </c>
      <c r="F3081" s="6" t="s">
        <v>1538</v>
      </c>
      <c r="G3081">
        <v>14</v>
      </c>
      <c r="Q3081" s="40" t="s">
        <v>6327</v>
      </c>
    </row>
    <row r="3082" spans="2:17" x14ac:dyDescent="0.2">
      <c r="B3082" s="6" t="s">
        <v>3862</v>
      </c>
      <c r="C3082">
        <v>2</v>
      </c>
      <c r="D3082" s="6" t="s">
        <v>3480</v>
      </c>
      <c r="E3082" s="8" t="s">
        <v>3995</v>
      </c>
      <c r="F3082" s="6" t="s">
        <v>1538</v>
      </c>
      <c r="G3082">
        <v>137</v>
      </c>
      <c r="M3082">
        <v>5</v>
      </c>
    </row>
    <row r="3083" spans="2:17" x14ac:dyDescent="0.2">
      <c r="B3083" s="6" t="s">
        <v>3862</v>
      </c>
      <c r="C3083">
        <v>2</v>
      </c>
      <c r="D3083" s="6" t="s">
        <v>3480</v>
      </c>
      <c r="E3083" t="s">
        <v>3996</v>
      </c>
      <c r="F3083" s="6" t="s">
        <v>1538</v>
      </c>
      <c r="G3083">
        <v>793</v>
      </c>
    </row>
    <row r="3084" spans="2:17" x14ac:dyDescent="0.2">
      <c r="B3084" s="6" t="s">
        <v>3862</v>
      </c>
      <c r="C3084">
        <v>2</v>
      </c>
      <c r="D3084" s="6" t="s">
        <v>3480</v>
      </c>
      <c r="E3084" s="8" t="s">
        <v>3997</v>
      </c>
      <c r="F3084" s="6" t="s">
        <v>1538</v>
      </c>
      <c r="G3084">
        <v>7</v>
      </c>
      <c r="Q3084" t="s">
        <v>10220</v>
      </c>
    </row>
    <row r="3085" spans="2:17" x14ac:dyDescent="0.2">
      <c r="B3085" s="6" t="s">
        <v>3862</v>
      </c>
      <c r="C3085">
        <v>2</v>
      </c>
      <c r="D3085" s="6" t="s">
        <v>3480</v>
      </c>
      <c r="E3085" t="s">
        <v>3998</v>
      </c>
      <c r="F3085" s="6" t="s">
        <v>1538</v>
      </c>
      <c r="G3085">
        <v>3</v>
      </c>
      <c r="Q3085" t="s">
        <v>10221</v>
      </c>
    </row>
    <row r="3086" spans="2:17" x14ac:dyDescent="0.2">
      <c r="B3086" s="6" t="s">
        <v>3862</v>
      </c>
      <c r="C3086">
        <v>2</v>
      </c>
      <c r="D3086" s="6" t="s">
        <v>3480</v>
      </c>
      <c r="E3086" t="s">
        <v>3999</v>
      </c>
      <c r="F3086" s="6" t="s">
        <v>1538</v>
      </c>
      <c r="G3086" t="s">
        <v>114</v>
      </c>
      <c r="Q3086" t="s">
        <v>10222</v>
      </c>
    </row>
    <row r="3087" spans="2:17" x14ac:dyDescent="0.2">
      <c r="B3087" s="6" t="s">
        <v>3862</v>
      </c>
      <c r="C3087">
        <v>2</v>
      </c>
      <c r="D3087" s="6" t="s">
        <v>3480</v>
      </c>
      <c r="E3087" t="s">
        <v>4000</v>
      </c>
      <c r="F3087" s="6" t="s">
        <v>1538</v>
      </c>
      <c r="G3087">
        <v>6</v>
      </c>
      <c r="Q3087" t="s">
        <v>10223</v>
      </c>
    </row>
    <row r="3088" spans="2:17" x14ac:dyDescent="0.2">
      <c r="B3088" s="6" t="s">
        <v>3862</v>
      </c>
      <c r="C3088">
        <v>2</v>
      </c>
      <c r="D3088" s="6" t="s">
        <v>3480</v>
      </c>
      <c r="E3088" t="s">
        <v>4001</v>
      </c>
      <c r="F3088" s="6" t="s">
        <v>1538</v>
      </c>
      <c r="G3088">
        <v>7</v>
      </c>
      <c r="Q3088" t="s">
        <v>10224</v>
      </c>
    </row>
    <row r="3089" spans="2:17" x14ac:dyDescent="0.2">
      <c r="B3089" s="6" t="s">
        <v>3862</v>
      </c>
      <c r="C3089">
        <v>2</v>
      </c>
      <c r="D3089" s="6" t="s">
        <v>3480</v>
      </c>
      <c r="E3089" s="8" t="s">
        <v>4002</v>
      </c>
      <c r="F3089" s="6" t="s">
        <v>1538</v>
      </c>
      <c r="G3089">
        <v>9</v>
      </c>
      <c r="M3089">
        <v>3</v>
      </c>
    </row>
    <row r="3090" spans="2:17" x14ac:dyDescent="0.2">
      <c r="B3090" s="6" t="s">
        <v>3862</v>
      </c>
      <c r="C3090">
        <v>2</v>
      </c>
      <c r="D3090" s="6" t="s">
        <v>3480</v>
      </c>
      <c r="E3090" s="8" t="s">
        <v>4003</v>
      </c>
      <c r="F3090" s="6" t="s">
        <v>1425</v>
      </c>
      <c r="G3090">
        <v>17</v>
      </c>
      <c r="Q3090" t="s">
        <v>10225</v>
      </c>
    </row>
    <row r="3091" spans="2:17" x14ac:dyDescent="0.2">
      <c r="B3091" s="6" t="s">
        <v>3862</v>
      </c>
      <c r="C3091">
        <v>2</v>
      </c>
      <c r="D3091" s="6" t="s">
        <v>3480</v>
      </c>
      <c r="E3091" t="s">
        <v>4004</v>
      </c>
      <c r="F3091" s="6" t="s">
        <v>3864</v>
      </c>
      <c r="H3091">
        <f>1.1-0.29</f>
        <v>0.81</v>
      </c>
      <c r="O3091" t="s">
        <v>3866</v>
      </c>
    </row>
    <row r="3092" spans="2:17" x14ac:dyDescent="0.2">
      <c r="B3092" s="6" t="s">
        <v>3862</v>
      </c>
      <c r="C3092">
        <v>2</v>
      </c>
      <c r="D3092" s="6" t="s">
        <v>3480</v>
      </c>
      <c r="E3092" t="s">
        <v>4005</v>
      </c>
      <c r="F3092" t="s">
        <v>6261</v>
      </c>
      <c r="G3092">
        <v>19</v>
      </c>
      <c r="Q3092" t="s">
        <v>10226</v>
      </c>
    </row>
    <row r="3093" spans="2:17" x14ac:dyDescent="0.2">
      <c r="B3093" s="6" t="s">
        <v>3862</v>
      </c>
      <c r="C3093">
        <v>2</v>
      </c>
      <c r="D3093" s="6" t="s">
        <v>3480</v>
      </c>
      <c r="E3093" t="s">
        <v>4006</v>
      </c>
      <c r="F3093" t="s">
        <v>6261</v>
      </c>
      <c r="G3093">
        <v>26</v>
      </c>
      <c r="Q3093" t="s">
        <v>10227</v>
      </c>
    </row>
    <row r="3094" spans="2:17" x14ac:dyDescent="0.2">
      <c r="B3094" s="6" t="s">
        <v>3862</v>
      </c>
      <c r="C3094">
        <v>2</v>
      </c>
      <c r="D3094" s="6" t="s">
        <v>3480</v>
      </c>
      <c r="E3094" t="s">
        <v>4007</v>
      </c>
      <c r="F3094" t="s">
        <v>6283</v>
      </c>
      <c r="G3094">
        <v>3</v>
      </c>
      <c r="Q3094" t="s">
        <v>10228</v>
      </c>
    </row>
    <row r="3095" spans="2:17" x14ac:dyDescent="0.2">
      <c r="B3095" s="6" t="s">
        <v>3862</v>
      </c>
      <c r="C3095">
        <v>2</v>
      </c>
      <c r="D3095" s="6" t="s">
        <v>3480</v>
      </c>
      <c r="E3095" t="s">
        <v>4008</v>
      </c>
      <c r="F3095" t="s">
        <v>6283</v>
      </c>
      <c r="G3095">
        <v>3</v>
      </c>
      <c r="Q3095" t="s">
        <v>10229</v>
      </c>
    </row>
    <row r="3096" spans="2:17" x14ac:dyDescent="0.2">
      <c r="B3096" s="6" t="s">
        <v>3862</v>
      </c>
      <c r="C3096">
        <v>2</v>
      </c>
      <c r="D3096" s="6" t="s">
        <v>3480</v>
      </c>
      <c r="E3096" t="s">
        <v>4009</v>
      </c>
      <c r="F3096" t="s">
        <v>6283</v>
      </c>
      <c r="G3096">
        <v>3</v>
      </c>
      <c r="Q3096" t="s">
        <v>10230</v>
      </c>
    </row>
    <row r="3097" spans="2:17" x14ac:dyDescent="0.2">
      <c r="B3097" s="6" t="s">
        <v>3862</v>
      </c>
      <c r="C3097">
        <v>2</v>
      </c>
      <c r="D3097" s="6" t="s">
        <v>3480</v>
      </c>
      <c r="E3097" t="s">
        <v>4010</v>
      </c>
      <c r="F3097" s="6" t="s">
        <v>6250</v>
      </c>
      <c r="G3097">
        <v>15</v>
      </c>
      <c r="Q3097" t="s">
        <v>10231</v>
      </c>
    </row>
    <row r="3098" spans="2:17" x14ac:dyDescent="0.2">
      <c r="B3098" s="6" t="s">
        <v>3862</v>
      </c>
      <c r="C3098">
        <v>2</v>
      </c>
      <c r="D3098" s="6" t="s">
        <v>3480</v>
      </c>
      <c r="E3098" t="s">
        <v>4011</v>
      </c>
      <c r="F3098" s="6" t="s">
        <v>6250</v>
      </c>
      <c r="G3098">
        <v>2</v>
      </c>
      <c r="Q3098" t="s">
        <v>10232</v>
      </c>
    </row>
    <row r="3099" spans="2:17" x14ac:dyDescent="0.2">
      <c r="B3099" s="6" t="s">
        <v>3862</v>
      </c>
      <c r="C3099">
        <v>2</v>
      </c>
      <c r="D3099" s="6" t="s">
        <v>3480</v>
      </c>
      <c r="E3099" t="s">
        <v>4012</v>
      </c>
      <c r="F3099" s="6" t="s">
        <v>6250</v>
      </c>
      <c r="G3099">
        <v>2</v>
      </c>
      <c r="Q3099" t="s">
        <v>10233</v>
      </c>
    </row>
    <row r="3100" spans="2:17" x14ac:dyDescent="0.2">
      <c r="B3100" s="6" t="s">
        <v>3862</v>
      </c>
      <c r="C3100">
        <v>2</v>
      </c>
      <c r="D3100" s="6" t="s">
        <v>3480</v>
      </c>
      <c r="E3100" t="s">
        <v>4013</v>
      </c>
      <c r="F3100" s="6" t="s">
        <v>6250</v>
      </c>
      <c r="G3100">
        <v>3</v>
      </c>
      <c r="Q3100" t="s">
        <v>10234</v>
      </c>
    </row>
    <row r="3101" spans="2:17" x14ac:dyDescent="0.2">
      <c r="B3101" s="6" t="s">
        <v>3862</v>
      </c>
      <c r="C3101">
        <v>2</v>
      </c>
      <c r="D3101" s="6" t="s">
        <v>3480</v>
      </c>
      <c r="E3101" t="s">
        <v>4014</v>
      </c>
      <c r="F3101" t="s">
        <v>1538</v>
      </c>
      <c r="G3101">
        <v>1</v>
      </c>
      <c r="Q3101" t="s">
        <v>10235</v>
      </c>
    </row>
    <row r="3102" spans="2:17" x14ac:dyDescent="0.2">
      <c r="B3102" s="6" t="s">
        <v>3862</v>
      </c>
      <c r="C3102">
        <v>2</v>
      </c>
      <c r="D3102" s="6" t="s">
        <v>3480</v>
      </c>
      <c r="E3102" t="s">
        <v>4015</v>
      </c>
      <c r="F3102" t="s">
        <v>1538</v>
      </c>
      <c r="G3102" t="s">
        <v>114</v>
      </c>
      <c r="Q3102" t="s">
        <v>10236</v>
      </c>
    </row>
    <row r="3103" spans="2:17" x14ac:dyDescent="0.2">
      <c r="B3103" s="6" t="s">
        <v>3862</v>
      </c>
      <c r="C3103">
        <v>2</v>
      </c>
      <c r="D3103" s="6" t="s">
        <v>3480</v>
      </c>
      <c r="E3103" t="s">
        <v>4016</v>
      </c>
      <c r="F3103" t="s">
        <v>1538</v>
      </c>
      <c r="G3103" t="s">
        <v>114</v>
      </c>
      <c r="Q3103" t="s">
        <v>10237</v>
      </c>
    </row>
    <row r="3104" spans="2:17" x14ac:dyDescent="0.2">
      <c r="B3104" s="6" t="s">
        <v>3862</v>
      </c>
      <c r="C3104">
        <v>2</v>
      </c>
      <c r="D3104" s="6" t="s">
        <v>3480</v>
      </c>
      <c r="E3104" t="s">
        <v>4017</v>
      </c>
      <c r="F3104" t="s">
        <v>1538</v>
      </c>
      <c r="G3104" t="s">
        <v>114</v>
      </c>
      <c r="Q3104" t="s">
        <v>10238</v>
      </c>
    </row>
    <row r="3105" spans="2:17" x14ac:dyDescent="0.2">
      <c r="B3105" s="6" t="s">
        <v>3862</v>
      </c>
      <c r="C3105">
        <v>2</v>
      </c>
      <c r="D3105" s="6" t="s">
        <v>3480</v>
      </c>
      <c r="E3105" t="s">
        <v>4018</v>
      </c>
      <c r="F3105" t="s">
        <v>1311</v>
      </c>
      <c r="G3105">
        <v>4</v>
      </c>
      <c r="Q3105" t="s">
        <v>10239</v>
      </c>
    </row>
    <row r="3106" spans="2:17" x14ac:dyDescent="0.2">
      <c r="B3106" s="6" t="s">
        <v>3862</v>
      </c>
      <c r="C3106">
        <v>2</v>
      </c>
      <c r="D3106" s="6" t="s">
        <v>3480</v>
      </c>
      <c r="E3106" t="s">
        <v>4019</v>
      </c>
      <c r="F3106" t="s">
        <v>1311</v>
      </c>
      <c r="G3106">
        <v>4</v>
      </c>
      <c r="Q3106" t="s">
        <v>10240</v>
      </c>
    </row>
    <row r="3107" spans="2:17" x14ac:dyDescent="0.2">
      <c r="B3107" s="6" t="s">
        <v>3862</v>
      </c>
      <c r="C3107">
        <v>2</v>
      </c>
      <c r="D3107" s="6" t="s">
        <v>3480</v>
      </c>
      <c r="E3107" t="s">
        <v>4020</v>
      </c>
      <c r="F3107" t="s">
        <v>1311</v>
      </c>
      <c r="G3107">
        <v>4</v>
      </c>
      <c r="Q3107" t="s">
        <v>10241</v>
      </c>
    </row>
    <row r="3108" spans="2:17" x14ac:dyDescent="0.2">
      <c r="B3108" s="6" t="s">
        <v>3862</v>
      </c>
      <c r="C3108">
        <v>2</v>
      </c>
      <c r="D3108" s="6" t="s">
        <v>3480</v>
      </c>
      <c r="E3108" t="s">
        <v>4021</v>
      </c>
      <c r="F3108" t="s">
        <v>1311</v>
      </c>
      <c r="G3108">
        <v>4</v>
      </c>
      <c r="Q3108" t="s">
        <v>10242</v>
      </c>
    </row>
    <row r="3109" spans="2:17" x14ac:dyDescent="0.2">
      <c r="B3109" s="6" t="s">
        <v>3862</v>
      </c>
      <c r="C3109">
        <v>2</v>
      </c>
      <c r="D3109" s="6" t="s">
        <v>3480</v>
      </c>
      <c r="E3109" t="s">
        <v>4022</v>
      </c>
      <c r="F3109" t="s">
        <v>1311</v>
      </c>
      <c r="G3109">
        <v>3</v>
      </c>
      <c r="Q3109" t="s">
        <v>10243</v>
      </c>
    </row>
    <row r="3110" spans="2:17" x14ac:dyDescent="0.2">
      <c r="B3110" s="6" t="s">
        <v>3862</v>
      </c>
      <c r="C3110">
        <v>2</v>
      </c>
      <c r="D3110" s="6" t="s">
        <v>3480</v>
      </c>
      <c r="E3110" t="s">
        <v>4023</v>
      </c>
      <c r="F3110" s="6" t="s">
        <v>1311</v>
      </c>
      <c r="G3110">
        <v>15</v>
      </c>
      <c r="M3110">
        <v>5</v>
      </c>
    </row>
    <row r="3111" spans="2:17" x14ac:dyDescent="0.2">
      <c r="B3111" s="6" t="s">
        <v>3862</v>
      </c>
      <c r="C3111">
        <v>2</v>
      </c>
      <c r="D3111" s="6" t="s">
        <v>3480</v>
      </c>
      <c r="E3111" t="s">
        <v>4024</v>
      </c>
      <c r="F3111" t="s">
        <v>9043</v>
      </c>
      <c r="G3111">
        <v>1</v>
      </c>
      <c r="P3111" t="s">
        <v>5999</v>
      </c>
      <c r="Q3111" t="s">
        <v>10244</v>
      </c>
    </row>
    <row r="3112" spans="2:17" x14ac:dyDescent="0.2">
      <c r="B3112" s="6" t="s">
        <v>3862</v>
      </c>
      <c r="C3112">
        <v>2</v>
      </c>
      <c r="D3112" s="6" t="s">
        <v>3480</v>
      </c>
      <c r="E3112" t="s">
        <v>4025</v>
      </c>
      <c r="F3112" t="s">
        <v>9043</v>
      </c>
      <c r="G3112">
        <v>1</v>
      </c>
      <c r="P3112" t="s">
        <v>5999</v>
      </c>
      <c r="Q3112" t="s">
        <v>10245</v>
      </c>
    </row>
    <row r="3113" spans="2:17" x14ac:dyDescent="0.2">
      <c r="B3113" s="6" t="s">
        <v>3862</v>
      </c>
      <c r="C3113">
        <v>2</v>
      </c>
      <c r="D3113" s="6" t="s">
        <v>3480</v>
      </c>
      <c r="E3113" t="s">
        <v>3996</v>
      </c>
      <c r="F3113" s="6" t="s">
        <v>1311</v>
      </c>
      <c r="G3113">
        <v>24</v>
      </c>
      <c r="M3113" t="s">
        <v>802</v>
      </c>
    </row>
    <row r="3114" spans="2:17" x14ac:dyDescent="0.2">
      <c r="B3114" s="6" t="s">
        <v>3862</v>
      </c>
      <c r="C3114">
        <v>2</v>
      </c>
      <c r="D3114" s="6" t="s">
        <v>3480</v>
      </c>
      <c r="E3114" t="s">
        <v>4026</v>
      </c>
      <c r="F3114" s="6" t="s">
        <v>2957</v>
      </c>
      <c r="G3114">
        <v>8</v>
      </c>
    </row>
    <row r="3115" spans="2:17" x14ac:dyDescent="0.2">
      <c r="B3115" s="6" t="s">
        <v>3862</v>
      </c>
      <c r="C3115">
        <v>2</v>
      </c>
      <c r="D3115" s="6" t="s">
        <v>3480</v>
      </c>
      <c r="E3115" t="s">
        <v>4027</v>
      </c>
      <c r="F3115" s="6" t="s">
        <v>3867</v>
      </c>
      <c r="G3115">
        <v>9</v>
      </c>
      <c r="O3115" t="s">
        <v>3868</v>
      </c>
    </row>
    <row r="3116" spans="2:17" x14ac:dyDescent="0.2">
      <c r="B3116" s="6" t="s">
        <v>3862</v>
      </c>
      <c r="C3116">
        <v>2</v>
      </c>
      <c r="D3116" s="6" t="s">
        <v>3480</v>
      </c>
      <c r="E3116" t="s">
        <v>4028</v>
      </c>
      <c r="F3116" s="6" t="s">
        <v>2218</v>
      </c>
      <c r="G3116">
        <v>14</v>
      </c>
    </row>
    <row r="3117" spans="2:17" x14ac:dyDescent="0.2">
      <c r="B3117" s="6" t="s">
        <v>3862</v>
      </c>
      <c r="C3117">
        <v>2</v>
      </c>
      <c r="D3117" s="6" t="s">
        <v>3480</v>
      </c>
      <c r="E3117" t="s">
        <v>4029</v>
      </c>
      <c r="F3117" s="6" t="s">
        <v>810</v>
      </c>
      <c r="G3117">
        <v>10</v>
      </c>
    </row>
    <row r="3118" spans="2:17" x14ac:dyDescent="0.2">
      <c r="B3118" s="6" t="s">
        <v>3862</v>
      </c>
      <c r="C3118">
        <v>2</v>
      </c>
      <c r="D3118" s="6" t="s">
        <v>3480</v>
      </c>
      <c r="E3118" t="s">
        <v>4030</v>
      </c>
      <c r="F3118" s="6" t="s">
        <v>106</v>
      </c>
      <c r="G3118">
        <v>6</v>
      </c>
    </row>
    <row r="3119" spans="2:17" x14ac:dyDescent="0.2">
      <c r="B3119" s="6" t="s">
        <v>3862</v>
      </c>
      <c r="C3119">
        <v>2</v>
      </c>
      <c r="D3119" s="6" t="s">
        <v>3480</v>
      </c>
      <c r="E3119" t="s">
        <v>4031</v>
      </c>
      <c r="F3119" s="6" t="s">
        <v>7138</v>
      </c>
      <c r="G3119">
        <v>30</v>
      </c>
      <c r="M3119">
        <v>5</v>
      </c>
      <c r="Q3119" t="s">
        <v>10246</v>
      </c>
    </row>
    <row r="3120" spans="2:17" x14ac:dyDescent="0.2">
      <c r="B3120" s="6" t="s">
        <v>3862</v>
      </c>
      <c r="C3120">
        <v>2</v>
      </c>
      <c r="D3120" s="6" t="s">
        <v>3480</v>
      </c>
      <c r="E3120" t="s">
        <v>4032</v>
      </c>
      <c r="F3120" s="6" t="s">
        <v>112</v>
      </c>
      <c r="G3120">
        <v>18</v>
      </c>
      <c r="Q3120" t="s">
        <v>10247</v>
      </c>
    </row>
    <row r="3121" spans="2:17" x14ac:dyDescent="0.2">
      <c r="B3121" s="6" t="s">
        <v>3862</v>
      </c>
      <c r="C3121">
        <v>3</v>
      </c>
      <c r="D3121" s="6" t="s">
        <v>3480</v>
      </c>
      <c r="E3121" s="8" t="s">
        <v>4033</v>
      </c>
      <c r="F3121" s="6" t="s">
        <v>504</v>
      </c>
      <c r="H3121">
        <f>1.676-0.357</f>
        <v>1.319</v>
      </c>
      <c r="O3121" t="s">
        <v>3869</v>
      </c>
    </row>
    <row r="3122" spans="2:17" x14ac:dyDescent="0.2">
      <c r="B3122" s="6" t="s">
        <v>3862</v>
      </c>
      <c r="C3122">
        <v>3</v>
      </c>
      <c r="D3122" s="6" t="s">
        <v>3480</v>
      </c>
      <c r="E3122" s="8" t="s">
        <v>4034</v>
      </c>
      <c r="F3122" s="6" t="s">
        <v>1264</v>
      </c>
      <c r="H3122">
        <f>7.2-0.323</f>
        <v>6.8769999999999998</v>
      </c>
      <c r="O3122" t="s">
        <v>3870</v>
      </c>
    </row>
    <row r="3123" spans="2:17" x14ac:dyDescent="0.2">
      <c r="B3123" s="6" t="s">
        <v>3862</v>
      </c>
      <c r="C3123">
        <v>3</v>
      </c>
      <c r="D3123" s="6" t="s">
        <v>3480</v>
      </c>
      <c r="E3123" s="8" t="s">
        <v>4035</v>
      </c>
      <c r="F3123" s="6" t="s">
        <v>1538</v>
      </c>
      <c r="G3123">
        <v>29</v>
      </c>
      <c r="Q3123" t="s">
        <v>10248</v>
      </c>
    </row>
    <row r="3124" spans="2:17" x14ac:dyDescent="0.2">
      <c r="B3124" s="6" t="s">
        <v>3862</v>
      </c>
      <c r="C3124">
        <v>3</v>
      </c>
      <c r="D3124" s="6" t="s">
        <v>3480</v>
      </c>
      <c r="E3124" s="8" t="s">
        <v>4036</v>
      </c>
      <c r="F3124" s="6" t="s">
        <v>1538</v>
      </c>
      <c r="G3124">
        <v>12</v>
      </c>
      <c r="Q3124" t="s">
        <v>10249</v>
      </c>
    </row>
    <row r="3125" spans="2:17" x14ac:dyDescent="0.2">
      <c r="B3125" s="6" t="s">
        <v>3862</v>
      </c>
      <c r="C3125">
        <v>3</v>
      </c>
      <c r="D3125" s="6" t="s">
        <v>3480</v>
      </c>
      <c r="E3125" s="8" t="s">
        <v>4037</v>
      </c>
      <c r="F3125" s="6" t="s">
        <v>1538</v>
      </c>
      <c r="G3125">
        <v>12</v>
      </c>
      <c r="Q3125" t="s">
        <v>10250</v>
      </c>
    </row>
    <row r="3126" spans="2:17" x14ac:dyDescent="0.2">
      <c r="B3126" s="6" t="s">
        <v>3862</v>
      </c>
      <c r="C3126">
        <v>3</v>
      </c>
      <c r="D3126" s="6" t="s">
        <v>3480</v>
      </c>
      <c r="E3126" s="8" t="s">
        <v>4038</v>
      </c>
      <c r="F3126" s="6" t="s">
        <v>1538</v>
      </c>
      <c r="G3126">
        <v>11</v>
      </c>
      <c r="Q3126" t="s">
        <v>10251</v>
      </c>
    </row>
    <row r="3127" spans="2:17" x14ac:dyDescent="0.2">
      <c r="B3127" s="6" t="s">
        <v>3862</v>
      </c>
      <c r="C3127">
        <v>3</v>
      </c>
      <c r="D3127" s="6" t="s">
        <v>3480</v>
      </c>
      <c r="E3127" s="8" t="s">
        <v>4039</v>
      </c>
      <c r="F3127" s="6" t="s">
        <v>1538</v>
      </c>
      <c r="G3127">
        <v>4</v>
      </c>
      <c r="Q3127" t="s">
        <v>10252</v>
      </c>
    </row>
    <row r="3128" spans="2:17" x14ac:dyDescent="0.2">
      <c r="B3128" s="6" t="s">
        <v>3862</v>
      </c>
      <c r="C3128">
        <v>3</v>
      </c>
      <c r="D3128" s="6" t="s">
        <v>3480</v>
      </c>
      <c r="E3128" s="8" t="s">
        <v>4040</v>
      </c>
      <c r="F3128" s="6" t="s">
        <v>1538</v>
      </c>
      <c r="G3128">
        <v>119</v>
      </c>
      <c r="M3128">
        <v>5</v>
      </c>
    </row>
    <row r="3129" spans="2:17" x14ac:dyDescent="0.2">
      <c r="B3129" s="6" t="s">
        <v>3862</v>
      </c>
      <c r="C3129">
        <v>3</v>
      </c>
      <c r="D3129" s="6" t="s">
        <v>3480</v>
      </c>
      <c r="E3129" t="s">
        <v>4041</v>
      </c>
      <c r="F3129" s="6" t="s">
        <v>1538</v>
      </c>
      <c r="H3129">
        <f>1.232-0.41</f>
        <v>0.82200000000000006</v>
      </c>
    </row>
    <row r="3130" spans="2:17" x14ac:dyDescent="0.2">
      <c r="B3130" s="6" t="s">
        <v>3862</v>
      </c>
      <c r="C3130">
        <v>3</v>
      </c>
      <c r="D3130" s="6" t="s">
        <v>3480</v>
      </c>
      <c r="E3130" s="8" t="s">
        <v>4042</v>
      </c>
      <c r="F3130" s="6" t="s">
        <v>1538</v>
      </c>
      <c r="G3130">
        <v>13</v>
      </c>
      <c r="Q3130" t="s">
        <v>10253</v>
      </c>
    </row>
    <row r="3131" spans="2:17" x14ac:dyDescent="0.2">
      <c r="B3131" s="6" t="s">
        <v>3862</v>
      </c>
      <c r="C3131">
        <v>3</v>
      </c>
      <c r="D3131" s="6" t="s">
        <v>3480</v>
      </c>
      <c r="E3131" t="s">
        <v>4043</v>
      </c>
      <c r="F3131" s="6" t="s">
        <v>1538</v>
      </c>
      <c r="G3131">
        <v>5</v>
      </c>
      <c r="Q3131" t="s">
        <v>10254</v>
      </c>
    </row>
    <row r="3132" spans="2:17" x14ac:dyDescent="0.2">
      <c r="B3132" s="6" t="s">
        <v>3862</v>
      </c>
      <c r="C3132">
        <v>3</v>
      </c>
      <c r="D3132" s="6" t="s">
        <v>3480</v>
      </c>
      <c r="E3132" t="s">
        <v>4044</v>
      </c>
      <c r="F3132" s="6" t="s">
        <v>1538</v>
      </c>
      <c r="G3132">
        <v>3</v>
      </c>
      <c r="Q3132" t="s">
        <v>10255</v>
      </c>
    </row>
    <row r="3133" spans="2:17" x14ac:dyDescent="0.2">
      <c r="B3133" s="6" t="s">
        <v>3862</v>
      </c>
      <c r="C3133">
        <v>3</v>
      </c>
      <c r="D3133" s="6" t="s">
        <v>3480</v>
      </c>
      <c r="E3133" t="s">
        <v>4045</v>
      </c>
      <c r="F3133" s="6" t="s">
        <v>1538</v>
      </c>
      <c r="G3133">
        <v>1</v>
      </c>
      <c r="Q3133" t="s">
        <v>10256</v>
      </c>
    </row>
    <row r="3134" spans="2:17" x14ac:dyDescent="0.2">
      <c r="B3134" s="6" t="s">
        <v>3862</v>
      </c>
      <c r="C3134">
        <v>3</v>
      </c>
      <c r="D3134" s="6" t="s">
        <v>3480</v>
      </c>
      <c r="E3134" t="s">
        <v>4046</v>
      </c>
      <c r="F3134" s="6" t="s">
        <v>1538</v>
      </c>
      <c r="G3134">
        <v>1</v>
      </c>
      <c r="Q3134" t="s">
        <v>10257</v>
      </c>
    </row>
    <row r="3135" spans="2:17" x14ac:dyDescent="0.2">
      <c r="B3135" s="6" t="s">
        <v>3862</v>
      </c>
      <c r="C3135">
        <v>3</v>
      </c>
      <c r="D3135" s="6" t="s">
        <v>3480</v>
      </c>
      <c r="E3135" t="s">
        <v>4047</v>
      </c>
      <c r="F3135" s="6" t="s">
        <v>1538</v>
      </c>
      <c r="G3135">
        <v>1</v>
      </c>
      <c r="Q3135" t="s">
        <v>10258</v>
      </c>
    </row>
    <row r="3136" spans="2:17" x14ac:dyDescent="0.2">
      <c r="B3136" s="6" t="s">
        <v>3862</v>
      </c>
      <c r="C3136">
        <v>3</v>
      </c>
      <c r="D3136" s="6" t="s">
        <v>3480</v>
      </c>
      <c r="E3136" t="s">
        <v>4048</v>
      </c>
      <c r="F3136" s="6" t="s">
        <v>1538</v>
      </c>
      <c r="G3136">
        <v>17</v>
      </c>
      <c r="M3136">
        <v>5</v>
      </c>
    </row>
    <row r="3137" spans="2:17" x14ac:dyDescent="0.2">
      <c r="B3137" s="6" t="s">
        <v>3862</v>
      </c>
      <c r="C3137">
        <v>3</v>
      </c>
      <c r="D3137" s="6" t="s">
        <v>3480</v>
      </c>
      <c r="E3137" t="s">
        <v>4041</v>
      </c>
      <c r="F3137" s="6" t="s">
        <v>1538</v>
      </c>
      <c r="G3137">
        <v>18</v>
      </c>
    </row>
    <row r="3138" spans="2:17" x14ac:dyDescent="0.2">
      <c r="B3138" s="6" t="s">
        <v>3862</v>
      </c>
      <c r="C3138">
        <v>3</v>
      </c>
      <c r="D3138" s="6" t="s">
        <v>3480</v>
      </c>
      <c r="E3138" t="s">
        <v>4049</v>
      </c>
      <c r="F3138" s="6" t="s">
        <v>1389</v>
      </c>
      <c r="G3138">
        <v>4</v>
      </c>
      <c r="Q3138" t="s">
        <v>10259</v>
      </c>
    </row>
    <row r="3139" spans="2:17" x14ac:dyDescent="0.2">
      <c r="B3139" s="6" t="s">
        <v>3862</v>
      </c>
      <c r="C3139">
        <v>3</v>
      </c>
      <c r="D3139" s="6" t="s">
        <v>3480</v>
      </c>
      <c r="E3139" t="s">
        <v>4050</v>
      </c>
      <c r="F3139" s="6" t="s">
        <v>1389</v>
      </c>
      <c r="G3139">
        <v>10</v>
      </c>
      <c r="Q3139" t="s">
        <v>10260</v>
      </c>
    </row>
    <row r="3140" spans="2:17" x14ac:dyDescent="0.2">
      <c r="B3140" s="6" t="s">
        <v>3862</v>
      </c>
      <c r="C3140">
        <v>3</v>
      </c>
      <c r="D3140" s="6" t="s">
        <v>3480</v>
      </c>
      <c r="E3140" t="s">
        <v>4051</v>
      </c>
      <c r="F3140" s="6" t="s">
        <v>6331</v>
      </c>
      <c r="G3140">
        <v>24</v>
      </c>
      <c r="P3140" t="s">
        <v>5859</v>
      </c>
      <c r="Q3140" t="s">
        <v>6332</v>
      </c>
    </row>
    <row r="3141" spans="2:17" x14ac:dyDescent="0.2">
      <c r="B3141" s="6" t="s">
        <v>3862</v>
      </c>
      <c r="C3141">
        <v>3</v>
      </c>
      <c r="D3141" s="6" t="s">
        <v>3480</v>
      </c>
      <c r="E3141" t="s">
        <v>4052</v>
      </c>
      <c r="F3141" s="6" t="s">
        <v>1311</v>
      </c>
      <c r="G3141">
        <v>3</v>
      </c>
      <c r="Q3141" t="s">
        <v>10261</v>
      </c>
    </row>
    <row r="3142" spans="2:17" x14ac:dyDescent="0.2">
      <c r="B3142" s="6" t="s">
        <v>3862</v>
      </c>
      <c r="C3142">
        <v>3</v>
      </c>
      <c r="D3142" s="6" t="s">
        <v>3480</v>
      </c>
      <c r="E3142" t="s">
        <v>4053</v>
      </c>
      <c r="F3142" s="6" t="s">
        <v>1311</v>
      </c>
      <c r="G3142">
        <v>4</v>
      </c>
      <c r="Q3142" t="s">
        <v>10262</v>
      </c>
    </row>
    <row r="3143" spans="2:17" x14ac:dyDescent="0.2">
      <c r="B3143" s="6" t="s">
        <v>3862</v>
      </c>
      <c r="C3143">
        <v>3</v>
      </c>
      <c r="D3143" s="6" t="s">
        <v>3480</v>
      </c>
      <c r="E3143" t="s">
        <v>4054</v>
      </c>
      <c r="F3143" s="6" t="s">
        <v>1311</v>
      </c>
      <c r="G3143">
        <v>3</v>
      </c>
      <c r="Q3143" t="s">
        <v>10263</v>
      </c>
    </row>
    <row r="3144" spans="2:17" x14ac:dyDescent="0.2">
      <c r="B3144" s="6" t="s">
        <v>3862</v>
      </c>
      <c r="C3144">
        <v>3</v>
      </c>
      <c r="D3144" s="6" t="s">
        <v>3480</v>
      </c>
      <c r="E3144" t="s">
        <v>4055</v>
      </c>
      <c r="F3144" s="6" t="s">
        <v>1311</v>
      </c>
      <c r="G3144">
        <v>2</v>
      </c>
      <c r="Q3144" t="s">
        <v>10264</v>
      </c>
    </row>
    <row r="3145" spans="2:17" x14ac:dyDescent="0.2">
      <c r="B3145" s="6" t="s">
        <v>3862</v>
      </c>
      <c r="C3145">
        <v>3</v>
      </c>
      <c r="D3145" s="6" t="s">
        <v>3480</v>
      </c>
      <c r="E3145" t="s">
        <v>4056</v>
      </c>
      <c r="F3145" s="6" t="s">
        <v>1311</v>
      </c>
      <c r="G3145">
        <v>2</v>
      </c>
      <c r="Q3145" t="s">
        <v>10265</v>
      </c>
    </row>
    <row r="3146" spans="2:17" x14ac:dyDescent="0.2">
      <c r="B3146" s="6" t="s">
        <v>3862</v>
      </c>
      <c r="C3146">
        <v>3</v>
      </c>
      <c r="D3146" s="6" t="s">
        <v>3480</v>
      </c>
      <c r="E3146" t="s">
        <v>4057</v>
      </c>
      <c r="F3146" s="6" t="s">
        <v>1311</v>
      </c>
      <c r="G3146">
        <v>16</v>
      </c>
      <c r="O3146" t="s">
        <v>3872</v>
      </c>
    </row>
    <row r="3147" spans="2:17" x14ac:dyDescent="0.2">
      <c r="B3147" s="6" t="s">
        <v>3862</v>
      </c>
      <c r="C3147">
        <v>3</v>
      </c>
      <c r="D3147" s="6" t="s">
        <v>3480</v>
      </c>
      <c r="E3147" t="s">
        <v>4041</v>
      </c>
      <c r="F3147" s="6" t="s">
        <v>1311</v>
      </c>
      <c r="G3147">
        <v>24</v>
      </c>
    </row>
    <row r="3148" spans="2:17" x14ac:dyDescent="0.2">
      <c r="B3148" s="6" t="s">
        <v>3862</v>
      </c>
      <c r="C3148">
        <v>3</v>
      </c>
      <c r="D3148" s="6" t="s">
        <v>3480</v>
      </c>
      <c r="E3148" t="s">
        <v>4058</v>
      </c>
      <c r="F3148" s="6" t="s">
        <v>6862</v>
      </c>
      <c r="G3148">
        <v>4</v>
      </c>
      <c r="Q3148" t="s">
        <v>6135</v>
      </c>
    </row>
    <row r="3149" spans="2:17" x14ac:dyDescent="0.2">
      <c r="B3149" s="6" t="s">
        <v>3862</v>
      </c>
      <c r="C3149">
        <v>3</v>
      </c>
      <c r="D3149" s="6" t="s">
        <v>3480</v>
      </c>
      <c r="E3149" t="s">
        <v>4059</v>
      </c>
      <c r="F3149" s="6" t="s">
        <v>6862</v>
      </c>
      <c r="G3149">
        <v>2</v>
      </c>
      <c r="Q3149" t="s">
        <v>6136</v>
      </c>
    </row>
    <row r="3150" spans="2:17" x14ac:dyDescent="0.2">
      <c r="B3150" s="6" t="s">
        <v>3862</v>
      </c>
      <c r="C3150">
        <v>3</v>
      </c>
      <c r="D3150" s="6" t="s">
        <v>3480</v>
      </c>
      <c r="E3150" t="s">
        <v>4060</v>
      </c>
      <c r="F3150" s="6" t="s">
        <v>6862</v>
      </c>
      <c r="G3150">
        <v>1</v>
      </c>
      <c r="Q3150" t="s">
        <v>6137</v>
      </c>
    </row>
    <row r="3151" spans="2:17" x14ac:dyDescent="0.2">
      <c r="B3151" s="6" t="s">
        <v>3862</v>
      </c>
      <c r="C3151">
        <v>3</v>
      </c>
      <c r="D3151" s="6" t="s">
        <v>3480</v>
      </c>
      <c r="E3151" t="s">
        <v>4061</v>
      </c>
      <c r="F3151" s="6" t="s">
        <v>6239</v>
      </c>
      <c r="G3151">
        <v>1</v>
      </c>
      <c r="Q3151" t="s">
        <v>10266</v>
      </c>
    </row>
    <row r="3152" spans="2:17" x14ac:dyDescent="0.2">
      <c r="B3152" s="6" t="s">
        <v>3862</v>
      </c>
      <c r="C3152">
        <v>3</v>
      </c>
      <c r="D3152" s="6" t="s">
        <v>3480</v>
      </c>
      <c r="E3152" t="s">
        <v>4062</v>
      </c>
      <c r="F3152" s="6" t="s">
        <v>6239</v>
      </c>
      <c r="G3152" t="s">
        <v>114</v>
      </c>
      <c r="Q3152" t="s">
        <v>10267</v>
      </c>
    </row>
    <row r="3153" spans="2:17" x14ac:dyDescent="0.2">
      <c r="B3153" s="6" t="s">
        <v>3862</v>
      </c>
      <c r="C3153">
        <v>3</v>
      </c>
      <c r="D3153" s="6" t="s">
        <v>3480</v>
      </c>
      <c r="E3153" t="s">
        <v>4063</v>
      </c>
      <c r="F3153" s="6" t="s">
        <v>1538</v>
      </c>
      <c r="G3153">
        <v>2</v>
      </c>
      <c r="Q3153" t="s">
        <v>10268</v>
      </c>
    </row>
    <row r="3154" spans="2:17" x14ac:dyDescent="0.2">
      <c r="B3154" s="6" t="s">
        <v>3862</v>
      </c>
      <c r="C3154">
        <v>3</v>
      </c>
      <c r="D3154" s="6" t="s">
        <v>3480</v>
      </c>
      <c r="E3154" t="s">
        <v>4064</v>
      </c>
      <c r="F3154" s="6" t="s">
        <v>1538</v>
      </c>
      <c r="G3154">
        <v>10</v>
      </c>
      <c r="Q3154" t="s">
        <v>10269</v>
      </c>
    </row>
    <row r="3155" spans="2:17" x14ac:dyDescent="0.2">
      <c r="B3155" s="6" t="s">
        <v>3862</v>
      </c>
      <c r="C3155">
        <v>3</v>
      </c>
      <c r="D3155" s="6" t="s">
        <v>3480</v>
      </c>
      <c r="E3155" t="s">
        <v>4065</v>
      </c>
      <c r="F3155" s="6" t="s">
        <v>1538</v>
      </c>
      <c r="G3155">
        <v>5</v>
      </c>
      <c r="Q3155" t="s">
        <v>10270</v>
      </c>
    </row>
    <row r="3156" spans="2:17" x14ac:dyDescent="0.2">
      <c r="B3156" s="6" t="s">
        <v>3862</v>
      </c>
      <c r="C3156">
        <v>3</v>
      </c>
      <c r="D3156" s="6" t="s">
        <v>3480</v>
      </c>
      <c r="E3156" t="s">
        <v>4066</v>
      </c>
      <c r="F3156" s="6" t="s">
        <v>1538</v>
      </c>
      <c r="G3156">
        <v>2</v>
      </c>
      <c r="Q3156" t="s">
        <v>10271</v>
      </c>
    </row>
    <row r="3157" spans="2:17" x14ac:dyDescent="0.2">
      <c r="B3157" s="6" t="s">
        <v>3862</v>
      </c>
      <c r="C3157">
        <v>3</v>
      </c>
      <c r="D3157" s="6" t="s">
        <v>3480</v>
      </c>
      <c r="E3157" t="s">
        <v>4067</v>
      </c>
      <c r="F3157" s="6" t="s">
        <v>1538</v>
      </c>
      <c r="G3157" t="s">
        <v>114</v>
      </c>
      <c r="Q3157" t="s">
        <v>10272</v>
      </c>
    </row>
    <row r="3158" spans="2:17" x14ac:dyDescent="0.2">
      <c r="B3158" s="6" t="s">
        <v>3862</v>
      </c>
      <c r="C3158">
        <v>3</v>
      </c>
      <c r="D3158" s="6" t="s">
        <v>3480</v>
      </c>
      <c r="E3158" t="s">
        <v>4068</v>
      </c>
      <c r="F3158" s="6" t="s">
        <v>1538</v>
      </c>
      <c r="G3158" t="s">
        <v>114</v>
      </c>
      <c r="Q3158" t="s">
        <v>10273</v>
      </c>
    </row>
    <row r="3159" spans="2:17" x14ac:dyDescent="0.2">
      <c r="B3159" s="6" t="s">
        <v>3862</v>
      </c>
      <c r="C3159">
        <v>3</v>
      </c>
      <c r="D3159" s="6" t="s">
        <v>3480</v>
      </c>
      <c r="E3159" t="s">
        <v>4069</v>
      </c>
      <c r="F3159" s="6" t="s">
        <v>6322</v>
      </c>
      <c r="G3159">
        <v>19</v>
      </c>
      <c r="Q3159" t="s">
        <v>10274</v>
      </c>
    </row>
    <row r="3160" spans="2:17" x14ac:dyDescent="0.2">
      <c r="B3160" s="6" t="s">
        <v>3862</v>
      </c>
      <c r="C3160">
        <v>3</v>
      </c>
      <c r="D3160" s="6" t="s">
        <v>3480</v>
      </c>
      <c r="E3160" t="s">
        <v>4070</v>
      </c>
      <c r="F3160" s="6" t="s">
        <v>1425</v>
      </c>
      <c r="G3160">
        <v>31</v>
      </c>
      <c r="Q3160" t="s">
        <v>10275</v>
      </c>
    </row>
    <row r="3161" spans="2:17" x14ac:dyDescent="0.2">
      <c r="B3161" s="6" t="s">
        <v>3862</v>
      </c>
      <c r="C3161">
        <v>3</v>
      </c>
      <c r="D3161" s="6" t="s">
        <v>3480</v>
      </c>
      <c r="E3161" t="s">
        <v>4071</v>
      </c>
      <c r="F3161" s="6" t="s">
        <v>6239</v>
      </c>
      <c r="G3161" t="s">
        <v>114</v>
      </c>
      <c r="Q3161" t="s">
        <v>10278</v>
      </c>
    </row>
    <row r="3162" spans="2:17" x14ac:dyDescent="0.2">
      <c r="B3162" s="6" t="s">
        <v>3862</v>
      </c>
      <c r="C3162">
        <v>3</v>
      </c>
      <c r="D3162" s="6" t="s">
        <v>3480</v>
      </c>
      <c r="E3162" t="s">
        <v>4072</v>
      </c>
      <c r="F3162" s="6" t="s">
        <v>1425</v>
      </c>
      <c r="G3162">
        <v>9</v>
      </c>
      <c r="Q3162" t="s">
        <v>10277</v>
      </c>
    </row>
    <row r="3163" spans="2:17" x14ac:dyDescent="0.2">
      <c r="B3163" s="6" t="s">
        <v>3862</v>
      </c>
      <c r="C3163">
        <v>3</v>
      </c>
      <c r="D3163" s="6" t="s">
        <v>3480</v>
      </c>
      <c r="E3163" t="s">
        <v>4073</v>
      </c>
      <c r="F3163" s="6" t="s">
        <v>1425</v>
      </c>
      <c r="G3163">
        <v>38</v>
      </c>
      <c r="Q3163" t="s">
        <v>10276</v>
      </c>
    </row>
    <row r="3164" spans="2:17" x14ac:dyDescent="0.2">
      <c r="B3164" s="6" t="s">
        <v>3862</v>
      </c>
      <c r="C3164">
        <v>3</v>
      </c>
      <c r="D3164" s="6" t="s">
        <v>3480</v>
      </c>
      <c r="E3164" t="s">
        <v>4074</v>
      </c>
      <c r="F3164" s="6" t="s">
        <v>1425</v>
      </c>
      <c r="G3164">
        <v>33</v>
      </c>
      <c r="M3164">
        <v>5</v>
      </c>
    </row>
    <row r="3165" spans="2:17" x14ac:dyDescent="0.2">
      <c r="B3165" s="6" t="s">
        <v>3862</v>
      </c>
      <c r="C3165">
        <v>3</v>
      </c>
      <c r="D3165" s="6" t="s">
        <v>3480</v>
      </c>
      <c r="E3165" t="s">
        <v>4041</v>
      </c>
      <c r="F3165" s="6" t="s">
        <v>1425</v>
      </c>
      <c r="G3165">
        <v>66</v>
      </c>
    </row>
    <row r="3166" spans="2:17" x14ac:dyDescent="0.2">
      <c r="B3166" s="6" t="s">
        <v>3862</v>
      </c>
      <c r="C3166">
        <v>3</v>
      </c>
      <c r="D3166" s="6" t="s">
        <v>3480</v>
      </c>
      <c r="E3166" t="s">
        <v>4075</v>
      </c>
      <c r="F3166" s="6" t="s">
        <v>7138</v>
      </c>
      <c r="G3166">
        <v>23</v>
      </c>
      <c r="M3166">
        <v>3</v>
      </c>
      <c r="Q3166" t="s">
        <v>10279</v>
      </c>
    </row>
    <row r="3167" spans="2:17" x14ac:dyDescent="0.2">
      <c r="B3167" s="6" t="s">
        <v>3862</v>
      </c>
      <c r="C3167">
        <v>3</v>
      </c>
      <c r="D3167" s="6" t="s">
        <v>3480</v>
      </c>
      <c r="E3167" t="s">
        <v>4076</v>
      </c>
      <c r="F3167" s="6" t="s">
        <v>8168</v>
      </c>
      <c r="G3167">
        <v>2</v>
      </c>
      <c r="M3167">
        <v>2</v>
      </c>
      <c r="Q3167" t="s">
        <v>10279</v>
      </c>
    </row>
    <row r="3168" spans="2:17" x14ac:dyDescent="0.2">
      <c r="B3168" s="6" t="s">
        <v>3862</v>
      </c>
      <c r="C3168">
        <v>3</v>
      </c>
      <c r="D3168" s="6" t="s">
        <v>3480</v>
      </c>
      <c r="E3168" t="s">
        <v>4077</v>
      </c>
      <c r="F3168" s="6" t="s">
        <v>2789</v>
      </c>
      <c r="G3168">
        <v>8</v>
      </c>
      <c r="O3168" t="s">
        <v>3871</v>
      </c>
    </row>
    <row r="3169" spans="2:17" x14ac:dyDescent="0.2">
      <c r="B3169" s="6" t="s">
        <v>3862</v>
      </c>
      <c r="C3169">
        <v>3</v>
      </c>
      <c r="D3169" s="6" t="s">
        <v>3480</v>
      </c>
      <c r="E3169" t="s">
        <v>4078</v>
      </c>
      <c r="F3169" s="6" t="s">
        <v>3873</v>
      </c>
      <c r="G3169">
        <v>3</v>
      </c>
    </row>
    <row r="3170" spans="2:17" x14ac:dyDescent="0.2">
      <c r="B3170" s="6" t="s">
        <v>3862</v>
      </c>
      <c r="C3170">
        <v>3</v>
      </c>
      <c r="D3170" s="6" t="s">
        <v>3480</v>
      </c>
      <c r="E3170" t="s">
        <v>4079</v>
      </c>
      <c r="F3170" s="6" t="s">
        <v>3469</v>
      </c>
      <c r="G3170">
        <v>5</v>
      </c>
    </row>
    <row r="3171" spans="2:17" x14ac:dyDescent="0.2">
      <c r="B3171" s="6" t="s">
        <v>3862</v>
      </c>
      <c r="C3171">
        <v>3</v>
      </c>
      <c r="D3171" s="6" t="s">
        <v>3480</v>
      </c>
      <c r="E3171" t="s">
        <v>4080</v>
      </c>
      <c r="F3171" s="6" t="s">
        <v>3874</v>
      </c>
      <c r="G3171">
        <v>19</v>
      </c>
    </row>
    <row r="3172" spans="2:17" x14ac:dyDescent="0.2">
      <c r="B3172" s="6" t="s">
        <v>3862</v>
      </c>
      <c r="C3172">
        <v>5</v>
      </c>
      <c r="D3172" s="6" t="s">
        <v>3480</v>
      </c>
      <c r="E3172" s="8" t="s">
        <v>4081</v>
      </c>
      <c r="F3172" s="6" t="s">
        <v>1264</v>
      </c>
      <c r="G3172">
        <v>212</v>
      </c>
      <c r="O3172" t="s">
        <v>1005</v>
      </c>
    </row>
    <row r="3173" spans="2:17" x14ac:dyDescent="0.2">
      <c r="B3173" s="6" t="s">
        <v>3862</v>
      </c>
      <c r="C3173">
        <v>5</v>
      </c>
      <c r="D3173" s="6" t="s">
        <v>3480</v>
      </c>
      <c r="E3173" s="8" t="s">
        <v>4082</v>
      </c>
      <c r="F3173" t="s">
        <v>3875</v>
      </c>
      <c r="G3173">
        <v>122</v>
      </c>
    </row>
    <row r="3174" spans="2:17" x14ac:dyDescent="0.2">
      <c r="B3174" s="6" t="s">
        <v>3862</v>
      </c>
      <c r="C3174">
        <v>5</v>
      </c>
      <c r="D3174" s="6" t="s">
        <v>3480</v>
      </c>
      <c r="E3174" s="8" t="s">
        <v>4083</v>
      </c>
      <c r="F3174" s="6" t="s">
        <v>504</v>
      </c>
      <c r="G3174">
        <v>329</v>
      </c>
    </row>
    <row r="3175" spans="2:17" x14ac:dyDescent="0.2">
      <c r="B3175" s="6" t="s">
        <v>3862</v>
      </c>
      <c r="C3175">
        <v>5</v>
      </c>
      <c r="D3175" s="6" t="s">
        <v>3480</v>
      </c>
      <c r="E3175" s="8" t="s">
        <v>4084</v>
      </c>
      <c r="F3175" s="6" t="s">
        <v>1389</v>
      </c>
      <c r="G3175">
        <v>19</v>
      </c>
      <c r="Q3175" t="s">
        <v>10280</v>
      </c>
    </row>
    <row r="3176" spans="2:17" x14ac:dyDescent="0.2">
      <c r="B3176" s="6" t="s">
        <v>3862</v>
      </c>
      <c r="C3176">
        <v>5</v>
      </c>
      <c r="D3176" s="6" t="s">
        <v>3480</v>
      </c>
      <c r="E3176" s="8" t="s">
        <v>4085</v>
      </c>
      <c r="F3176" s="6" t="s">
        <v>1389</v>
      </c>
      <c r="G3176">
        <v>7</v>
      </c>
      <c r="Q3176" t="s">
        <v>10281</v>
      </c>
    </row>
    <row r="3177" spans="2:17" x14ac:dyDescent="0.2">
      <c r="B3177" s="6" t="s">
        <v>3862</v>
      </c>
      <c r="C3177">
        <v>5</v>
      </c>
      <c r="D3177" s="6" t="s">
        <v>3480</v>
      </c>
      <c r="E3177" s="8" t="s">
        <v>4086</v>
      </c>
      <c r="F3177" s="6" t="s">
        <v>1389</v>
      </c>
      <c r="G3177">
        <v>4</v>
      </c>
      <c r="Q3177" t="s">
        <v>10282</v>
      </c>
    </row>
    <row r="3178" spans="2:17" x14ac:dyDescent="0.2">
      <c r="B3178" s="6" t="s">
        <v>3862</v>
      </c>
      <c r="C3178">
        <v>5</v>
      </c>
      <c r="D3178" s="6" t="s">
        <v>3480</v>
      </c>
      <c r="E3178" s="8" t="s">
        <v>4087</v>
      </c>
      <c r="F3178" s="6" t="s">
        <v>1389</v>
      </c>
      <c r="G3178" s="6" t="s">
        <v>114</v>
      </c>
      <c r="Q3178" t="s">
        <v>10283</v>
      </c>
    </row>
    <row r="3179" spans="2:17" x14ac:dyDescent="0.2">
      <c r="B3179" s="6" t="s">
        <v>3862</v>
      </c>
      <c r="C3179">
        <v>5</v>
      </c>
      <c r="D3179" s="6" t="s">
        <v>3480</v>
      </c>
      <c r="E3179" s="8" t="s">
        <v>4088</v>
      </c>
      <c r="F3179" s="6" t="s">
        <v>1389</v>
      </c>
      <c r="G3179" s="6" t="s">
        <v>114</v>
      </c>
      <c r="Q3179" t="s">
        <v>10284</v>
      </c>
    </row>
    <row r="3180" spans="2:17" x14ac:dyDescent="0.2">
      <c r="B3180" s="6" t="s">
        <v>3862</v>
      </c>
      <c r="C3180">
        <v>5</v>
      </c>
      <c r="D3180" s="6" t="s">
        <v>3480</v>
      </c>
      <c r="E3180" s="8" t="s">
        <v>4089</v>
      </c>
      <c r="F3180" s="6" t="s">
        <v>1389</v>
      </c>
      <c r="G3180">
        <v>32</v>
      </c>
      <c r="M3180">
        <v>5</v>
      </c>
    </row>
    <row r="3181" spans="2:17" x14ac:dyDescent="0.2">
      <c r="B3181" s="6" t="s">
        <v>3862</v>
      </c>
      <c r="C3181">
        <v>5</v>
      </c>
      <c r="D3181" s="6" t="s">
        <v>3480</v>
      </c>
      <c r="E3181" t="s">
        <v>4090</v>
      </c>
      <c r="F3181" s="6" t="s">
        <v>1389</v>
      </c>
      <c r="G3181">
        <v>41</v>
      </c>
    </row>
    <row r="3182" spans="2:17" x14ac:dyDescent="0.2">
      <c r="B3182" s="6" t="s">
        <v>3862</v>
      </c>
      <c r="C3182">
        <v>5</v>
      </c>
      <c r="D3182" s="6" t="s">
        <v>3480</v>
      </c>
      <c r="E3182" t="s">
        <v>4091</v>
      </c>
      <c r="F3182" s="6" t="s">
        <v>1538</v>
      </c>
      <c r="G3182">
        <v>2</v>
      </c>
      <c r="O3182" t="s">
        <v>3876</v>
      </c>
      <c r="Q3182" t="s">
        <v>10285</v>
      </c>
    </row>
    <row r="3183" spans="2:17" x14ac:dyDescent="0.2">
      <c r="B3183" s="6" t="s">
        <v>3862</v>
      </c>
      <c r="C3183">
        <v>5</v>
      </c>
      <c r="D3183" s="6" t="s">
        <v>3480</v>
      </c>
      <c r="E3183" t="s">
        <v>4092</v>
      </c>
      <c r="F3183" s="6" t="s">
        <v>1538</v>
      </c>
      <c r="G3183">
        <v>2</v>
      </c>
      <c r="Q3183" t="s">
        <v>10286</v>
      </c>
    </row>
    <row r="3184" spans="2:17" x14ac:dyDescent="0.2">
      <c r="B3184" s="6" t="s">
        <v>3862</v>
      </c>
      <c r="C3184">
        <v>5</v>
      </c>
      <c r="D3184" s="6" t="s">
        <v>3480</v>
      </c>
      <c r="E3184" t="s">
        <v>4093</v>
      </c>
      <c r="F3184" s="6" t="s">
        <v>1538</v>
      </c>
      <c r="G3184">
        <v>1</v>
      </c>
      <c r="Q3184" t="s">
        <v>10287</v>
      </c>
    </row>
    <row r="3185" spans="2:17" x14ac:dyDescent="0.2">
      <c r="B3185" s="6" t="s">
        <v>3862</v>
      </c>
      <c r="C3185">
        <v>5</v>
      </c>
      <c r="D3185" s="6" t="s">
        <v>3480</v>
      </c>
      <c r="E3185" t="s">
        <v>4094</v>
      </c>
      <c r="F3185" s="6" t="s">
        <v>1538</v>
      </c>
      <c r="G3185">
        <v>1</v>
      </c>
      <c r="Q3185" t="s">
        <v>10288</v>
      </c>
    </row>
    <row r="3186" spans="2:17" x14ac:dyDescent="0.2">
      <c r="B3186" s="6" t="s">
        <v>3862</v>
      </c>
      <c r="C3186">
        <v>5</v>
      </c>
      <c r="D3186" s="6" t="s">
        <v>3480</v>
      </c>
      <c r="E3186" t="s">
        <v>4095</v>
      </c>
      <c r="F3186" s="6" t="s">
        <v>1538</v>
      </c>
      <c r="G3186">
        <v>1</v>
      </c>
      <c r="Q3186" t="s">
        <v>10289</v>
      </c>
    </row>
    <row r="3187" spans="2:17" x14ac:dyDescent="0.2">
      <c r="B3187" s="6" t="s">
        <v>3862</v>
      </c>
      <c r="C3187">
        <v>5</v>
      </c>
      <c r="D3187" s="6" t="s">
        <v>3480</v>
      </c>
      <c r="E3187" t="s">
        <v>4096</v>
      </c>
      <c r="F3187" s="6" t="s">
        <v>1425</v>
      </c>
      <c r="G3187">
        <v>6</v>
      </c>
      <c r="Q3187" t="s">
        <v>10290</v>
      </c>
    </row>
    <row r="3188" spans="2:17" x14ac:dyDescent="0.2">
      <c r="B3188" s="6" t="s">
        <v>3862</v>
      </c>
      <c r="C3188">
        <v>5</v>
      </c>
      <c r="D3188" s="6" t="s">
        <v>3480</v>
      </c>
      <c r="E3188" t="s">
        <v>4097</v>
      </c>
      <c r="F3188" s="6" t="s">
        <v>1425</v>
      </c>
      <c r="G3188">
        <v>3</v>
      </c>
      <c r="Q3188" t="s">
        <v>10291</v>
      </c>
    </row>
    <row r="3189" spans="2:17" x14ac:dyDescent="0.2">
      <c r="B3189" s="6" t="s">
        <v>3862</v>
      </c>
      <c r="C3189">
        <v>5</v>
      </c>
      <c r="D3189" s="6" t="s">
        <v>3480</v>
      </c>
      <c r="E3189" t="s">
        <v>4098</v>
      </c>
      <c r="F3189" s="6" t="s">
        <v>1425</v>
      </c>
      <c r="G3189">
        <v>31</v>
      </c>
      <c r="Q3189" s="12" t="s">
        <v>10292</v>
      </c>
    </row>
    <row r="3190" spans="2:17" x14ac:dyDescent="0.2">
      <c r="B3190" s="6" t="s">
        <v>3862</v>
      </c>
      <c r="C3190">
        <v>5</v>
      </c>
      <c r="D3190" s="6" t="s">
        <v>3480</v>
      </c>
      <c r="E3190" t="s">
        <v>4099</v>
      </c>
      <c r="F3190" s="6" t="s">
        <v>1425</v>
      </c>
      <c r="G3190">
        <v>33</v>
      </c>
      <c r="Q3190" s="12" t="s">
        <v>10293</v>
      </c>
    </row>
    <row r="3191" spans="2:17" x14ac:dyDescent="0.2">
      <c r="B3191" s="6" t="s">
        <v>3862</v>
      </c>
      <c r="C3191">
        <v>5</v>
      </c>
      <c r="D3191" s="6" t="s">
        <v>3480</v>
      </c>
      <c r="E3191" t="s">
        <v>4100</v>
      </c>
      <c r="F3191" s="6" t="s">
        <v>1425</v>
      </c>
      <c r="G3191">
        <v>3</v>
      </c>
    </row>
    <row r="3192" spans="2:17" x14ac:dyDescent="0.2">
      <c r="B3192" s="6" t="s">
        <v>3862</v>
      </c>
      <c r="C3192">
        <v>5</v>
      </c>
      <c r="D3192" s="6" t="s">
        <v>3480</v>
      </c>
      <c r="E3192" t="s">
        <v>4101</v>
      </c>
      <c r="F3192" s="6" t="s">
        <v>1425</v>
      </c>
      <c r="G3192">
        <v>17</v>
      </c>
      <c r="M3192">
        <v>3</v>
      </c>
    </row>
    <row r="3193" spans="2:17" x14ac:dyDescent="0.2">
      <c r="B3193" s="6" t="s">
        <v>3862</v>
      </c>
      <c r="C3193">
        <v>5</v>
      </c>
      <c r="D3193" s="6" t="s">
        <v>3480</v>
      </c>
      <c r="E3193" t="s">
        <v>4102</v>
      </c>
      <c r="F3193" s="6" t="s">
        <v>1538</v>
      </c>
      <c r="G3193">
        <v>1</v>
      </c>
      <c r="Q3193" s="12" t="s">
        <v>10294</v>
      </c>
    </row>
    <row r="3194" spans="2:17" x14ac:dyDescent="0.2">
      <c r="B3194" s="6" t="s">
        <v>3862</v>
      </c>
      <c r="C3194">
        <v>5</v>
      </c>
      <c r="D3194" s="6" t="s">
        <v>3480</v>
      </c>
      <c r="E3194" t="s">
        <v>4103</v>
      </c>
      <c r="F3194" s="6" t="s">
        <v>7138</v>
      </c>
      <c r="G3194">
        <v>4</v>
      </c>
      <c r="M3194">
        <v>4</v>
      </c>
      <c r="Q3194" t="s">
        <v>10295</v>
      </c>
    </row>
    <row r="3195" spans="2:17" x14ac:dyDescent="0.2">
      <c r="B3195" s="6" t="s">
        <v>3862</v>
      </c>
      <c r="C3195">
        <v>5</v>
      </c>
      <c r="D3195" s="6" t="s">
        <v>3480</v>
      </c>
      <c r="E3195" t="s">
        <v>4104</v>
      </c>
      <c r="F3195" s="6" t="s">
        <v>3469</v>
      </c>
      <c r="G3195">
        <v>3</v>
      </c>
    </row>
    <row r="3196" spans="2:17" x14ac:dyDescent="0.2">
      <c r="B3196" s="6" t="s">
        <v>3862</v>
      </c>
      <c r="C3196">
        <v>5</v>
      </c>
      <c r="D3196" s="6" t="s">
        <v>3480</v>
      </c>
      <c r="E3196" t="s">
        <v>4105</v>
      </c>
      <c r="F3196" s="6" t="s">
        <v>106</v>
      </c>
      <c r="G3196">
        <v>6</v>
      </c>
    </row>
    <row r="3197" spans="2:17" x14ac:dyDescent="0.2">
      <c r="B3197" s="6" t="s">
        <v>3862</v>
      </c>
      <c r="C3197">
        <v>5</v>
      </c>
      <c r="D3197" s="6" t="s">
        <v>3480</v>
      </c>
      <c r="E3197" t="s">
        <v>4106</v>
      </c>
      <c r="F3197" s="6" t="s">
        <v>6231</v>
      </c>
      <c r="G3197">
        <v>19</v>
      </c>
      <c r="Q3197" s="12" t="s">
        <v>6333</v>
      </c>
    </row>
    <row r="3198" spans="2:17" x14ac:dyDescent="0.2">
      <c r="B3198" s="6" t="s">
        <v>3862</v>
      </c>
      <c r="C3198">
        <v>5</v>
      </c>
      <c r="D3198" s="6" t="s">
        <v>3480</v>
      </c>
      <c r="E3198" t="s">
        <v>4107</v>
      </c>
      <c r="F3198" s="6" t="s">
        <v>6231</v>
      </c>
      <c r="G3198">
        <v>14</v>
      </c>
      <c r="Q3198" s="12" t="s">
        <v>6334</v>
      </c>
    </row>
    <row r="3199" spans="2:17" x14ac:dyDescent="0.2">
      <c r="B3199" s="6" t="s">
        <v>3862</v>
      </c>
      <c r="C3199">
        <v>5</v>
      </c>
      <c r="D3199" s="6" t="s">
        <v>3480</v>
      </c>
      <c r="E3199" t="s">
        <v>4108</v>
      </c>
      <c r="F3199" s="6" t="s">
        <v>6231</v>
      </c>
      <c r="G3199">
        <v>18</v>
      </c>
      <c r="Q3199" s="12" t="s">
        <v>6335</v>
      </c>
    </row>
    <row r="3200" spans="2:17" x14ac:dyDescent="0.2">
      <c r="B3200" s="6" t="s">
        <v>3862</v>
      </c>
      <c r="C3200">
        <v>5</v>
      </c>
      <c r="D3200" s="6" t="s">
        <v>3480</v>
      </c>
      <c r="E3200" t="s">
        <v>4109</v>
      </c>
      <c r="F3200" s="6" t="s">
        <v>6231</v>
      </c>
      <c r="G3200">
        <v>18</v>
      </c>
      <c r="Q3200" s="12" t="s">
        <v>6336</v>
      </c>
    </row>
    <row r="3201" spans="2:17" x14ac:dyDescent="0.2">
      <c r="B3201" s="6" t="s">
        <v>3862</v>
      </c>
      <c r="C3201">
        <v>5</v>
      </c>
      <c r="D3201" s="6" t="s">
        <v>3480</v>
      </c>
      <c r="E3201" t="s">
        <v>4110</v>
      </c>
      <c r="F3201" s="6" t="s">
        <v>6231</v>
      </c>
      <c r="G3201">
        <v>25</v>
      </c>
      <c r="Q3201" s="12" t="s">
        <v>6337</v>
      </c>
    </row>
    <row r="3202" spans="2:17" x14ac:dyDescent="0.2">
      <c r="B3202" s="6" t="s">
        <v>3862</v>
      </c>
      <c r="C3202">
        <v>5</v>
      </c>
      <c r="D3202" s="6" t="s">
        <v>3480</v>
      </c>
      <c r="E3202" t="s">
        <v>4111</v>
      </c>
      <c r="F3202" s="6" t="s">
        <v>1311</v>
      </c>
      <c r="G3202">
        <v>3</v>
      </c>
      <c r="Q3202" s="12" t="s">
        <v>10296</v>
      </c>
    </row>
    <row r="3203" spans="2:17" x14ac:dyDescent="0.2">
      <c r="B3203" s="6" t="s">
        <v>3862</v>
      </c>
      <c r="C3203">
        <v>5</v>
      </c>
      <c r="D3203" s="6" t="s">
        <v>3480</v>
      </c>
      <c r="E3203" t="s">
        <v>4112</v>
      </c>
      <c r="F3203" s="6" t="s">
        <v>1311</v>
      </c>
      <c r="G3203">
        <v>2</v>
      </c>
      <c r="Q3203" s="12" t="s">
        <v>10297</v>
      </c>
    </row>
    <row r="3204" spans="2:17" x14ac:dyDescent="0.2">
      <c r="B3204" s="6" t="s">
        <v>3862</v>
      </c>
      <c r="C3204">
        <v>5</v>
      </c>
      <c r="D3204" s="6" t="s">
        <v>3480</v>
      </c>
      <c r="E3204" t="s">
        <v>4113</v>
      </c>
      <c r="F3204" s="6" t="s">
        <v>1311</v>
      </c>
      <c r="G3204">
        <v>4</v>
      </c>
      <c r="Q3204" s="12" t="s">
        <v>10298</v>
      </c>
    </row>
    <row r="3205" spans="2:17" x14ac:dyDescent="0.2">
      <c r="B3205" s="6" t="s">
        <v>3862</v>
      </c>
      <c r="C3205">
        <v>5</v>
      </c>
      <c r="D3205" s="6" t="s">
        <v>3480</v>
      </c>
      <c r="E3205" t="s">
        <v>4114</v>
      </c>
      <c r="F3205" s="6" t="s">
        <v>1311</v>
      </c>
      <c r="G3205">
        <v>3</v>
      </c>
      <c r="Q3205" s="12" t="s">
        <v>10299</v>
      </c>
    </row>
    <row r="3206" spans="2:17" x14ac:dyDescent="0.2">
      <c r="B3206" s="6" t="s">
        <v>3862</v>
      </c>
      <c r="C3206">
        <v>5</v>
      </c>
      <c r="D3206" s="6" t="s">
        <v>3480</v>
      </c>
      <c r="E3206" t="s">
        <v>4115</v>
      </c>
      <c r="F3206" s="6" t="s">
        <v>1311</v>
      </c>
      <c r="G3206">
        <v>1</v>
      </c>
      <c r="Q3206" s="12" t="s">
        <v>10300</v>
      </c>
    </row>
    <row r="3207" spans="2:17" x14ac:dyDescent="0.2">
      <c r="B3207" s="6" t="s">
        <v>3862</v>
      </c>
      <c r="C3207">
        <v>5</v>
      </c>
      <c r="D3207" s="6" t="s">
        <v>3480</v>
      </c>
      <c r="E3207" t="s">
        <v>4116</v>
      </c>
      <c r="F3207" s="6" t="s">
        <v>130</v>
      </c>
      <c r="G3207" t="s">
        <v>114</v>
      </c>
      <c r="M3207">
        <v>3</v>
      </c>
    </row>
    <row r="3208" spans="2:17" x14ac:dyDescent="0.2">
      <c r="B3208" s="6" t="s">
        <v>3862</v>
      </c>
      <c r="C3208">
        <v>5</v>
      </c>
      <c r="D3208" s="6" t="s">
        <v>3480</v>
      </c>
      <c r="E3208" t="s">
        <v>4117</v>
      </c>
      <c r="F3208" s="6" t="s">
        <v>2789</v>
      </c>
      <c r="G3208">
        <v>8</v>
      </c>
      <c r="O3208" t="s">
        <v>3880</v>
      </c>
    </row>
    <row r="3209" spans="2:17" x14ac:dyDescent="0.2">
      <c r="B3209" s="6" t="s">
        <v>3862</v>
      </c>
      <c r="C3209">
        <v>5</v>
      </c>
      <c r="D3209" s="6" t="s">
        <v>3480</v>
      </c>
      <c r="E3209" t="s">
        <v>4118</v>
      </c>
      <c r="F3209" s="6" t="s">
        <v>1538</v>
      </c>
      <c r="G3209">
        <v>35</v>
      </c>
      <c r="Q3209" t="s">
        <v>10301</v>
      </c>
    </row>
    <row r="3210" spans="2:17" x14ac:dyDescent="0.2">
      <c r="B3210" s="6" t="s">
        <v>3862</v>
      </c>
      <c r="C3210">
        <v>5</v>
      </c>
      <c r="D3210" s="6" t="s">
        <v>3480</v>
      </c>
      <c r="E3210" t="s">
        <v>4119</v>
      </c>
      <c r="F3210" s="6" t="s">
        <v>1538</v>
      </c>
      <c r="G3210">
        <v>13</v>
      </c>
      <c r="Q3210" t="s">
        <v>10302</v>
      </c>
    </row>
    <row r="3211" spans="2:17" x14ac:dyDescent="0.2">
      <c r="B3211" s="6" t="s">
        <v>3862</v>
      </c>
      <c r="C3211">
        <v>5</v>
      </c>
      <c r="D3211" s="6" t="s">
        <v>3480</v>
      </c>
      <c r="E3211" t="s">
        <v>4120</v>
      </c>
      <c r="F3211" s="6" t="s">
        <v>1538</v>
      </c>
      <c r="G3211">
        <v>5</v>
      </c>
      <c r="Q3211" t="s">
        <v>10303</v>
      </c>
    </row>
    <row r="3212" spans="2:17" x14ac:dyDescent="0.2">
      <c r="B3212" s="6" t="s">
        <v>3862</v>
      </c>
      <c r="C3212">
        <v>5</v>
      </c>
      <c r="D3212" s="6" t="s">
        <v>3480</v>
      </c>
      <c r="E3212" t="s">
        <v>4121</v>
      </c>
      <c r="F3212" s="6" t="s">
        <v>1538</v>
      </c>
      <c r="G3212">
        <v>1</v>
      </c>
      <c r="Q3212" t="s">
        <v>10304</v>
      </c>
    </row>
    <row r="3213" spans="2:17" x14ac:dyDescent="0.2">
      <c r="B3213" s="6" t="s">
        <v>3862</v>
      </c>
      <c r="C3213">
        <v>5</v>
      </c>
      <c r="D3213" s="6" t="s">
        <v>3480</v>
      </c>
      <c r="E3213" t="s">
        <v>4122</v>
      </c>
      <c r="F3213" s="6" t="s">
        <v>1538</v>
      </c>
      <c r="G3213">
        <v>6</v>
      </c>
      <c r="Q3213" t="s">
        <v>10305</v>
      </c>
    </row>
    <row r="3214" spans="2:17" x14ac:dyDescent="0.2">
      <c r="B3214" s="6" t="s">
        <v>3862</v>
      </c>
      <c r="C3214">
        <v>5</v>
      </c>
      <c r="D3214" s="6" t="s">
        <v>3480</v>
      </c>
      <c r="E3214" t="s">
        <v>4123</v>
      </c>
      <c r="F3214" s="6" t="s">
        <v>1538</v>
      </c>
      <c r="G3214">
        <v>62</v>
      </c>
      <c r="M3214">
        <v>5</v>
      </c>
    </row>
    <row r="3215" spans="2:17" x14ac:dyDescent="0.2">
      <c r="B3215" s="6" t="s">
        <v>3862</v>
      </c>
      <c r="C3215">
        <v>5</v>
      </c>
      <c r="D3215" s="6" t="s">
        <v>3480</v>
      </c>
      <c r="E3215" t="s">
        <v>4090</v>
      </c>
      <c r="F3215" s="6" t="s">
        <v>1538</v>
      </c>
      <c r="G3215">
        <v>96</v>
      </c>
    </row>
    <row r="3216" spans="2:17" x14ac:dyDescent="0.2">
      <c r="B3216" s="6" t="s">
        <v>3862</v>
      </c>
      <c r="C3216">
        <v>4</v>
      </c>
      <c r="D3216" s="6" t="s">
        <v>3480</v>
      </c>
      <c r="E3216" t="s">
        <v>4124</v>
      </c>
      <c r="F3216" s="6" t="s">
        <v>1425</v>
      </c>
      <c r="G3216">
        <v>8</v>
      </c>
    </row>
    <row r="3217" spans="2:17" x14ac:dyDescent="0.2">
      <c r="B3217" s="6" t="s">
        <v>3862</v>
      </c>
      <c r="C3217">
        <v>4</v>
      </c>
      <c r="D3217" s="6" t="s">
        <v>3480</v>
      </c>
      <c r="E3217" s="8" t="s">
        <v>4125</v>
      </c>
      <c r="F3217" s="6" t="s">
        <v>1264</v>
      </c>
      <c r="H3217">
        <f>7.3-0.323</f>
        <v>6.9769999999999994</v>
      </c>
      <c r="O3217" t="s">
        <v>3878</v>
      </c>
    </row>
    <row r="3218" spans="2:17" x14ac:dyDescent="0.2">
      <c r="B3218" s="6" t="s">
        <v>3862</v>
      </c>
      <c r="C3218">
        <v>4</v>
      </c>
      <c r="D3218" s="6" t="s">
        <v>3480</v>
      </c>
      <c r="E3218" t="s">
        <v>4126</v>
      </c>
      <c r="F3218" s="6" t="s">
        <v>3877</v>
      </c>
      <c r="H3218">
        <f>1.1-0.357</f>
        <v>0.7430000000000001</v>
      </c>
      <c r="O3218" t="s">
        <v>3879</v>
      </c>
    </row>
    <row r="3219" spans="2:17" x14ac:dyDescent="0.2">
      <c r="B3219" s="6" t="s">
        <v>3862</v>
      </c>
      <c r="C3219">
        <v>4</v>
      </c>
      <c r="D3219" s="6" t="s">
        <v>3480</v>
      </c>
      <c r="E3219" s="8" t="s">
        <v>4127</v>
      </c>
      <c r="F3219" s="6" t="s">
        <v>1538</v>
      </c>
      <c r="G3219">
        <v>96</v>
      </c>
      <c r="Q3219" t="s">
        <v>10308</v>
      </c>
    </row>
    <row r="3220" spans="2:17" x14ac:dyDescent="0.2">
      <c r="B3220" s="6" t="s">
        <v>3862</v>
      </c>
      <c r="C3220">
        <v>4</v>
      </c>
      <c r="D3220" s="6" t="s">
        <v>3480</v>
      </c>
      <c r="E3220" s="8" t="s">
        <v>4128</v>
      </c>
      <c r="F3220" s="6" t="s">
        <v>1538</v>
      </c>
      <c r="G3220">
        <v>25</v>
      </c>
      <c r="Q3220" t="s">
        <v>10309</v>
      </c>
    </row>
    <row r="3221" spans="2:17" x14ac:dyDescent="0.2">
      <c r="B3221" s="6" t="s">
        <v>3862</v>
      </c>
      <c r="C3221">
        <v>4</v>
      </c>
      <c r="D3221" s="6" t="s">
        <v>3480</v>
      </c>
      <c r="E3221" s="8" t="s">
        <v>4129</v>
      </c>
      <c r="F3221" s="6" t="s">
        <v>1538</v>
      </c>
      <c r="G3221">
        <v>20</v>
      </c>
      <c r="Q3221" t="s">
        <v>10306</v>
      </c>
    </row>
    <row r="3222" spans="2:17" x14ac:dyDescent="0.2">
      <c r="B3222" s="6" t="s">
        <v>3862</v>
      </c>
      <c r="C3222">
        <v>4</v>
      </c>
      <c r="D3222" s="6" t="s">
        <v>3480</v>
      </c>
      <c r="E3222" s="8" t="s">
        <v>4130</v>
      </c>
      <c r="F3222" s="6" t="s">
        <v>1538</v>
      </c>
      <c r="G3222">
        <v>7</v>
      </c>
      <c r="Q3222" t="s">
        <v>10307</v>
      </c>
    </row>
    <row r="3223" spans="2:17" x14ac:dyDescent="0.2">
      <c r="B3223" s="6" t="s">
        <v>3862</v>
      </c>
      <c r="C3223">
        <v>4</v>
      </c>
      <c r="D3223" s="6" t="s">
        <v>3480</v>
      </c>
      <c r="E3223" s="8" t="s">
        <v>4131</v>
      </c>
      <c r="F3223" s="6" t="s">
        <v>1538</v>
      </c>
      <c r="G3223">
        <v>50</v>
      </c>
      <c r="Q3223" t="s">
        <v>10310</v>
      </c>
    </row>
    <row r="3224" spans="2:17" x14ac:dyDescent="0.2">
      <c r="B3224" s="6" t="s">
        <v>3862</v>
      </c>
      <c r="C3224">
        <v>4</v>
      </c>
      <c r="D3224" s="6" t="s">
        <v>3480</v>
      </c>
      <c r="E3224" s="8" t="s">
        <v>4132</v>
      </c>
      <c r="F3224" s="6" t="s">
        <v>1538</v>
      </c>
      <c r="G3224">
        <v>205</v>
      </c>
      <c r="M3224">
        <v>5</v>
      </c>
    </row>
    <row r="3225" spans="2:17" x14ac:dyDescent="0.2">
      <c r="B3225" s="6" t="s">
        <v>3862</v>
      </c>
      <c r="C3225">
        <v>4</v>
      </c>
      <c r="D3225" s="6" t="s">
        <v>3480</v>
      </c>
      <c r="E3225" t="s">
        <v>4124</v>
      </c>
      <c r="F3225" s="6" t="s">
        <v>1538</v>
      </c>
      <c r="G3225">
        <v>353</v>
      </c>
    </row>
    <row r="3226" spans="2:17" x14ac:dyDescent="0.2">
      <c r="B3226" s="6" t="s">
        <v>3862</v>
      </c>
      <c r="C3226">
        <v>4</v>
      </c>
      <c r="D3226" s="6" t="s">
        <v>3480</v>
      </c>
      <c r="E3226" s="8" t="s">
        <v>4133</v>
      </c>
      <c r="F3226" s="6" t="s">
        <v>1389</v>
      </c>
      <c r="G3226">
        <v>16</v>
      </c>
      <c r="Q3226" t="s">
        <v>10311</v>
      </c>
    </row>
    <row r="3227" spans="2:17" x14ac:dyDescent="0.2">
      <c r="B3227" s="6" t="s">
        <v>3862</v>
      </c>
      <c r="C3227">
        <v>4</v>
      </c>
      <c r="D3227" s="6" t="s">
        <v>3480</v>
      </c>
      <c r="E3227" s="8" t="s">
        <v>4134</v>
      </c>
      <c r="F3227" s="6" t="s">
        <v>1389</v>
      </c>
      <c r="G3227">
        <v>14</v>
      </c>
      <c r="Q3227" t="s">
        <v>10312</v>
      </c>
    </row>
    <row r="3228" spans="2:17" x14ac:dyDescent="0.2">
      <c r="B3228" s="6" t="s">
        <v>3862</v>
      </c>
      <c r="C3228">
        <v>4</v>
      </c>
      <c r="D3228" s="6" t="s">
        <v>3480</v>
      </c>
      <c r="E3228" t="s">
        <v>4135</v>
      </c>
      <c r="F3228" s="6" t="s">
        <v>1389</v>
      </c>
      <c r="G3228">
        <v>11</v>
      </c>
      <c r="Q3228" t="s">
        <v>10313</v>
      </c>
    </row>
    <row r="3229" spans="2:17" x14ac:dyDescent="0.2">
      <c r="B3229" s="6" t="s">
        <v>3862</v>
      </c>
      <c r="C3229">
        <v>4</v>
      </c>
      <c r="D3229" s="6" t="s">
        <v>3480</v>
      </c>
      <c r="E3229" t="s">
        <v>4136</v>
      </c>
      <c r="F3229" s="6" t="s">
        <v>1389</v>
      </c>
      <c r="G3229">
        <v>5</v>
      </c>
      <c r="Q3229" t="s">
        <v>10314</v>
      </c>
    </row>
    <row r="3230" spans="2:17" x14ac:dyDescent="0.2">
      <c r="B3230" s="6" t="s">
        <v>3862</v>
      </c>
      <c r="C3230">
        <v>4</v>
      </c>
      <c r="D3230" s="6" t="s">
        <v>3480</v>
      </c>
      <c r="E3230" t="s">
        <v>4137</v>
      </c>
      <c r="F3230" s="6" t="s">
        <v>1389</v>
      </c>
      <c r="G3230">
        <v>1</v>
      </c>
      <c r="M3230">
        <v>2</v>
      </c>
      <c r="Q3230" t="s">
        <v>10315</v>
      </c>
    </row>
    <row r="3231" spans="2:17" x14ac:dyDescent="0.2">
      <c r="B3231" s="6" t="s">
        <v>3862</v>
      </c>
      <c r="C3231">
        <v>4</v>
      </c>
      <c r="D3231" s="6" t="s">
        <v>3480</v>
      </c>
      <c r="E3231" t="s">
        <v>4138</v>
      </c>
      <c r="F3231" s="6" t="s">
        <v>6862</v>
      </c>
      <c r="G3231">
        <v>24</v>
      </c>
      <c r="Q3231" t="s">
        <v>6138</v>
      </c>
    </row>
    <row r="3232" spans="2:17" x14ac:dyDescent="0.2">
      <c r="B3232" s="6" t="s">
        <v>3862</v>
      </c>
      <c r="C3232">
        <v>4</v>
      </c>
      <c r="D3232" s="6" t="s">
        <v>3480</v>
      </c>
      <c r="E3232" t="s">
        <v>4139</v>
      </c>
      <c r="F3232" s="39" t="s">
        <v>827</v>
      </c>
      <c r="G3232">
        <v>9</v>
      </c>
    </row>
    <row r="3233" spans="2:17" x14ac:dyDescent="0.2">
      <c r="B3233" s="6" t="s">
        <v>3862</v>
      </c>
      <c r="C3233">
        <v>4</v>
      </c>
      <c r="D3233" s="6" t="s">
        <v>3480</v>
      </c>
      <c r="E3233" t="s">
        <v>4140</v>
      </c>
      <c r="F3233" s="6" t="s">
        <v>6862</v>
      </c>
      <c r="G3233">
        <v>1</v>
      </c>
      <c r="Q3233" t="s">
        <v>6139</v>
      </c>
    </row>
    <row r="3234" spans="2:17" x14ac:dyDescent="0.2">
      <c r="B3234" s="6" t="s">
        <v>3862</v>
      </c>
      <c r="C3234">
        <v>4</v>
      </c>
      <c r="D3234" s="6" t="s">
        <v>3480</v>
      </c>
      <c r="E3234" t="s">
        <v>4141</v>
      </c>
      <c r="F3234" s="6" t="s">
        <v>6862</v>
      </c>
      <c r="G3234" t="s">
        <v>114</v>
      </c>
      <c r="Q3234" t="s">
        <v>6140</v>
      </c>
    </row>
    <row r="3235" spans="2:17" x14ac:dyDescent="0.2">
      <c r="B3235" s="6" t="s">
        <v>3862</v>
      </c>
      <c r="C3235">
        <v>4</v>
      </c>
      <c r="D3235" s="6" t="s">
        <v>3480</v>
      </c>
      <c r="E3235" t="s">
        <v>4142</v>
      </c>
      <c r="F3235" s="6" t="s">
        <v>6862</v>
      </c>
      <c r="G3235" t="s">
        <v>114</v>
      </c>
      <c r="Q3235" t="s">
        <v>6141</v>
      </c>
    </row>
    <row r="3236" spans="2:17" x14ac:dyDescent="0.2">
      <c r="B3236" s="6" t="s">
        <v>3862</v>
      </c>
      <c r="C3236">
        <v>4</v>
      </c>
      <c r="D3236" s="6" t="s">
        <v>3480</v>
      </c>
      <c r="E3236" t="s">
        <v>4143</v>
      </c>
      <c r="F3236" s="6" t="s">
        <v>1311</v>
      </c>
      <c r="G3236">
        <v>4</v>
      </c>
      <c r="Q3236" t="s">
        <v>10316</v>
      </c>
    </row>
    <row r="3237" spans="2:17" x14ac:dyDescent="0.2">
      <c r="B3237" s="6" t="s">
        <v>3862</v>
      </c>
      <c r="C3237">
        <v>4</v>
      </c>
      <c r="D3237" s="6" t="s">
        <v>3480</v>
      </c>
      <c r="E3237" t="s">
        <v>4144</v>
      </c>
      <c r="F3237" s="6" t="s">
        <v>1311</v>
      </c>
      <c r="G3237">
        <v>4</v>
      </c>
      <c r="Q3237" t="s">
        <v>10317</v>
      </c>
    </row>
    <row r="3238" spans="2:17" x14ac:dyDescent="0.2">
      <c r="B3238" s="6" t="s">
        <v>3862</v>
      </c>
      <c r="C3238">
        <v>4</v>
      </c>
      <c r="D3238" s="6" t="s">
        <v>3480</v>
      </c>
      <c r="E3238" t="s">
        <v>4145</v>
      </c>
      <c r="F3238" s="6" t="s">
        <v>1311</v>
      </c>
      <c r="G3238">
        <v>3</v>
      </c>
      <c r="Q3238" t="s">
        <v>10318</v>
      </c>
    </row>
    <row r="3239" spans="2:17" x14ac:dyDescent="0.2">
      <c r="B3239" s="6" t="s">
        <v>3862</v>
      </c>
      <c r="C3239">
        <v>4</v>
      </c>
      <c r="D3239" s="6" t="s">
        <v>3480</v>
      </c>
      <c r="E3239" t="s">
        <v>4146</v>
      </c>
      <c r="F3239" s="6" t="s">
        <v>1311</v>
      </c>
      <c r="G3239">
        <v>2</v>
      </c>
      <c r="Q3239" t="s">
        <v>10319</v>
      </c>
    </row>
    <row r="3240" spans="2:17" x14ac:dyDescent="0.2">
      <c r="B3240" s="6" t="s">
        <v>3862</v>
      </c>
      <c r="C3240">
        <v>4</v>
      </c>
      <c r="D3240" s="6" t="s">
        <v>3480</v>
      </c>
      <c r="E3240" t="s">
        <v>4147</v>
      </c>
      <c r="F3240" s="6" t="s">
        <v>1311</v>
      </c>
      <c r="G3240">
        <v>7</v>
      </c>
      <c r="Q3240" t="s">
        <v>10320</v>
      </c>
    </row>
    <row r="3241" spans="2:17" x14ac:dyDescent="0.2">
      <c r="B3241" s="6" t="s">
        <v>3862</v>
      </c>
      <c r="C3241">
        <v>4</v>
      </c>
      <c r="D3241" s="6" t="s">
        <v>3480</v>
      </c>
      <c r="E3241" t="s">
        <v>4148</v>
      </c>
      <c r="F3241" s="6" t="s">
        <v>1311</v>
      </c>
      <c r="G3241">
        <v>17</v>
      </c>
      <c r="M3241">
        <v>5</v>
      </c>
    </row>
    <row r="3242" spans="2:17" x14ac:dyDescent="0.2">
      <c r="B3242" s="6" t="s">
        <v>3862</v>
      </c>
      <c r="C3242">
        <v>4</v>
      </c>
      <c r="D3242" s="6" t="s">
        <v>3480</v>
      </c>
      <c r="E3242" t="s">
        <v>4124</v>
      </c>
      <c r="F3242" s="6" t="s">
        <v>1311</v>
      </c>
      <c r="G3242">
        <v>12</v>
      </c>
    </row>
    <row r="3243" spans="2:17" x14ac:dyDescent="0.2">
      <c r="B3243" s="6" t="s">
        <v>3862</v>
      </c>
      <c r="C3243">
        <v>4</v>
      </c>
      <c r="D3243" s="6" t="s">
        <v>3480</v>
      </c>
      <c r="E3243" t="s">
        <v>4149</v>
      </c>
      <c r="F3243" s="6" t="s">
        <v>1425</v>
      </c>
      <c r="G3243">
        <v>8</v>
      </c>
      <c r="Q3243" t="s">
        <v>10321</v>
      </c>
    </row>
    <row r="3244" spans="2:17" x14ac:dyDescent="0.2">
      <c r="B3244" s="6" t="s">
        <v>3862</v>
      </c>
      <c r="C3244">
        <v>4</v>
      </c>
      <c r="D3244" s="6" t="s">
        <v>3480</v>
      </c>
      <c r="E3244" t="s">
        <v>4150</v>
      </c>
      <c r="F3244" s="6" t="s">
        <v>1425</v>
      </c>
      <c r="G3244">
        <v>6</v>
      </c>
      <c r="Q3244" t="s">
        <v>10322</v>
      </c>
    </row>
    <row r="3245" spans="2:17" x14ac:dyDescent="0.2">
      <c r="B3245" s="6" t="s">
        <v>3862</v>
      </c>
      <c r="C3245">
        <v>4</v>
      </c>
      <c r="D3245" s="6" t="s">
        <v>3480</v>
      </c>
      <c r="E3245" t="s">
        <v>4151</v>
      </c>
      <c r="F3245" s="6" t="s">
        <v>1425</v>
      </c>
      <c r="G3245">
        <v>6</v>
      </c>
      <c r="Q3245" t="s">
        <v>10323</v>
      </c>
    </row>
    <row r="3246" spans="2:17" x14ac:dyDescent="0.2">
      <c r="B3246" s="6" t="s">
        <v>3862</v>
      </c>
      <c r="C3246">
        <v>4</v>
      </c>
      <c r="D3246" s="6" t="s">
        <v>3480</v>
      </c>
      <c r="E3246" t="s">
        <v>4152</v>
      </c>
      <c r="F3246" s="6" t="s">
        <v>1425</v>
      </c>
      <c r="G3246">
        <v>7</v>
      </c>
      <c r="O3246" t="s">
        <v>3885</v>
      </c>
      <c r="Q3246" t="s">
        <v>10324</v>
      </c>
    </row>
    <row r="3247" spans="2:17" x14ac:dyDescent="0.2">
      <c r="B3247" s="6" t="s">
        <v>3862</v>
      </c>
      <c r="C3247">
        <v>4</v>
      </c>
      <c r="D3247" s="6" t="s">
        <v>3480</v>
      </c>
      <c r="E3247" t="s">
        <v>5861</v>
      </c>
      <c r="F3247" s="6" t="s">
        <v>1538</v>
      </c>
      <c r="O3247" t="s">
        <v>5865</v>
      </c>
      <c r="Q3247" t="s">
        <v>10325</v>
      </c>
    </row>
    <row r="3248" spans="2:17" x14ac:dyDescent="0.2">
      <c r="B3248" s="6" t="s">
        <v>3862</v>
      </c>
      <c r="C3248">
        <v>4</v>
      </c>
      <c r="D3248" s="6" t="s">
        <v>3480</v>
      </c>
      <c r="E3248" t="s">
        <v>5862</v>
      </c>
      <c r="F3248" s="6" t="s">
        <v>1538</v>
      </c>
      <c r="O3248" t="s">
        <v>5866</v>
      </c>
      <c r="Q3248" t="s">
        <v>10326</v>
      </c>
    </row>
    <row r="3249" spans="2:17" x14ac:dyDescent="0.2">
      <c r="B3249" s="6" t="s">
        <v>3862</v>
      </c>
      <c r="C3249">
        <v>4</v>
      </c>
      <c r="D3249" s="6" t="s">
        <v>3480</v>
      </c>
      <c r="E3249" t="s">
        <v>5863</v>
      </c>
      <c r="F3249" s="6" t="s">
        <v>1538</v>
      </c>
      <c r="O3249" t="s">
        <v>5867</v>
      </c>
      <c r="Q3249" t="s">
        <v>10327</v>
      </c>
    </row>
    <row r="3250" spans="2:17" x14ac:dyDescent="0.2">
      <c r="B3250" s="6" t="s">
        <v>3862</v>
      </c>
      <c r="C3250">
        <v>4</v>
      </c>
      <c r="D3250" s="6" t="s">
        <v>3480</v>
      </c>
      <c r="E3250" t="s">
        <v>5864</v>
      </c>
      <c r="F3250" s="6" t="s">
        <v>1538</v>
      </c>
      <c r="O3250" t="s">
        <v>5868</v>
      </c>
      <c r="Q3250" t="s">
        <v>10328</v>
      </c>
    </row>
    <row r="3251" spans="2:17" x14ac:dyDescent="0.2">
      <c r="B3251" s="6" t="s">
        <v>3862</v>
      </c>
      <c r="C3251">
        <v>4</v>
      </c>
      <c r="D3251" s="6" t="s">
        <v>3480</v>
      </c>
      <c r="E3251" t="s">
        <v>4153</v>
      </c>
      <c r="F3251" s="6" t="s">
        <v>1538</v>
      </c>
      <c r="G3251" t="s">
        <v>114</v>
      </c>
      <c r="Q3251" t="s">
        <v>10329</v>
      </c>
    </row>
    <row r="3252" spans="2:17" x14ac:dyDescent="0.2">
      <c r="B3252" s="6" t="s">
        <v>3862</v>
      </c>
      <c r="C3252">
        <v>4</v>
      </c>
      <c r="D3252" s="6" t="s">
        <v>3480</v>
      </c>
      <c r="E3252" t="s">
        <v>4154</v>
      </c>
      <c r="F3252" s="6" t="s">
        <v>1538</v>
      </c>
      <c r="G3252">
        <v>1</v>
      </c>
      <c r="Q3252" t="s">
        <v>10331</v>
      </c>
    </row>
    <row r="3253" spans="2:17" x14ac:dyDescent="0.2">
      <c r="B3253" s="6" t="s">
        <v>3862</v>
      </c>
      <c r="C3253">
        <v>4</v>
      </c>
      <c r="D3253" s="6" t="s">
        <v>3480</v>
      </c>
      <c r="E3253" t="s">
        <v>4155</v>
      </c>
      <c r="F3253" s="6" t="s">
        <v>1538</v>
      </c>
      <c r="G3253">
        <v>4</v>
      </c>
      <c r="Q3253" t="s">
        <v>10332</v>
      </c>
    </row>
    <row r="3254" spans="2:17" x14ac:dyDescent="0.2">
      <c r="B3254" s="6" t="s">
        <v>3862</v>
      </c>
      <c r="C3254">
        <v>4</v>
      </c>
      <c r="D3254" s="6" t="s">
        <v>3480</v>
      </c>
      <c r="E3254" t="s">
        <v>4156</v>
      </c>
      <c r="F3254" s="6" t="s">
        <v>1538</v>
      </c>
      <c r="G3254">
        <v>5</v>
      </c>
      <c r="Q3254" t="s">
        <v>10333</v>
      </c>
    </row>
    <row r="3255" spans="2:17" x14ac:dyDescent="0.2">
      <c r="B3255" s="6" t="s">
        <v>3862</v>
      </c>
      <c r="C3255">
        <v>4</v>
      </c>
      <c r="D3255" s="6" t="s">
        <v>3480</v>
      </c>
      <c r="E3255" t="s">
        <v>4157</v>
      </c>
      <c r="F3255" s="6" t="s">
        <v>1538</v>
      </c>
      <c r="G3255">
        <v>6</v>
      </c>
      <c r="Q3255" t="s">
        <v>10330</v>
      </c>
    </row>
    <row r="3256" spans="2:17" x14ac:dyDescent="0.2">
      <c r="B3256" s="6" t="s">
        <v>3862</v>
      </c>
      <c r="C3256">
        <v>4</v>
      </c>
      <c r="D3256" s="6" t="s">
        <v>3480</v>
      </c>
      <c r="E3256" t="s">
        <v>4158</v>
      </c>
      <c r="F3256" s="6" t="s">
        <v>1538</v>
      </c>
      <c r="G3256">
        <v>14</v>
      </c>
      <c r="M3256">
        <v>5</v>
      </c>
      <c r="O3256" t="s">
        <v>3884</v>
      </c>
    </row>
    <row r="3257" spans="2:17" x14ac:dyDescent="0.2">
      <c r="B3257" s="6" t="s">
        <v>3862</v>
      </c>
      <c r="C3257">
        <v>4</v>
      </c>
      <c r="D3257" s="6" t="s">
        <v>3480</v>
      </c>
      <c r="E3257" t="s">
        <v>4124</v>
      </c>
      <c r="F3257" s="6" t="s">
        <v>1538</v>
      </c>
      <c r="G3257">
        <v>22</v>
      </c>
    </row>
    <row r="3258" spans="2:17" x14ac:dyDescent="0.2">
      <c r="B3258" s="6" t="s">
        <v>3862</v>
      </c>
      <c r="C3258">
        <v>4</v>
      </c>
      <c r="D3258" s="6" t="s">
        <v>3480</v>
      </c>
      <c r="E3258" t="s">
        <v>4159</v>
      </c>
      <c r="F3258" t="s">
        <v>10335</v>
      </c>
      <c r="G3258">
        <v>9</v>
      </c>
      <c r="Q3258" t="s">
        <v>10334</v>
      </c>
    </row>
    <row r="3259" spans="2:17" x14ac:dyDescent="0.2">
      <c r="B3259" s="6" t="s">
        <v>3862</v>
      </c>
      <c r="C3259">
        <v>4</v>
      </c>
      <c r="D3259" s="6" t="s">
        <v>3480</v>
      </c>
      <c r="E3259" t="s">
        <v>4160</v>
      </c>
      <c r="F3259" s="6" t="s">
        <v>3875</v>
      </c>
      <c r="G3259">
        <v>85</v>
      </c>
    </row>
    <row r="3260" spans="2:17" x14ac:dyDescent="0.2">
      <c r="B3260" s="6" t="s">
        <v>3862</v>
      </c>
      <c r="C3260">
        <v>4</v>
      </c>
      <c r="D3260" s="6" t="s">
        <v>3480</v>
      </c>
      <c r="E3260" t="s">
        <v>4161</v>
      </c>
      <c r="F3260" s="6" t="s">
        <v>106</v>
      </c>
      <c r="G3260">
        <v>2</v>
      </c>
    </row>
    <row r="3261" spans="2:17" x14ac:dyDescent="0.2">
      <c r="B3261" s="6" t="s">
        <v>3862</v>
      </c>
      <c r="C3261">
        <v>4</v>
      </c>
      <c r="D3261" s="6" t="s">
        <v>3480</v>
      </c>
      <c r="E3261" t="s">
        <v>4162</v>
      </c>
      <c r="F3261" s="6" t="s">
        <v>2789</v>
      </c>
      <c r="G3261">
        <v>17</v>
      </c>
    </row>
    <row r="3262" spans="2:17" x14ac:dyDescent="0.2">
      <c r="B3262" s="6" t="s">
        <v>3862</v>
      </c>
      <c r="C3262">
        <v>4</v>
      </c>
      <c r="D3262" s="6" t="s">
        <v>3480</v>
      </c>
      <c r="E3262" t="s">
        <v>4163</v>
      </c>
      <c r="F3262" s="6" t="s">
        <v>2552</v>
      </c>
      <c r="G3262">
        <v>13</v>
      </c>
      <c r="O3262" t="s">
        <v>3883</v>
      </c>
    </row>
    <row r="3263" spans="2:17" x14ac:dyDescent="0.2">
      <c r="B3263" s="6" t="s">
        <v>3862</v>
      </c>
      <c r="C3263">
        <v>6</v>
      </c>
      <c r="D3263" s="6" t="s">
        <v>3480</v>
      </c>
      <c r="E3263" t="s">
        <v>4164</v>
      </c>
      <c r="F3263" s="6" t="s">
        <v>3881</v>
      </c>
      <c r="G3263">
        <v>8</v>
      </c>
      <c r="O3263" t="s">
        <v>3882</v>
      </c>
    </row>
    <row r="3264" spans="2:17" x14ac:dyDescent="0.2">
      <c r="B3264" s="6" t="s">
        <v>3862</v>
      </c>
      <c r="C3264">
        <v>6</v>
      </c>
      <c r="D3264" s="6" t="s">
        <v>3480</v>
      </c>
      <c r="E3264" s="8" t="s">
        <v>4165</v>
      </c>
      <c r="F3264" s="6" t="s">
        <v>1389</v>
      </c>
      <c r="G3264">
        <v>15</v>
      </c>
      <c r="Q3264" t="s">
        <v>10340</v>
      </c>
    </row>
    <row r="3265" spans="2:17" x14ac:dyDescent="0.2">
      <c r="B3265" s="6" t="s">
        <v>3862</v>
      </c>
      <c r="C3265">
        <v>6</v>
      </c>
      <c r="D3265" s="6" t="s">
        <v>3480</v>
      </c>
      <c r="E3265" s="8" t="s">
        <v>4166</v>
      </c>
      <c r="F3265" s="6" t="s">
        <v>1389</v>
      </c>
      <c r="G3265">
        <v>6</v>
      </c>
      <c r="Q3265" t="s">
        <v>10336</v>
      </c>
    </row>
    <row r="3266" spans="2:17" x14ac:dyDescent="0.2">
      <c r="B3266" s="6" t="s">
        <v>3862</v>
      </c>
      <c r="C3266">
        <v>6</v>
      </c>
      <c r="D3266" s="6" t="s">
        <v>3480</v>
      </c>
      <c r="E3266" s="8" t="s">
        <v>4167</v>
      </c>
      <c r="F3266" s="6" t="s">
        <v>1389</v>
      </c>
      <c r="G3266" t="s">
        <v>114</v>
      </c>
      <c r="Q3266" t="s">
        <v>10337</v>
      </c>
    </row>
    <row r="3267" spans="2:17" x14ac:dyDescent="0.2">
      <c r="B3267" s="6" t="s">
        <v>3862</v>
      </c>
      <c r="C3267">
        <v>6</v>
      </c>
      <c r="D3267" s="6" t="s">
        <v>3480</v>
      </c>
      <c r="E3267" s="8" t="s">
        <v>4168</v>
      </c>
      <c r="F3267" s="6" t="s">
        <v>1389</v>
      </c>
      <c r="G3267">
        <v>1</v>
      </c>
      <c r="Q3267" t="s">
        <v>10338</v>
      </c>
    </row>
    <row r="3268" spans="2:17" x14ac:dyDescent="0.2">
      <c r="B3268" s="6" t="s">
        <v>3862</v>
      </c>
      <c r="C3268">
        <v>6</v>
      </c>
      <c r="D3268" s="6" t="s">
        <v>3480</v>
      </c>
      <c r="E3268" s="8" t="s">
        <v>4169</v>
      </c>
      <c r="F3268" s="6" t="s">
        <v>1389</v>
      </c>
      <c r="G3268">
        <v>3</v>
      </c>
      <c r="Q3268" t="s">
        <v>10339</v>
      </c>
    </row>
    <row r="3269" spans="2:17" x14ac:dyDescent="0.2">
      <c r="B3269" s="6" t="s">
        <v>3862</v>
      </c>
      <c r="C3269">
        <v>6</v>
      </c>
      <c r="D3269" s="6" t="s">
        <v>3480</v>
      </c>
      <c r="E3269" s="8" t="s">
        <v>4170</v>
      </c>
      <c r="F3269" s="6" t="s">
        <v>1389</v>
      </c>
      <c r="G3269">
        <v>27</v>
      </c>
      <c r="M3269">
        <v>5</v>
      </c>
    </row>
    <row r="3270" spans="2:17" x14ac:dyDescent="0.2">
      <c r="B3270" s="6" t="s">
        <v>3862</v>
      </c>
      <c r="C3270">
        <v>6</v>
      </c>
      <c r="D3270" s="6" t="s">
        <v>3480</v>
      </c>
      <c r="E3270" s="8" t="s">
        <v>4171</v>
      </c>
      <c r="F3270" t="s">
        <v>10191</v>
      </c>
      <c r="G3270">
        <v>26</v>
      </c>
      <c r="Q3270" t="s">
        <v>10341</v>
      </c>
    </row>
    <row r="3271" spans="2:17" x14ac:dyDescent="0.2">
      <c r="B3271" s="6" t="s">
        <v>3862</v>
      </c>
      <c r="C3271">
        <v>6</v>
      </c>
      <c r="D3271" s="6" t="s">
        <v>3480</v>
      </c>
      <c r="E3271" s="8" t="s">
        <v>4172</v>
      </c>
      <c r="F3271" t="s">
        <v>6379</v>
      </c>
      <c r="G3271">
        <v>31</v>
      </c>
      <c r="Q3271" t="s">
        <v>10342</v>
      </c>
    </row>
    <row r="3272" spans="2:17" x14ac:dyDescent="0.2">
      <c r="B3272" s="6" t="s">
        <v>3862</v>
      </c>
      <c r="C3272">
        <v>6</v>
      </c>
      <c r="D3272" s="6" t="s">
        <v>3480</v>
      </c>
      <c r="E3272" s="8" t="s">
        <v>4173</v>
      </c>
      <c r="F3272" t="s">
        <v>6231</v>
      </c>
      <c r="G3272">
        <v>21</v>
      </c>
      <c r="Q3272" t="s">
        <v>10343</v>
      </c>
    </row>
    <row r="3273" spans="2:17" x14ac:dyDescent="0.2">
      <c r="B3273" s="6" t="s">
        <v>3862</v>
      </c>
      <c r="C3273">
        <v>6</v>
      </c>
      <c r="D3273" s="6" t="s">
        <v>3480</v>
      </c>
      <c r="E3273" t="s">
        <v>4174</v>
      </c>
      <c r="F3273" t="s">
        <v>6231</v>
      </c>
      <c r="G3273">
        <v>21</v>
      </c>
      <c r="Q3273" t="s">
        <v>10344</v>
      </c>
    </row>
    <row r="3274" spans="2:17" x14ac:dyDescent="0.2">
      <c r="B3274" s="6" t="s">
        <v>3862</v>
      </c>
      <c r="C3274">
        <v>6</v>
      </c>
      <c r="D3274" s="6" t="s">
        <v>3480</v>
      </c>
      <c r="E3274" t="s">
        <v>4175</v>
      </c>
      <c r="F3274" t="s">
        <v>4982</v>
      </c>
      <c r="G3274">
        <v>115</v>
      </c>
      <c r="Q3274" t="s">
        <v>10345</v>
      </c>
    </row>
    <row r="3275" spans="2:17" x14ac:dyDescent="0.2">
      <c r="B3275" s="6" t="s">
        <v>3862</v>
      </c>
      <c r="C3275">
        <v>6</v>
      </c>
      <c r="D3275" s="6" t="s">
        <v>3480</v>
      </c>
      <c r="E3275" t="s">
        <v>4176</v>
      </c>
      <c r="F3275" t="s">
        <v>8912</v>
      </c>
      <c r="G3275">
        <v>79</v>
      </c>
      <c r="M3275">
        <v>1.5</v>
      </c>
      <c r="O3275" t="s">
        <v>3886</v>
      </c>
      <c r="Q3275" t="s">
        <v>10346</v>
      </c>
    </row>
    <row r="3276" spans="2:17" x14ac:dyDescent="0.2">
      <c r="B3276" s="6" t="s">
        <v>3862</v>
      </c>
      <c r="C3276">
        <v>6</v>
      </c>
      <c r="D3276" s="6" t="s">
        <v>3480</v>
      </c>
      <c r="E3276" t="s">
        <v>4177</v>
      </c>
      <c r="F3276" t="s">
        <v>6239</v>
      </c>
      <c r="G3276">
        <v>2</v>
      </c>
    </row>
    <row r="3277" spans="2:17" x14ac:dyDescent="0.2">
      <c r="B3277" s="6" t="s">
        <v>3862</v>
      </c>
      <c r="C3277">
        <v>6</v>
      </c>
      <c r="D3277" s="6" t="s">
        <v>3480</v>
      </c>
      <c r="E3277" t="s">
        <v>4178</v>
      </c>
      <c r="F3277" t="s">
        <v>10213</v>
      </c>
      <c r="G3277">
        <v>2</v>
      </c>
      <c r="M3277">
        <v>3</v>
      </c>
      <c r="Q3277" t="s">
        <v>10347</v>
      </c>
    </row>
    <row r="3278" spans="2:17" x14ac:dyDescent="0.2">
      <c r="B3278" s="6" t="s">
        <v>3862</v>
      </c>
      <c r="C3278">
        <v>6</v>
      </c>
      <c r="D3278" s="6" t="s">
        <v>3480</v>
      </c>
      <c r="E3278" t="s">
        <v>4179</v>
      </c>
      <c r="F3278" s="6" t="s">
        <v>5930</v>
      </c>
      <c r="G3278">
        <v>77</v>
      </c>
      <c r="Q3278" t="s">
        <v>6142</v>
      </c>
    </row>
    <row r="3279" spans="2:17" x14ac:dyDescent="0.2">
      <c r="B3279" s="6" t="s">
        <v>3862</v>
      </c>
      <c r="C3279">
        <v>6</v>
      </c>
      <c r="D3279" s="6" t="s">
        <v>3480</v>
      </c>
      <c r="E3279" t="s">
        <v>4180</v>
      </c>
      <c r="F3279" s="6" t="s">
        <v>5936</v>
      </c>
      <c r="G3279">
        <v>2</v>
      </c>
      <c r="Q3279" t="s">
        <v>6143</v>
      </c>
    </row>
    <row r="3280" spans="2:17" x14ac:dyDescent="0.2">
      <c r="B3280" s="6" t="s">
        <v>3862</v>
      </c>
      <c r="C3280">
        <v>6</v>
      </c>
      <c r="D3280" s="6" t="s">
        <v>3480</v>
      </c>
      <c r="E3280" t="s">
        <v>4181</v>
      </c>
      <c r="F3280" s="6" t="s">
        <v>5936</v>
      </c>
      <c r="G3280" t="s">
        <v>114</v>
      </c>
      <c r="O3280" t="s">
        <v>6146</v>
      </c>
    </row>
    <row r="3281" spans="2:17" x14ac:dyDescent="0.2">
      <c r="B3281" s="6" t="s">
        <v>3862</v>
      </c>
      <c r="C3281">
        <v>6</v>
      </c>
      <c r="D3281" s="6" t="s">
        <v>3480</v>
      </c>
      <c r="E3281" t="s">
        <v>4182</v>
      </c>
      <c r="F3281" s="6" t="s">
        <v>5936</v>
      </c>
      <c r="G3281" t="s">
        <v>114</v>
      </c>
      <c r="Q3281" t="s">
        <v>6144</v>
      </c>
    </row>
    <row r="3282" spans="2:17" x14ac:dyDescent="0.2">
      <c r="B3282" s="6" t="s">
        <v>3862</v>
      </c>
      <c r="C3282">
        <v>6</v>
      </c>
      <c r="D3282" s="6" t="s">
        <v>3480</v>
      </c>
      <c r="E3282" t="s">
        <v>4183</v>
      </c>
      <c r="F3282" s="6" t="s">
        <v>5936</v>
      </c>
      <c r="G3282">
        <v>2</v>
      </c>
      <c r="Q3282" t="s">
        <v>6145</v>
      </c>
    </row>
    <row r="3283" spans="2:17" x14ac:dyDescent="0.2">
      <c r="B3283" s="6" t="s">
        <v>3862</v>
      </c>
      <c r="C3283">
        <v>6</v>
      </c>
      <c r="D3283" s="6" t="s">
        <v>3480</v>
      </c>
      <c r="E3283" t="s">
        <v>4184</v>
      </c>
      <c r="F3283" s="6" t="s">
        <v>5936</v>
      </c>
      <c r="G3283">
        <v>4</v>
      </c>
      <c r="M3283">
        <v>3</v>
      </c>
    </row>
    <row r="3284" spans="2:17" x14ac:dyDescent="0.2">
      <c r="B3284" s="6" t="s">
        <v>3862</v>
      </c>
      <c r="C3284">
        <v>6</v>
      </c>
      <c r="D3284" s="6" t="s">
        <v>3480</v>
      </c>
      <c r="E3284" t="s">
        <v>4185</v>
      </c>
      <c r="F3284" s="6" t="s">
        <v>1264</v>
      </c>
      <c r="H3284">
        <f>2.6-0.323+11.3-2.8</f>
        <v>10.777000000000001</v>
      </c>
      <c r="O3284" t="s">
        <v>3887</v>
      </c>
    </row>
    <row r="3285" spans="2:17" x14ac:dyDescent="0.2">
      <c r="B3285" s="6" t="s">
        <v>3862</v>
      </c>
      <c r="C3285">
        <v>6</v>
      </c>
      <c r="D3285" s="6" t="s">
        <v>3480</v>
      </c>
      <c r="E3285" t="s">
        <v>4186</v>
      </c>
      <c r="F3285" s="6" t="s">
        <v>3864</v>
      </c>
      <c r="H3285">
        <f>2.8-0.285</f>
        <v>2.5149999999999997</v>
      </c>
      <c r="O3285" t="s">
        <v>3888</v>
      </c>
    </row>
    <row r="3286" spans="2:17" x14ac:dyDescent="0.2">
      <c r="B3286" s="6" t="s">
        <v>3862</v>
      </c>
      <c r="C3286">
        <v>6</v>
      </c>
      <c r="D3286" s="6" t="s">
        <v>3480</v>
      </c>
      <c r="E3286" t="s">
        <v>4187</v>
      </c>
      <c r="F3286" s="6" t="s">
        <v>1538</v>
      </c>
      <c r="G3286">
        <v>36</v>
      </c>
      <c r="Q3286" t="s">
        <v>10348</v>
      </c>
    </row>
    <row r="3287" spans="2:17" x14ac:dyDescent="0.2">
      <c r="B3287" s="6" t="s">
        <v>3862</v>
      </c>
      <c r="C3287">
        <v>6</v>
      </c>
      <c r="D3287" s="6" t="s">
        <v>3480</v>
      </c>
      <c r="E3287" t="s">
        <v>4188</v>
      </c>
      <c r="F3287" s="6" t="s">
        <v>1538</v>
      </c>
      <c r="G3287">
        <v>23</v>
      </c>
      <c r="Q3287" t="s">
        <v>10349</v>
      </c>
    </row>
    <row r="3288" spans="2:17" x14ac:dyDescent="0.2">
      <c r="B3288" s="6" t="s">
        <v>3862</v>
      </c>
      <c r="C3288">
        <v>6</v>
      </c>
      <c r="D3288" s="6" t="s">
        <v>3480</v>
      </c>
      <c r="E3288" t="s">
        <v>4189</v>
      </c>
      <c r="F3288" s="6" t="s">
        <v>1538</v>
      </c>
      <c r="G3288">
        <v>12</v>
      </c>
      <c r="Q3288" t="s">
        <v>10350</v>
      </c>
    </row>
    <row r="3289" spans="2:17" x14ac:dyDescent="0.2">
      <c r="B3289" s="6" t="s">
        <v>3862</v>
      </c>
      <c r="C3289">
        <v>6</v>
      </c>
      <c r="D3289" s="6" t="s">
        <v>3480</v>
      </c>
      <c r="E3289" t="s">
        <v>4190</v>
      </c>
      <c r="F3289" s="6" t="s">
        <v>1538</v>
      </c>
      <c r="G3289">
        <v>11</v>
      </c>
      <c r="Q3289" t="s">
        <v>10352</v>
      </c>
    </row>
    <row r="3290" spans="2:17" x14ac:dyDescent="0.2">
      <c r="B3290" s="6" t="s">
        <v>3862</v>
      </c>
      <c r="C3290">
        <v>6</v>
      </c>
      <c r="D3290" s="6" t="s">
        <v>3480</v>
      </c>
      <c r="E3290" t="s">
        <v>4191</v>
      </c>
      <c r="F3290" s="6" t="s">
        <v>1538</v>
      </c>
      <c r="G3290">
        <v>4</v>
      </c>
      <c r="Q3290" t="s">
        <v>10351</v>
      </c>
    </row>
    <row r="3291" spans="2:17" x14ac:dyDescent="0.2">
      <c r="B3291" s="6" t="s">
        <v>3862</v>
      </c>
      <c r="C3291">
        <v>6</v>
      </c>
      <c r="D3291" s="6" t="s">
        <v>3480</v>
      </c>
      <c r="E3291" t="s">
        <v>4192</v>
      </c>
      <c r="F3291" s="6" t="s">
        <v>1538</v>
      </c>
      <c r="G3291">
        <v>60</v>
      </c>
      <c r="M3291">
        <v>5</v>
      </c>
    </row>
    <row r="3292" spans="2:17" x14ac:dyDescent="0.2">
      <c r="B3292" s="6" t="s">
        <v>3862</v>
      </c>
      <c r="C3292">
        <v>6</v>
      </c>
      <c r="D3292" s="6" t="s">
        <v>3480</v>
      </c>
      <c r="E3292" t="s">
        <v>4193</v>
      </c>
      <c r="F3292" s="6" t="s">
        <v>1538</v>
      </c>
      <c r="G3292">
        <v>79</v>
      </c>
    </row>
    <row r="3293" spans="2:17" x14ac:dyDescent="0.2">
      <c r="B3293" s="6" t="s">
        <v>3862</v>
      </c>
      <c r="C3293">
        <v>6</v>
      </c>
      <c r="D3293" s="6" t="s">
        <v>3480</v>
      </c>
      <c r="E3293" t="s">
        <v>4193</v>
      </c>
      <c r="F3293" s="6" t="s">
        <v>5936</v>
      </c>
      <c r="G3293">
        <v>3</v>
      </c>
    </row>
    <row r="3294" spans="2:17" x14ac:dyDescent="0.2">
      <c r="B3294" s="6" t="s">
        <v>3862</v>
      </c>
      <c r="C3294">
        <v>6</v>
      </c>
      <c r="D3294" s="6" t="s">
        <v>3480</v>
      </c>
      <c r="E3294" t="s">
        <v>4194</v>
      </c>
      <c r="F3294" s="6" t="s">
        <v>1538</v>
      </c>
      <c r="G3294">
        <v>1</v>
      </c>
      <c r="Q3294" t="s">
        <v>10353</v>
      </c>
    </row>
    <row r="3295" spans="2:17" x14ac:dyDescent="0.2">
      <c r="B3295" s="6" t="s">
        <v>3862</v>
      </c>
      <c r="C3295">
        <v>6</v>
      </c>
      <c r="D3295" s="6" t="s">
        <v>3480</v>
      </c>
      <c r="E3295" t="s">
        <v>4195</v>
      </c>
      <c r="F3295" s="6" t="s">
        <v>1538</v>
      </c>
      <c r="G3295" t="s">
        <v>114</v>
      </c>
      <c r="Q3295" t="s">
        <v>10354</v>
      </c>
    </row>
    <row r="3296" spans="2:17" x14ac:dyDescent="0.2">
      <c r="B3296" s="6" t="s">
        <v>3862</v>
      </c>
      <c r="C3296">
        <v>6</v>
      </c>
      <c r="D3296" s="6" t="s">
        <v>3480</v>
      </c>
      <c r="E3296" t="s">
        <v>4196</v>
      </c>
      <c r="F3296" s="6" t="s">
        <v>1538</v>
      </c>
      <c r="G3296">
        <v>1</v>
      </c>
      <c r="Q3296" t="s">
        <v>10355</v>
      </c>
    </row>
    <row r="3297" spans="2:17" x14ac:dyDescent="0.2">
      <c r="B3297" s="6" t="s">
        <v>3862</v>
      </c>
      <c r="C3297">
        <v>6</v>
      </c>
      <c r="D3297" s="6" t="s">
        <v>3480</v>
      </c>
      <c r="E3297" t="s">
        <v>4197</v>
      </c>
      <c r="F3297" s="6" t="s">
        <v>1538</v>
      </c>
      <c r="G3297">
        <v>2</v>
      </c>
      <c r="Q3297" t="s">
        <v>10356</v>
      </c>
    </row>
    <row r="3298" spans="2:17" x14ac:dyDescent="0.2">
      <c r="B3298" s="6" t="s">
        <v>3862</v>
      </c>
      <c r="C3298">
        <v>6</v>
      </c>
      <c r="D3298" s="6" t="s">
        <v>3480</v>
      </c>
      <c r="E3298" t="s">
        <v>4198</v>
      </c>
      <c r="F3298" s="6" t="s">
        <v>1538</v>
      </c>
      <c r="G3298">
        <v>4</v>
      </c>
      <c r="Q3298" t="s">
        <v>10357</v>
      </c>
    </row>
    <row r="3299" spans="2:17" x14ac:dyDescent="0.2">
      <c r="B3299" s="6" t="s">
        <v>3862</v>
      </c>
      <c r="C3299">
        <v>6</v>
      </c>
      <c r="D3299" s="6" t="s">
        <v>3480</v>
      </c>
      <c r="E3299" t="s">
        <v>4199</v>
      </c>
      <c r="F3299" s="6" t="s">
        <v>1538</v>
      </c>
      <c r="G3299">
        <v>5</v>
      </c>
      <c r="M3299">
        <v>5</v>
      </c>
    </row>
    <row r="3300" spans="2:17" x14ac:dyDescent="0.2">
      <c r="B3300" s="6" t="s">
        <v>3862</v>
      </c>
      <c r="C3300">
        <v>6</v>
      </c>
      <c r="D3300" s="6" t="s">
        <v>3480</v>
      </c>
      <c r="E3300" t="s">
        <v>4193</v>
      </c>
      <c r="F3300" s="6" t="s">
        <v>1538</v>
      </c>
      <c r="G3300">
        <v>9</v>
      </c>
    </row>
    <row r="3301" spans="2:17" x14ac:dyDescent="0.2">
      <c r="B3301" s="6" t="s">
        <v>3862</v>
      </c>
      <c r="C3301">
        <v>6</v>
      </c>
      <c r="D3301" s="6" t="s">
        <v>3480</v>
      </c>
      <c r="E3301" t="s">
        <v>4200</v>
      </c>
      <c r="F3301" s="6" t="s">
        <v>1389</v>
      </c>
      <c r="G3301" t="s">
        <v>114</v>
      </c>
    </row>
    <row r="3302" spans="2:17" x14ac:dyDescent="0.2">
      <c r="B3302" s="6" t="s">
        <v>3862</v>
      </c>
      <c r="C3302">
        <v>6</v>
      </c>
      <c r="D3302" s="6" t="s">
        <v>3480</v>
      </c>
      <c r="E3302" t="s">
        <v>4201</v>
      </c>
      <c r="F3302" s="6" t="s">
        <v>1389</v>
      </c>
      <c r="G3302" t="s">
        <v>114</v>
      </c>
    </row>
    <row r="3303" spans="2:17" x14ac:dyDescent="0.2">
      <c r="B3303" s="6" t="s">
        <v>3862</v>
      </c>
      <c r="C3303">
        <v>6</v>
      </c>
      <c r="D3303" s="6" t="s">
        <v>3480</v>
      </c>
      <c r="E3303" t="s">
        <v>4202</v>
      </c>
      <c r="F3303" s="6" t="s">
        <v>1425</v>
      </c>
      <c r="G3303">
        <v>1</v>
      </c>
      <c r="M3303">
        <v>2</v>
      </c>
    </row>
    <row r="3304" spans="2:17" x14ac:dyDescent="0.2">
      <c r="B3304" s="6" t="s">
        <v>3862</v>
      </c>
      <c r="C3304">
        <v>6</v>
      </c>
      <c r="D3304" s="6" t="s">
        <v>3480</v>
      </c>
      <c r="E3304" t="s">
        <v>4203</v>
      </c>
      <c r="F3304" s="6" t="s">
        <v>1311</v>
      </c>
      <c r="G3304">
        <v>4</v>
      </c>
      <c r="Q3304" t="s">
        <v>10358</v>
      </c>
    </row>
    <row r="3305" spans="2:17" x14ac:dyDescent="0.2">
      <c r="B3305" s="6" t="s">
        <v>3862</v>
      </c>
      <c r="C3305">
        <v>6</v>
      </c>
      <c r="D3305" s="6" t="s">
        <v>3480</v>
      </c>
      <c r="E3305" t="s">
        <v>4204</v>
      </c>
      <c r="F3305" s="6" t="s">
        <v>1311</v>
      </c>
      <c r="G3305">
        <v>2</v>
      </c>
      <c r="Q3305" t="s">
        <v>10359</v>
      </c>
    </row>
    <row r="3306" spans="2:17" x14ac:dyDescent="0.2">
      <c r="B3306" s="6" t="s">
        <v>3862</v>
      </c>
      <c r="C3306">
        <v>6</v>
      </c>
      <c r="D3306" s="6" t="s">
        <v>3480</v>
      </c>
      <c r="E3306" t="s">
        <v>4205</v>
      </c>
      <c r="F3306" s="6" t="s">
        <v>1311</v>
      </c>
      <c r="G3306">
        <v>3</v>
      </c>
      <c r="Q3306" t="s">
        <v>10360</v>
      </c>
    </row>
    <row r="3307" spans="2:17" x14ac:dyDescent="0.2">
      <c r="B3307" s="6" t="s">
        <v>3862</v>
      </c>
      <c r="C3307">
        <v>6</v>
      </c>
      <c r="D3307" s="6" t="s">
        <v>3480</v>
      </c>
      <c r="E3307" t="s">
        <v>4206</v>
      </c>
      <c r="F3307" s="6" t="s">
        <v>1311</v>
      </c>
      <c r="G3307">
        <v>2</v>
      </c>
      <c r="Q3307" t="s">
        <v>10361</v>
      </c>
    </row>
    <row r="3308" spans="2:17" x14ac:dyDescent="0.2">
      <c r="B3308" s="6" t="s">
        <v>3862</v>
      </c>
      <c r="C3308">
        <v>6</v>
      </c>
      <c r="D3308" s="6" t="s">
        <v>3480</v>
      </c>
      <c r="E3308" t="s">
        <v>4207</v>
      </c>
      <c r="F3308" s="6" t="s">
        <v>1311</v>
      </c>
      <c r="G3308">
        <v>3</v>
      </c>
      <c r="Q3308" t="s">
        <v>10362</v>
      </c>
    </row>
    <row r="3309" spans="2:17" x14ac:dyDescent="0.2">
      <c r="B3309" s="6" t="s">
        <v>3862</v>
      </c>
      <c r="C3309">
        <v>6</v>
      </c>
      <c r="D3309" s="6" t="s">
        <v>3480</v>
      </c>
      <c r="E3309" t="s">
        <v>4208</v>
      </c>
      <c r="F3309" s="6" t="s">
        <v>1311</v>
      </c>
      <c r="G3309">
        <v>8</v>
      </c>
      <c r="M3309">
        <v>2.5</v>
      </c>
    </row>
    <row r="3310" spans="2:17" x14ac:dyDescent="0.2">
      <c r="B3310" s="6" t="s">
        <v>3862</v>
      </c>
      <c r="C3310">
        <v>6</v>
      </c>
      <c r="D3310" s="6" t="s">
        <v>3480</v>
      </c>
      <c r="E3310" t="s">
        <v>4193</v>
      </c>
      <c r="F3310" s="6" t="s">
        <v>1389</v>
      </c>
      <c r="G3310">
        <v>762</v>
      </c>
    </row>
    <row r="3311" spans="2:17" x14ac:dyDescent="0.2">
      <c r="B3311" s="6" t="s">
        <v>3862</v>
      </c>
      <c r="C3311">
        <v>6</v>
      </c>
      <c r="D3311" s="6" t="s">
        <v>3480</v>
      </c>
      <c r="E3311" t="s">
        <v>4193</v>
      </c>
      <c r="F3311" s="6" t="s">
        <v>1425</v>
      </c>
      <c r="G3311">
        <v>570</v>
      </c>
    </row>
    <row r="3312" spans="2:17" x14ac:dyDescent="0.2">
      <c r="B3312" s="6" t="s">
        <v>3862</v>
      </c>
      <c r="C3312">
        <v>6</v>
      </c>
      <c r="D3312" s="6" t="s">
        <v>3480</v>
      </c>
      <c r="E3312" t="s">
        <v>4209</v>
      </c>
      <c r="F3312" s="6" t="s">
        <v>1425</v>
      </c>
      <c r="G3312">
        <v>4</v>
      </c>
      <c r="Q3312" t="s">
        <v>10365</v>
      </c>
    </row>
    <row r="3313" spans="2:17" x14ac:dyDescent="0.2">
      <c r="B3313" s="6" t="s">
        <v>3862</v>
      </c>
      <c r="C3313">
        <v>6</v>
      </c>
      <c r="D3313" s="6" t="s">
        <v>3480</v>
      </c>
      <c r="E3313" t="s">
        <v>4210</v>
      </c>
      <c r="F3313" s="6" t="s">
        <v>1425</v>
      </c>
      <c r="G3313">
        <v>30</v>
      </c>
      <c r="Q3313" t="s">
        <v>10366</v>
      </c>
    </row>
    <row r="3314" spans="2:17" x14ac:dyDescent="0.2">
      <c r="B3314" s="6" t="s">
        <v>3862</v>
      </c>
      <c r="C3314">
        <v>6</v>
      </c>
      <c r="D3314" s="6" t="s">
        <v>3480</v>
      </c>
      <c r="E3314" t="s">
        <v>4211</v>
      </c>
      <c r="F3314" s="6" t="s">
        <v>1425</v>
      </c>
      <c r="G3314">
        <v>9</v>
      </c>
      <c r="Q3314" t="s">
        <v>10367</v>
      </c>
    </row>
    <row r="3315" spans="2:17" x14ac:dyDescent="0.2">
      <c r="B3315" s="6" t="s">
        <v>3862</v>
      </c>
      <c r="C3315">
        <v>6</v>
      </c>
      <c r="D3315" s="6" t="s">
        <v>3480</v>
      </c>
      <c r="E3315" t="s">
        <v>4212</v>
      </c>
      <c r="F3315" s="6" t="s">
        <v>1425</v>
      </c>
      <c r="G3315">
        <v>2</v>
      </c>
      <c r="Q3315" t="s">
        <v>10363</v>
      </c>
    </row>
    <row r="3316" spans="2:17" x14ac:dyDescent="0.2">
      <c r="B3316" s="6" t="s">
        <v>3862</v>
      </c>
      <c r="C3316">
        <v>6</v>
      </c>
      <c r="D3316" s="6" t="s">
        <v>3480</v>
      </c>
      <c r="E3316" t="s">
        <v>4213</v>
      </c>
      <c r="F3316" s="6" t="s">
        <v>1425</v>
      </c>
      <c r="G3316">
        <v>3</v>
      </c>
      <c r="Q3316" t="s">
        <v>10364</v>
      </c>
    </row>
    <row r="3317" spans="2:17" x14ac:dyDescent="0.2">
      <c r="B3317" s="6" t="s">
        <v>3862</v>
      </c>
      <c r="C3317">
        <v>6</v>
      </c>
      <c r="D3317" s="6" t="s">
        <v>3480</v>
      </c>
      <c r="E3317" t="s">
        <v>4164</v>
      </c>
      <c r="F3317" s="6" t="s">
        <v>1425</v>
      </c>
      <c r="G3317">
        <v>81</v>
      </c>
      <c r="M3317">
        <v>5</v>
      </c>
    </row>
    <row r="3318" spans="2:17" x14ac:dyDescent="0.2">
      <c r="B3318" s="6" t="s">
        <v>3862</v>
      </c>
      <c r="C3318">
        <v>6</v>
      </c>
      <c r="D3318" s="6" t="s">
        <v>3480</v>
      </c>
      <c r="E3318" t="s">
        <v>4214</v>
      </c>
      <c r="F3318" s="6" t="s">
        <v>8168</v>
      </c>
      <c r="G3318">
        <v>1</v>
      </c>
      <c r="Q3318" t="s">
        <v>10368</v>
      </c>
    </row>
    <row r="3319" spans="2:17" x14ac:dyDescent="0.2">
      <c r="B3319" s="6" t="s">
        <v>3862</v>
      </c>
      <c r="C3319">
        <v>6</v>
      </c>
      <c r="D3319" s="6" t="s">
        <v>3480</v>
      </c>
      <c r="E3319" t="s">
        <v>4215</v>
      </c>
      <c r="F3319" s="6" t="s">
        <v>106</v>
      </c>
      <c r="G3319">
        <v>2</v>
      </c>
    </row>
    <row r="3320" spans="2:17" x14ac:dyDescent="0.2">
      <c r="B3320" s="6" t="s">
        <v>3862</v>
      </c>
      <c r="C3320">
        <v>6</v>
      </c>
      <c r="D3320" s="6" t="s">
        <v>3480</v>
      </c>
      <c r="E3320" t="s">
        <v>4216</v>
      </c>
      <c r="F3320" s="6" t="s">
        <v>121</v>
      </c>
      <c r="G3320">
        <v>22</v>
      </c>
    </row>
    <row r="3321" spans="2:17" x14ac:dyDescent="0.2">
      <c r="B3321" s="6" t="s">
        <v>3862</v>
      </c>
      <c r="C3321">
        <v>6</v>
      </c>
      <c r="D3321" s="6" t="s">
        <v>3480</v>
      </c>
      <c r="E3321" t="s">
        <v>4217</v>
      </c>
      <c r="F3321" s="6" t="s">
        <v>3881</v>
      </c>
      <c r="G3321" t="s">
        <v>114</v>
      </c>
      <c r="O3321" t="s">
        <v>3892</v>
      </c>
    </row>
    <row r="3322" spans="2:17" x14ac:dyDescent="0.2">
      <c r="B3322" s="6" t="s">
        <v>3862</v>
      </c>
      <c r="C3322">
        <v>6</v>
      </c>
      <c r="D3322" s="6" t="s">
        <v>3480</v>
      </c>
      <c r="E3322" t="s">
        <v>4218</v>
      </c>
      <c r="F3322" s="6" t="s">
        <v>2789</v>
      </c>
      <c r="G3322">
        <v>36</v>
      </c>
      <c r="O3322" t="s">
        <v>3891</v>
      </c>
    </row>
    <row r="3323" spans="2:17" x14ac:dyDescent="0.2">
      <c r="B3323" s="6" t="s">
        <v>3862</v>
      </c>
      <c r="C3323">
        <v>1</v>
      </c>
      <c r="D3323" s="6" t="s">
        <v>3480</v>
      </c>
      <c r="E3323" s="8" t="s">
        <v>4219</v>
      </c>
      <c r="F3323" s="6" t="s">
        <v>10191</v>
      </c>
      <c r="G3323">
        <v>29</v>
      </c>
      <c r="O3323" t="s">
        <v>3890</v>
      </c>
      <c r="Q3323" t="s">
        <v>10369</v>
      </c>
    </row>
    <row r="3324" spans="2:17" x14ac:dyDescent="0.2">
      <c r="B3324" s="6" t="s">
        <v>3862</v>
      </c>
      <c r="C3324">
        <v>1</v>
      </c>
      <c r="D3324" s="6" t="s">
        <v>3480</v>
      </c>
      <c r="E3324" t="s">
        <v>4220</v>
      </c>
      <c r="F3324" s="6" t="s">
        <v>1264</v>
      </c>
      <c r="H3324">
        <f>5.8-0.285+6.1-0.261</f>
        <v>11.353999999999999</v>
      </c>
      <c r="O3324" t="s">
        <v>3889</v>
      </c>
    </row>
    <row r="3325" spans="2:17" x14ac:dyDescent="0.2">
      <c r="B3325" s="6" t="s">
        <v>3862</v>
      </c>
      <c r="C3325">
        <v>1</v>
      </c>
      <c r="D3325" s="6" t="s">
        <v>3480</v>
      </c>
      <c r="E3325" t="s">
        <v>4220</v>
      </c>
      <c r="F3325" s="6" t="s">
        <v>2789</v>
      </c>
      <c r="H3325">
        <f>(2.9-0.41)*1/3</f>
        <v>0.83</v>
      </c>
    </row>
    <row r="3326" spans="2:17" x14ac:dyDescent="0.2">
      <c r="B3326" s="6" t="s">
        <v>3862</v>
      </c>
      <c r="C3326">
        <v>1</v>
      </c>
      <c r="D3326" s="6" t="s">
        <v>3480</v>
      </c>
      <c r="E3326" t="s">
        <v>4220</v>
      </c>
      <c r="F3326" s="6" t="s">
        <v>504</v>
      </c>
      <c r="H3326">
        <f>(2.9-0.41)*2/3</f>
        <v>1.66</v>
      </c>
    </row>
    <row r="3327" spans="2:17" x14ac:dyDescent="0.2">
      <c r="B3327" s="6" t="s">
        <v>3862</v>
      </c>
      <c r="C3327">
        <v>1</v>
      </c>
      <c r="D3327" s="6" t="s">
        <v>3480</v>
      </c>
      <c r="E3327" t="s">
        <v>4221</v>
      </c>
      <c r="F3327" s="6" t="s">
        <v>998</v>
      </c>
      <c r="H3327">
        <v>2.0089999999999999</v>
      </c>
      <c r="O3327" t="s">
        <v>875</v>
      </c>
    </row>
    <row r="3328" spans="2:17" x14ac:dyDescent="0.2">
      <c r="B3328" s="6" t="s">
        <v>3862</v>
      </c>
      <c r="C3328">
        <v>1</v>
      </c>
      <c r="D3328" s="6" t="s">
        <v>3480</v>
      </c>
      <c r="E3328" t="s">
        <v>4221</v>
      </c>
      <c r="F3328" s="6" t="s">
        <v>871</v>
      </c>
      <c r="H3328">
        <f>0.722-0.357</f>
        <v>0.36499999999999999</v>
      </c>
      <c r="O3328" t="s">
        <v>875</v>
      </c>
      <c r="P3328" t="s">
        <v>3986</v>
      </c>
    </row>
    <row r="3329" spans="1:15" x14ac:dyDescent="0.2">
      <c r="A3329" t="s">
        <v>3913</v>
      </c>
      <c r="B3329" t="s">
        <v>3893</v>
      </c>
      <c r="C3329">
        <v>2</v>
      </c>
      <c r="D3329" s="6" t="s">
        <v>3894</v>
      </c>
      <c r="E3329" t="s">
        <v>4222</v>
      </c>
      <c r="F3329" s="6" t="s">
        <v>1264</v>
      </c>
      <c r="G3329">
        <f>449-285</f>
        <v>164</v>
      </c>
      <c r="O3329" t="s">
        <v>3896</v>
      </c>
    </row>
    <row r="3330" spans="1:15" x14ac:dyDescent="0.2">
      <c r="A3330" t="s">
        <v>3913</v>
      </c>
      <c r="B3330" t="s">
        <v>3893</v>
      </c>
      <c r="C3330">
        <v>2</v>
      </c>
      <c r="D3330" s="6" t="s">
        <v>3894</v>
      </c>
      <c r="E3330" s="8" t="s">
        <v>4223</v>
      </c>
      <c r="F3330" s="6" t="s">
        <v>3465</v>
      </c>
      <c r="G3330">
        <v>41</v>
      </c>
    </row>
    <row r="3331" spans="1:15" x14ac:dyDescent="0.2">
      <c r="A3331" t="s">
        <v>3913</v>
      </c>
      <c r="B3331" t="s">
        <v>3893</v>
      </c>
      <c r="C3331">
        <v>2</v>
      </c>
      <c r="D3331" s="6" t="s">
        <v>3894</v>
      </c>
      <c r="E3331" s="8" t="s">
        <v>4224</v>
      </c>
      <c r="F3331" s="6" t="s">
        <v>1538</v>
      </c>
      <c r="G3331">
        <v>43</v>
      </c>
    </row>
    <row r="3332" spans="1:15" x14ac:dyDescent="0.2">
      <c r="A3332" t="s">
        <v>3913</v>
      </c>
      <c r="B3332" t="s">
        <v>3893</v>
      </c>
      <c r="C3332">
        <v>2</v>
      </c>
      <c r="D3332" s="6" t="s">
        <v>3894</v>
      </c>
      <c r="E3332" s="8" t="s">
        <v>4225</v>
      </c>
      <c r="F3332" s="6" t="s">
        <v>3895</v>
      </c>
      <c r="G3332" t="s">
        <v>114</v>
      </c>
    </row>
    <row r="3333" spans="1:15" x14ac:dyDescent="0.2">
      <c r="A3333" t="s">
        <v>3913</v>
      </c>
      <c r="B3333" t="s">
        <v>3893</v>
      </c>
      <c r="C3333">
        <v>2</v>
      </c>
      <c r="D3333" s="6" t="s">
        <v>3894</v>
      </c>
      <c r="E3333" s="8" t="s">
        <v>4226</v>
      </c>
      <c r="F3333" s="6" t="s">
        <v>1311</v>
      </c>
      <c r="G3333">
        <v>2</v>
      </c>
    </row>
    <row r="3334" spans="1:15" x14ac:dyDescent="0.2">
      <c r="A3334" t="s">
        <v>3913</v>
      </c>
      <c r="B3334" t="s">
        <v>3893</v>
      </c>
      <c r="C3334">
        <v>2</v>
      </c>
      <c r="D3334" s="6" t="s">
        <v>3894</v>
      </c>
      <c r="E3334" s="8" t="s">
        <v>4227</v>
      </c>
      <c r="F3334" s="6" t="s">
        <v>1425</v>
      </c>
      <c r="G3334">
        <v>4</v>
      </c>
    </row>
    <row r="3335" spans="1:15" x14ac:dyDescent="0.2">
      <c r="A3335" t="s">
        <v>3913</v>
      </c>
      <c r="B3335" t="s">
        <v>3893</v>
      </c>
      <c r="C3335">
        <v>2</v>
      </c>
      <c r="D3335" s="6" t="s">
        <v>3894</v>
      </c>
      <c r="E3335" s="8" t="s">
        <v>4228</v>
      </c>
      <c r="F3335" s="6" t="s">
        <v>1425</v>
      </c>
      <c r="G3335">
        <v>7</v>
      </c>
    </row>
    <row r="3336" spans="1:15" x14ac:dyDescent="0.2">
      <c r="A3336" t="s">
        <v>3913</v>
      </c>
      <c r="B3336" t="s">
        <v>3893</v>
      </c>
      <c r="C3336">
        <v>2</v>
      </c>
      <c r="D3336" s="6" t="s">
        <v>3894</v>
      </c>
      <c r="E3336" s="8" t="s">
        <v>4229</v>
      </c>
      <c r="F3336" s="6" t="s">
        <v>1425</v>
      </c>
      <c r="G3336">
        <v>5</v>
      </c>
    </row>
    <row r="3337" spans="1:15" x14ac:dyDescent="0.2">
      <c r="A3337" t="s">
        <v>3913</v>
      </c>
      <c r="B3337" t="s">
        <v>3893</v>
      </c>
      <c r="C3337">
        <v>2</v>
      </c>
      <c r="D3337" s="6" t="s">
        <v>3894</v>
      </c>
      <c r="E3337" t="s">
        <v>4230</v>
      </c>
      <c r="F3337" s="6" t="s">
        <v>1389</v>
      </c>
      <c r="G3337">
        <v>1</v>
      </c>
      <c r="M3337">
        <v>3</v>
      </c>
    </row>
    <row r="3338" spans="1:15" x14ac:dyDescent="0.2">
      <c r="A3338" t="s">
        <v>3913</v>
      </c>
      <c r="B3338" t="s">
        <v>3893</v>
      </c>
      <c r="C3338">
        <v>2</v>
      </c>
      <c r="D3338" s="6" t="s">
        <v>3894</v>
      </c>
      <c r="E3338" t="s">
        <v>4231</v>
      </c>
      <c r="F3338" s="6" t="s">
        <v>1389</v>
      </c>
      <c r="G3338">
        <v>3</v>
      </c>
    </row>
    <row r="3339" spans="1:15" x14ac:dyDescent="0.2">
      <c r="A3339" t="s">
        <v>3913</v>
      </c>
      <c r="B3339" t="s">
        <v>3893</v>
      </c>
      <c r="C3339">
        <v>2</v>
      </c>
      <c r="D3339" s="6" t="s">
        <v>3894</v>
      </c>
      <c r="E3339" t="s">
        <v>4232</v>
      </c>
      <c r="F3339" s="6" t="s">
        <v>1389</v>
      </c>
      <c r="G3339">
        <v>4</v>
      </c>
    </row>
    <row r="3340" spans="1:15" x14ac:dyDescent="0.2">
      <c r="A3340" t="s">
        <v>3913</v>
      </c>
      <c r="B3340" t="s">
        <v>3893</v>
      </c>
      <c r="C3340">
        <v>2</v>
      </c>
      <c r="D3340" s="6" t="s">
        <v>3894</v>
      </c>
      <c r="E3340" t="s">
        <v>4233</v>
      </c>
      <c r="F3340" s="6" t="s">
        <v>1389</v>
      </c>
      <c r="G3340">
        <v>7</v>
      </c>
    </row>
    <row r="3341" spans="1:15" x14ac:dyDescent="0.2">
      <c r="A3341" t="s">
        <v>3913</v>
      </c>
      <c r="B3341" t="s">
        <v>3893</v>
      </c>
      <c r="C3341">
        <v>2</v>
      </c>
      <c r="D3341" s="6" t="s">
        <v>3894</v>
      </c>
      <c r="E3341" t="s">
        <v>4234</v>
      </c>
      <c r="F3341" s="6" t="s">
        <v>1389</v>
      </c>
      <c r="G3341">
        <v>2</v>
      </c>
    </row>
    <row r="3342" spans="1:15" x14ac:dyDescent="0.2">
      <c r="A3342" t="s">
        <v>3913</v>
      </c>
      <c r="B3342" t="s">
        <v>3893</v>
      </c>
      <c r="C3342">
        <v>2</v>
      </c>
      <c r="D3342" s="6" t="s">
        <v>3894</v>
      </c>
      <c r="E3342" t="s">
        <v>4235</v>
      </c>
      <c r="F3342" s="6" t="s">
        <v>1389</v>
      </c>
      <c r="G3342">
        <v>1</v>
      </c>
    </row>
    <row r="3343" spans="1:15" x14ac:dyDescent="0.2">
      <c r="A3343" t="s">
        <v>3913</v>
      </c>
      <c r="B3343" t="s">
        <v>3893</v>
      </c>
      <c r="C3343">
        <v>2</v>
      </c>
      <c r="D3343" s="6" t="s">
        <v>3894</v>
      </c>
      <c r="E3343" t="s">
        <v>4236</v>
      </c>
      <c r="F3343" s="6" t="s">
        <v>2553</v>
      </c>
      <c r="G3343" t="s">
        <v>114</v>
      </c>
    </row>
    <row r="3344" spans="1:15" x14ac:dyDescent="0.2">
      <c r="A3344" t="s">
        <v>3913</v>
      </c>
      <c r="B3344" t="s">
        <v>3893</v>
      </c>
      <c r="C3344">
        <v>2</v>
      </c>
      <c r="D3344" s="6" t="s">
        <v>3894</v>
      </c>
      <c r="E3344" t="s">
        <v>4237</v>
      </c>
      <c r="F3344" s="6" t="s">
        <v>1389</v>
      </c>
      <c r="G3344">
        <v>3</v>
      </c>
      <c r="O3344" t="s">
        <v>3898</v>
      </c>
    </row>
    <row r="3345" spans="1:15" x14ac:dyDescent="0.2">
      <c r="A3345" t="s">
        <v>3913</v>
      </c>
      <c r="B3345" t="s">
        <v>3893</v>
      </c>
      <c r="C3345">
        <v>2</v>
      </c>
      <c r="D3345" s="6" t="s">
        <v>3894</v>
      </c>
      <c r="E3345" t="s">
        <v>4238</v>
      </c>
      <c r="F3345" s="6" t="s">
        <v>2588</v>
      </c>
      <c r="G3345">
        <v>6</v>
      </c>
    </row>
    <row r="3346" spans="1:15" x14ac:dyDescent="0.2">
      <c r="A3346" t="s">
        <v>3913</v>
      </c>
      <c r="B3346" t="s">
        <v>3893</v>
      </c>
      <c r="C3346">
        <v>2</v>
      </c>
      <c r="D3346" s="6" t="s">
        <v>3894</v>
      </c>
      <c r="E3346" s="8" t="s">
        <v>4239</v>
      </c>
      <c r="F3346" s="6" t="s">
        <v>2588</v>
      </c>
      <c r="G3346">
        <v>3</v>
      </c>
    </row>
    <row r="3347" spans="1:15" x14ac:dyDescent="0.2">
      <c r="A3347" t="s">
        <v>3913</v>
      </c>
      <c r="B3347" t="s">
        <v>3893</v>
      </c>
      <c r="C3347">
        <v>2</v>
      </c>
      <c r="D3347" s="6" t="s">
        <v>3894</v>
      </c>
      <c r="E3347" t="s">
        <v>4240</v>
      </c>
      <c r="F3347" s="6" t="s">
        <v>2588</v>
      </c>
      <c r="G3347" t="s">
        <v>114</v>
      </c>
    </row>
    <row r="3348" spans="1:15" x14ac:dyDescent="0.2">
      <c r="A3348" t="s">
        <v>3913</v>
      </c>
      <c r="B3348" t="s">
        <v>3893</v>
      </c>
      <c r="C3348">
        <v>2</v>
      </c>
      <c r="D3348" s="6" t="s">
        <v>3894</v>
      </c>
      <c r="E3348" t="s">
        <v>4241</v>
      </c>
      <c r="F3348" s="6" t="s">
        <v>2588</v>
      </c>
      <c r="G3348">
        <v>4</v>
      </c>
    </row>
    <row r="3349" spans="1:15" x14ac:dyDescent="0.2">
      <c r="A3349" t="s">
        <v>3913</v>
      </c>
      <c r="B3349" t="s">
        <v>3893</v>
      </c>
      <c r="C3349">
        <v>2</v>
      </c>
      <c r="D3349" s="6" t="s">
        <v>3894</v>
      </c>
      <c r="E3349" s="8" t="s">
        <v>4242</v>
      </c>
      <c r="F3349" s="6" t="s">
        <v>2588</v>
      </c>
      <c r="G3349">
        <v>3</v>
      </c>
    </row>
    <row r="3350" spans="1:15" x14ac:dyDescent="0.2">
      <c r="A3350" t="s">
        <v>3913</v>
      </c>
      <c r="B3350" t="s">
        <v>3893</v>
      </c>
      <c r="C3350">
        <v>2</v>
      </c>
      <c r="D3350" s="6" t="s">
        <v>3894</v>
      </c>
      <c r="E3350" t="s">
        <v>4243</v>
      </c>
      <c r="F3350" s="6" t="s">
        <v>804</v>
      </c>
      <c r="G3350">
        <v>1</v>
      </c>
    </row>
    <row r="3351" spans="1:15" x14ac:dyDescent="0.2">
      <c r="A3351" t="s">
        <v>3913</v>
      </c>
      <c r="B3351" t="s">
        <v>3893</v>
      </c>
      <c r="C3351">
        <v>2</v>
      </c>
      <c r="D3351" s="6" t="s">
        <v>3894</v>
      </c>
      <c r="E3351" t="s">
        <v>4244</v>
      </c>
      <c r="F3351" s="6" t="s">
        <v>740</v>
      </c>
      <c r="G3351">
        <v>2</v>
      </c>
      <c r="M3351">
        <v>3</v>
      </c>
      <c r="O3351" t="s">
        <v>3897</v>
      </c>
    </row>
    <row r="3352" spans="1:15" x14ac:dyDescent="0.2">
      <c r="A3352" t="s">
        <v>3913</v>
      </c>
      <c r="B3352" t="s">
        <v>3893</v>
      </c>
      <c r="C3352">
        <v>2</v>
      </c>
      <c r="D3352" s="6" t="s">
        <v>3894</v>
      </c>
      <c r="E3352" t="s">
        <v>4245</v>
      </c>
      <c r="F3352" s="6" t="s">
        <v>2588</v>
      </c>
      <c r="G3352">
        <v>7</v>
      </c>
      <c r="M3352">
        <v>2</v>
      </c>
    </row>
    <row r="3353" spans="1:15" x14ac:dyDescent="0.2">
      <c r="A3353" t="s">
        <v>3913</v>
      </c>
      <c r="B3353" t="s">
        <v>3893</v>
      </c>
      <c r="C3353">
        <v>2</v>
      </c>
      <c r="D3353" s="6" t="s">
        <v>3894</v>
      </c>
      <c r="E3353" t="s">
        <v>4246</v>
      </c>
      <c r="F3353" s="6" t="s">
        <v>3875</v>
      </c>
      <c r="G3353">
        <v>6</v>
      </c>
      <c r="M3353">
        <v>2</v>
      </c>
    </row>
    <row r="3354" spans="1:15" x14ac:dyDescent="0.2">
      <c r="A3354" t="s">
        <v>3913</v>
      </c>
      <c r="B3354" t="s">
        <v>3893</v>
      </c>
      <c r="C3354">
        <v>2</v>
      </c>
      <c r="D3354" s="6" t="s">
        <v>3894</v>
      </c>
      <c r="E3354" t="s">
        <v>4247</v>
      </c>
      <c r="F3354" s="6" t="s">
        <v>106</v>
      </c>
      <c r="G3354">
        <v>1</v>
      </c>
      <c r="M3354">
        <v>6</v>
      </c>
    </row>
    <row r="3355" spans="1:15" x14ac:dyDescent="0.2">
      <c r="A3355" t="s">
        <v>3913</v>
      </c>
      <c r="B3355" t="s">
        <v>3893</v>
      </c>
      <c r="C3355">
        <v>2</v>
      </c>
      <c r="D3355" s="6" t="s">
        <v>3894</v>
      </c>
      <c r="E3355" t="s">
        <v>4248</v>
      </c>
      <c r="F3355" s="6" t="s">
        <v>113</v>
      </c>
      <c r="G3355">
        <v>8</v>
      </c>
      <c r="M3355">
        <v>2</v>
      </c>
    </row>
    <row r="3356" spans="1:15" x14ac:dyDescent="0.2">
      <c r="A3356" t="s">
        <v>3913</v>
      </c>
      <c r="B3356" t="s">
        <v>3893</v>
      </c>
      <c r="C3356">
        <v>2</v>
      </c>
      <c r="D3356" s="6" t="s">
        <v>3894</v>
      </c>
      <c r="E3356" t="s">
        <v>4249</v>
      </c>
      <c r="F3356" s="6" t="s">
        <v>810</v>
      </c>
      <c r="G3356">
        <v>4</v>
      </c>
      <c r="M3356">
        <v>2</v>
      </c>
    </row>
    <row r="3357" spans="1:15" x14ac:dyDescent="0.2">
      <c r="A3357" t="s">
        <v>3913</v>
      </c>
      <c r="B3357" t="s">
        <v>3893</v>
      </c>
      <c r="C3357">
        <v>2</v>
      </c>
      <c r="D3357" s="6" t="s">
        <v>3894</v>
      </c>
      <c r="E3357" t="s">
        <v>4250</v>
      </c>
      <c r="F3357" s="6" t="s">
        <v>121</v>
      </c>
      <c r="G3357">
        <v>4</v>
      </c>
      <c r="M3357">
        <v>2</v>
      </c>
    </row>
    <row r="3358" spans="1:15" x14ac:dyDescent="0.2">
      <c r="A3358" t="s">
        <v>3913</v>
      </c>
      <c r="B3358" t="s">
        <v>3893</v>
      </c>
      <c r="C3358">
        <v>2</v>
      </c>
      <c r="D3358" s="6" t="s">
        <v>3894</v>
      </c>
      <c r="E3358" t="s">
        <v>4251</v>
      </c>
      <c r="F3358" s="6" t="s">
        <v>3183</v>
      </c>
      <c r="G3358">
        <v>4</v>
      </c>
    </row>
    <row r="3359" spans="1:15" x14ac:dyDescent="0.2">
      <c r="A3359" t="s">
        <v>3913</v>
      </c>
      <c r="B3359" t="s">
        <v>3893</v>
      </c>
      <c r="C3359">
        <v>2</v>
      </c>
      <c r="D3359" s="6" t="s">
        <v>3894</v>
      </c>
      <c r="E3359" t="s">
        <v>4252</v>
      </c>
      <c r="F3359" s="6" t="s">
        <v>3184</v>
      </c>
      <c r="G3359">
        <v>12</v>
      </c>
    </row>
    <row r="3360" spans="1:15" x14ac:dyDescent="0.2">
      <c r="A3360" t="s">
        <v>3913</v>
      </c>
      <c r="B3360" t="s">
        <v>3893</v>
      </c>
      <c r="C3360">
        <v>3</v>
      </c>
      <c r="D3360" s="6" t="s">
        <v>3894</v>
      </c>
      <c r="E3360" s="8" t="s">
        <v>4253</v>
      </c>
      <c r="F3360" s="6" t="s">
        <v>1264</v>
      </c>
      <c r="H3360">
        <f>4.5-0.357</f>
        <v>4.1429999999999998</v>
      </c>
      <c r="O3360" t="s">
        <v>3899</v>
      </c>
    </row>
    <row r="3361" spans="1:17" x14ac:dyDescent="0.2">
      <c r="A3361" t="s">
        <v>3913</v>
      </c>
      <c r="B3361" t="s">
        <v>3893</v>
      </c>
      <c r="C3361">
        <v>3</v>
      </c>
      <c r="D3361" s="6" t="s">
        <v>3894</v>
      </c>
      <c r="E3361" s="8" t="s">
        <v>4254</v>
      </c>
      <c r="F3361" s="6" t="s">
        <v>6282</v>
      </c>
      <c r="G3361">
        <v>27</v>
      </c>
      <c r="Q3361" t="s">
        <v>10380</v>
      </c>
    </row>
    <row r="3362" spans="1:17" x14ac:dyDescent="0.2">
      <c r="A3362" t="s">
        <v>3913</v>
      </c>
      <c r="B3362" t="s">
        <v>3893</v>
      </c>
      <c r="C3362">
        <v>3</v>
      </c>
      <c r="D3362" s="6" t="s">
        <v>3894</v>
      </c>
      <c r="E3362" s="8" t="s">
        <v>4255</v>
      </c>
      <c r="F3362" s="6" t="s">
        <v>6283</v>
      </c>
      <c r="G3362">
        <v>10</v>
      </c>
      <c r="Q3362" t="s">
        <v>10376</v>
      </c>
    </row>
    <row r="3363" spans="1:17" x14ac:dyDescent="0.2">
      <c r="A3363" t="s">
        <v>3913</v>
      </c>
      <c r="B3363" t="s">
        <v>3893</v>
      </c>
      <c r="C3363">
        <v>3</v>
      </c>
      <c r="D3363" s="6" t="s">
        <v>3894</v>
      </c>
      <c r="E3363" s="8" t="s">
        <v>4256</v>
      </c>
      <c r="F3363" s="6" t="s">
        <v>6283</v>
      </c>
      <c r="G3363">
        <v>5</v>
      </c>
      <c r="Q3363" t="s">
        <v>10375</v>
      </c>
    </row>
    <row r="3364" spans="1:17" x14ac:dyDescent="0.2">
      <c r="A3364" t="s">
        <v>3913</v>
      </c>
      <c r="B3364" t="s">
        <v>3893</v>
      </c>
      <c r="C3364">
        <v>3</v>
      </c>
      <c r="D3364" s="6" t="s">
        <v>3894</v>
      </c>
      <c r="E3364" s="8" t="s">
        <v>4257</v>
      </c>
      <c r="F3364" s="6" t="s">
        <v>6283</v>
      </c>
      <c r="G3364">
        <v>5</v>
      </c>
      <c r="Q3364" t="s">
        <v>10378</v>
      </c>
    </row>
    <row r="3365" spans="1:17" x14ac:dyDescent="0.2">
      <c r="A3365" t="s">
        <v>3913</v>
      </c>
      <c r="B3365" t="s">
        <v>3893</v>
      </c>
      <c r="C3365">
        <v>3</v>
      </c>
      <c r="D3365" s="6" t="s">
        <v>3894</v>
      </c>
      <c r="E3365" s="8" t="s">
        <v>4258</v>
      </c>
      <c r="F3365" s="6" t="s">
        <v>6283</v>
      </c>
      <c r="G3365">
        <v>4</v>
      </c>
      <c r="Q3365" t="s">
        <v>10379</v>
      </c>
    </row>
    <row r="3366" spans="1:17" x14ac:dyDescent="0.2">
      <c r="A3366" t="s">
        <v>3913</v>
      </c>
      <c r="B3366" t="s">
        <v>3893</v>
      </c>
      <c r="C3366">
        <v>3</v>
      </c>
      <c r="D3366" s="6" t="s">
        <v>3894</v>
      </c>
      <c r="E3366" s="8" t="s">
        <v>4259</v>
      </c>
      <c r="F3366" s="6" t="s">
        <v>1425</v>
      </c>
      <c r="G3366">
        <v>8</v>
      </c>
      <c r="Q3366" t="s">
        <v>10377</v>
      </c>
    </row>
    <row r="3367" spans="1:17" x14ac:dyDescent="0.2">
      <c r="A3367" t="s">
        <v>3913</v>
      </c>
      <c r="B3367" t="s">
        <v>3893</v>
      </c>
      <c r="C3367">
        <v>3</v>
      </c>
      <c r="D3367" s="6" t="s">
        <v>3894</v>
      </c>
      <c r="E3367" s="8" t="s">
        <v>4260</v>
      </c>
      <c r="F3367" s="6" t="s">
        <v>1425</v>
      </c>
      <c r="G3367">
        <v>28</v>
      </c>
      <c r="M3367">
        <v>5</v>
      </c>
    </row>
    <row r="3368" spans="1:17" x14ac:dyDescent="0.2">
      <c r="A3368" t="s">
        <v>3913</v>
      </c>
      <c r="B3368" t="s">
        <v>3893</v>
      </c>
      <c r="C3368">
        <v>3</v>
      </c>
      <c r="D3368" s="6" t="s">
        <v>3894</v>
      </c>
      <c r="E3368" t="s">
        <v>4261</v>
      </c>
      <c r="F3368" s="6" t="s">
        <v>1425</v>
      </c>
      <c r="G3368">
        <v>133</v>
      </c>
    </row>
    <row r="3369" spans="1:17" x14ac:dyDescent="0.2">
      <c r="A3369" t="s">
        <v>3913</v>
      </c>
      <c r="B3369" t="s">
        <v>3893</v>
      </c>
      <c r="C3369">
        <v>3</v>
      </c>
      <c r="D3369" s="6" t="s">
        <v>3894</v>
      </c>
      <c r="E3369" t="s">
        <v>4262</v>
      </c>
      <c r="F3369" s="6" t="s">
        <v>1425</v>
      </c>
      <c r="G3369">
        <v>11</v>
      </c>
      <c r="O3369" t="s">
        <v>3898</v>
      </c>
    </row>
    <row r="3370" spans="1:17" x14ac:dyDescent="0.2">
      <c r="A3370" t="s">
        <v>3913</v>
      </c>
      <c r="B3370" t="s">
        <v>3893</v>
      </c>
      <c r="C3370">
        <v>3</v>
      </c>
      <c r="D3370" s="6" t="s">
        <v>3894</v>
      </c>
      <c r="E3370" s="8" t="s">
        <v>4263</v>
      </c>
      <c r="F3370" s="6" t="s">
        <v>1538</v>
      </c>
      <c r="G3370">
        <v>54</v>
      </c>
      <c r="Q3370" t="s">
        <v>10385</v>
      </c>
    </row>
    <row r="3371" spans="1:17" x14ac:dyDescent="0.2">
      <c r="A3371" t="s">
        <v>3913</v>
      </c>
      <c r="B3371" t="s">
        <v>3893</v>
      </c>
      <c r="C3371">
        <v>3</v>
      </c>
      <c r="D3371" s="6" t="s">
        <v>3894</v>
      </c>
      <c r="E3371" t="s">
        <v>4264</v>
      </c>
      <c r="F3371" s="6" t="s">
        <v>1538</v>
      </c>
      <c r="G3371">
        <v>24</v>
      </c>
      <c r="Q3371" t="s">
        <v>10383</v>
      </c>
    </row>
    <row r="3372" spans="1:17" x14ac:dyDescent="0.2">
      <c r="A3372" t="s">
        <v>3913</v>
      </c>
      <c r="B3372" t="s">
        <v>3893</v>
      </c>
      <c r="C3372">
        <v>3</v>
      </c>
      <c r="D3372" s="6" t="s">
        <v>3894</v>
      </c>
      <c r="E3372" t="s">
        <v>4265</v>
      </c>
      <c r="F3372" s="6" t="s">
        <v>1538</v>
      </c>
      <c r="G3372">
        <v>22</v>
      </c>
      <c r="Q3372" t="s">
        <v>10384</v>
      </c>
    </row>
    <row r="3373" spans="1:17" x14ac:dyDescent="0.2">
      <c r="A3373" t="s">
        <v>3913</v>
      </c>
      <c r="B3373" t="s">
        <v>3893</v>
      </c>
      <c r="C3373">
        <v>3</v>
      </c>
      <c r="D3373" s="6" t="s">
        <v>3894</v>
      </c>
      <c r="E3373" t="s">
        <v>4266</v>
      </c>
      <c r="F3373" s="6" t="s">
        <v>1538</v>
      </c>
      <c r="G3373">
        <v>6</v>
      </c>
      <c r="O3373" t="s">
        <v>3900</v>
      </c>
      <c r="Q3373" t="s">
        <v>10382</v>
      </c>
    </row>
    <row r="3374" spans="1:17" x14ac:dyDescent="0.2">
      <c r="A3374" t="s">
        <v>3913</v>
      </c>
      <c r="B3374" t="s">
        <v>3893</v>
      </c>
      <c r="C3374">
        <v>3</v>
      </c>
      <c r="D3374" s="6" t="s">
        <v>3894</v>
      </c>
      <c r="E3374" t="s">
        <v>4267</v>
      </c>
      <c r="F3374" s="6" t="s">
        <v>1538</v>
      </c>
      <c r="G3374">
        <v>3</v>
      </c>
      <c r="Q3374" t="s">
        <v>10381</v>
      </c>
    </row>
    <row r="3375" spans="1:17" x14ac:dyDescent="0.2">
      <c r="A3375" t="s">
        <v>3913</v>
      </c>
      <c r="B3375" t="s">
        <v>3893</v>
      </c>
      <c r="C3375">
        <v>3</v>
      </c>
      <c r="D3375" s="6" t="s">
        <v>3894</v>
      </c>
      <c r="E3375" t="s">
        <v>4268</v>
      </c>
      <c r="F3375" s="6" t="s">
        <v>1538</v>
      </c>
      <c r="G3375">
        <v>112</v>
      </c>
      <c r="M3375">
        <v>4</v>
      </c>
    </row>
    <row r="3376" spans="1:17" x14ac:dyDescent="0.2">
      <c r="A3376" t="s">
        <v>3913</v>
      </c>
      <c r="B3376" t="s">
        <v>3893</v>
      </c>
      <c r="C3376">
        <v>3</v>
      </c>
      <c r="D3376" s="6" t="s">
        <v>3894</v>
      </c>
      <c r="E3376" t="s">
        <v>4269</v>
      </c>
      <c r="F3376" s="6" t="s">
        <v>7990</v>
      </c>
      <c r="G3376" t="s">
        <v>114</v>
      </c>
      <c r="Q3376" t="s">
        <v>10386</v>
      </c>
    </row>
    <row r="3377" spans="1:17" x14ac:dyDescent="0.2">
      <c r="A3377" t="s">
        <v>3913</v>
      </c>
      <c r="B3377" t="s">
        <v>3893</v>
      </c>
      <c r="C3377">
        <v>3</v>
      </c>
      <c r="D3377" s="6" t="s">
        <v>3894</v>
      </c>
      <c r="E3377" t="s">
        <v>4270</v>
      </c>
      <c r="F3377" s="6" t="s">
        <v>1538</v>
      </c>
      <c r="G3377" t="s">
        <v>114</v>
      </c>
      <c r="Q3377" t="s">
        <v>10390</v>
      </c>
    </row>
    <row r="3378" spans="1:17" x14ac:dyDescent="0.2">
      <c r="A3378" t="s">
        <v>3913</v>
      </c>
      <c r="B3378" t="s">
        <v>3893</v>
      </c>
      <c r="C3378">
        <v>3</v>
      </c>
      <c r="D3378" s="6" t="s">
        <v>3894</v>
      </c>
      <c r="E3378" t="s">
        <v>4271</v>
      </c>
      <c r="F3378" s="6" t="s">
        <v>1538</v>
      </c>
      <c r="G3378" t="s">
        <v>114</v>
      </c>
      <c r="Q3378" t="s">
        <v>10389</v>
      </c>
    </row>
    <row r="3379" spans="1:17" x14ac:dyDescent="0.2">
      <c r="A3379" t="s">
        <v>3913</v>
      </c>
      <c r="B3379" t="s">
        <v>3893</v>
      </c>
      <c r="C3379">
        <v>3</v>
      </c>
      <c r="D3379" s="6" t="s">
        <v>3894</v>
      </c>
      <c r="E3379" t="s">
        <v>4272</v>
      </c>
      <c r="F3379" s="6" t="s">
        <v>1538</v>
      </c>
      <c r="G3379">
        <v>1</v>
      </c>
      <c r="Q3379" t="s">
        <v>10388</v>
      </c>
    </row>
    <row r="3380" spans="1:17" x14ac:dyDescent="0.2">
      <c r="A3380" t="s">
        <v>3913</v>
      </c>
      <c r="B3380" t="s">
        <v>3893</v>
      </c>
      <c r="C3380">
        <v>3</v>
      </c>
      <c r="D3380" s="6" t="s">
        <v>3894</v>
      </c>
      <c r="E3380" t="s">
        <v>4273</v>
      </c>
      <c r="F3380" s="6" t="s">
        <v>1538</v>
      </c>
      <c r="G3380">
        <v>3</v>
      </c>
      <c r="Q3380" t="s">
        <v>10387</v>
      </c>
    </row>
    <row r="3381" spans="1:17" x14ac:dyDescent="0.2">
      <c r="A3381" t="s">
        <v>3913</v>
      </c>
      <c r="B3381" t="s">
        <v>3893</v>
      </c>
      <c r="C3381">
        <v>3</v>
      </c>
      <c r="D3381" s="6" t="s">
        <v>3894</v>
      </c>
      <c r="E3381" t="s">
        <v>4274</v>
      </c>
      <c r="F3381" s="6" t="s">
        <v>1538</v>
      </c>
      <c r="G3381">
        <v>8</v>
      </c>
      <c r="M3381">
        <v>5</v>
      </c>
    </row>
    <row r="3382" spans="1:17" x14ac:dyDescent="0.2">
      <c r="A3382" t="s">
        <v>3913</v>
      </c>
      <c r="B3382" t="s">
        <v>3893</v>
      </c>
      <c r="C3382">
        <v>3</v>
      </c>
      <c r="D3382" s="6" t="s">
        <v>3894</v>
      </c>
      <c r="E3382" t="s">
        <v>4261</v>
      </c>
      <c r="F3382" s="6" t="s">
        <v>1538</v>
      </c>
      <c r="G3382">
        <v>9</v>
      </c>
    </row>
    <row r="3383" spans="1:17" x14ac:dyDescent="0.2">
      <c r="A3383" t="s">
        <v>3913</v>
      </c>
      <c r="B3383" t="s">
        <v>3893</v>
      </c>
      <c r="C3383">
        <v>3</v>
      </c>
      <c r="D3383" s="6" t="s">
        <v>3894</v>
      </c>
      <c r="E3383" t="s">
        <v>4275</v>
      </c>
      <c r="F3383" s="6" t="s">
        <v>1389</v>
      </c>
      <c r="G3383">
        <v>15</v>
      </c>
      <c r="Q3383" t="s">
        <v>10371</v>
      </c>
    </row>
    <row r="3384" spans="1:17" x14ac:dyDescent="0.2">
      <c r="A3384" t="s">
        <v>3913</v>
      </c>
      <c r="B3384" t="s">
        <v>3893</v>
      </c>
      <c r="C3384">
        <v>3</v>
      </c>
      <c r="D3384" s="6" t="s">
        <v>3894</v>
      </c>
      <c r="E3384" t="s">
        <v>4276</v>
      </c>
      <c r="F3384" s="6" t="s">
        <v>1389</v>
      </c>
      <c r="G3384">
        <v>1</v>
      </c>
      <c r="Q3384" t="s">
        <v>10374</v>
      </c>
    </row>
    <row r="3385" spans="1:17" x14ac:dyDescent="0.2">
      <c r="A3385" t="s">
        <v>3913</v>
      </c>
      <c r="B3385" t="s">
        <v>3893</v>
      </c>
      <c r="C3385">
        <v>3</v>
      </c>
      <c r="D3385" s="6" t="s">
        <v>3894</v>
      </c>
      <c r="E3385" t="s">
        <v>4277</v>
      </c>
      <c r="F3385" s="6" t="s">
        <v>1389</v>
      </c>
      <c r="G3385">
        <v>9</v>
      </c>
      <c r="Q3385" t="s">
        <v>10372</v>
      </c>
    </row>
    <row r="3386" spans="1:17" x14ac:dyDescent="0.2">
      <c r="A3386" t="s">
        <v>3913</v>
      </c>
      <c r="B3386" t="s">
        <v>3893</v>
      </c>
      <c r="C3386">
        <v>3</v>
      </c>
      <c r="D3386" s="6" t="s">
        <v>3894</v>
      </c>
      <c r="E3386" t="s">
        <v>4278</v>
      </c>
      <c r="F3386" s="6" t="s">
        <v>1389</v>
      </c>
      <c r="G3386">
        <v>8</v>
      </c>
      <c r="Q3386" t="s">
        <v>10370</v>
      </c>
    </row>
    <row r="3387" spans="1:17" x14ac:dyDescent="0.2">
      <c r="A3387" t="s">
        <v>3913</v>
      </c>
      <c r="B3387" t="s">
        <v>3893</v>
      </c>
      <c r="C3387">
        <v>3</v>
      </c>
      <c r="D3387" s="6" t="s">
        <v>3894</v>
      </c>
      <c r="E3387" t="s">
        <v>4279</v>
      </c>
      <c r="F3387" s="6" t="s">
        <v>1389</v>
      </c>
      <c r="G3387">
        <v>5</v>
      </c>
      <c r="Q3387" t="s">
        <v>10373</v>
      </c>
    </row>
    <row r="3388" spans="1:17" x14ac:dyDescent="0.2">
      <c r="A3388" t="s">
        <v>3913</v>
      </c>
      <c r="B3388" t="s">
        <v>3893</v>
      </c>
      <c r="C3388">
        <v>3</v>
      </c>
      <c r="D3388" s="6" t="s">
        <v>3894</v>
      </c>
      <c r="E3388" t="s">
        <v>4280</v>
      </c>
      <c r="F3388" s="6" t="s">
        <v>1389</v>
      </c>
      <c r="G3388">
        <v>36</v>
      </c>
      <c r="M3388">
        <v>5</v>
      </c>
    </row>
    <row r="3389" spans="1:17" x14ac:dyDescent="0.2">
      <c r="A3389" t="s">
        <v>3913</v>
      </c>
      <c r="B3389" t="s">
        <v>3893</v>
      </c>
      <c r="C3389">
        <v>3</v>
      </c>
      <c r="D3389" s="6" t="s">
        <v>3894</v>
      </c>
      <c r="E3389" t="s">
        <v>4261</v>
      </c>
      <c r="F3389" s="6" t="s">
        <v>1389</v>
      </c>
      <c r="G3389">
        <v>140</v>
      </c>
    </row>
    <row r="3390" spans="1:17" x14ac:dyDescent="0.2">
      <c r="A3390" t="s">
        <v>3913</v>
      </c>
      <c r="B3390" t="s">
        <v>3893</v>
      </c>
      <c r="C3390">
        <v>3</v>
      </c>
      <c r="D3390" s="6" t="s">
        <v>3894</v>
      </c>
      <c r="E3390" t="s">
        <v>4281</v>
      </c>
      <c r="F3390" s="6" t="s">
        <v>810</v>
      </c>
      <c r="G3390">
        <v>33</v>
      </c>
    </row>
    <row r="3391" spans="1:17" x14ac:dyDescent="0.2">
      <c r="A3391" t="s">
        <v>3913</v>
      </c>
      <c r="B3391" t="s">
        <v>3893</v>
      </c>
      <c r="C3391">
        <v>3</v>
      </c>
      <c r="D3391" s="6" t="s">
        <v>3894</v>
      </c>
      <c r="E3391" t="s">
        <v>4282</v>
      </c>
      <c r="F3391" s="6" t="s">
        <v>3875</v>
      </c>
      <c r="G3391">
        <v>13</v>
      </c>
    </row>
    <row r="3392" spans="1:17" x14ac:dyDescent="0.2">
      <c r="A3392" t="s">
        <v>3913</v>
      </c>
      <c r="B3392" t="s">
        <v>3893</v>
      </c>
      <c r="C3392">
        <v>3</v>
      </c>
      <c r="D3392" s="6" t="s">
        <v>3894</v>
      </c>
      <c r="E3392" t="s">
        <v>4283</v>
      </c>
      <c r="F3392" s="6" t="s">
        <v>3431</v>
      </c>
      <c r="G3392">
        <v>5</v>
      </c>
    </row>
    <row r="3393" spans="1:17" x14ac:dyDescent="0.2">
      <c r="A3393" t="s">
        <v>3913</v>
      </c>
      <c r="B3393" t="s">
        <v>3893</v>
      </c>
      <c r="C3393">
        <v>3</v>
      </c>
      <c r="D3393" s="6" t="s">
        <v>3894</v>
      </c>
      <c r="E3393" t="s">
        <v>4284</v>
      </c>
      <c r="F3393" s="6" t="s">
        <v>7138</v>
      </c>
      <c r="G3393">
        <v>10</v>
      </c>
      <c r="M3393">
        <v>4</v>
      </c>
      <c r="Q3393" t="s">
        <v>10391</v>
      </c>
    </row>
    <row r="3394" spans="1:17" x14ac:dyDescent="0.2">
      <c r="A3394" t="s">
        <v>3913</v>
      </c>
      <c r="B3394" t="s">
        <v>3893</v>
      </c>
      <c r="C3394">
        <v>3</v>
      </c>
      <c r="D3394" s="6" t="s">
        <v>3894</v>
      </c>
      <c r="E3394" t="s">
        <v>4285</v>
      </c>
      <c r="F3394" s="6" t="s">
        <v>106</v>
      </c>
      <c r="G3394">
        <v>5</v>
      </c>
    </row>
    <row r="3395" spans="1:17" x14ac:dyDescent="0.2">
      <c r="A3395" t="s">
        <v>3913</v>
      </c>
      <c r="B3395" t="s">
        <v>3893</v>
      </c>
      <c r="C3395">
        <v>3</v>
      </c>
      <c r="D3395" s="6" t="s">
        <v>3894</v>
      </c>
      <c r="E3395" t="s">
        <v>4286</v>
      </c>
      <c r="F3395" s="6" t="s">
        <v>1559</v>
      </c>
      <c r="G3395" t="s">
        <v>114</v>
      </c>
    </row>
    <row r="3396" spans="1:17" x14ac:dyDescent="0.2">
      <c r="A3396" t="s">
        <v>3913</v>
      </c>
      <c r="B3396" t="s">
        <v>3893</v>
      </c>
      <c r="C3396">
        <v>3</v>
      </c>
      <c r="D3396" s="6" t="s">
        <v>3894</v>
      </c>
      <c r="E3396" t="s">
        <v>4287</v>
      </c>
      <c r="F3396" s="6" t="s">
        <v>121</v>
      </c>
      <c r="G3396">
        <v>9</v>
      </c>
    </row>
    <row r="3397" spans="1:17" x14ac:dyDescent="0.2">
      <c r="A3397" t="s">
        <v>3913</v>
      </c>
      <c r="B3397" t="s">
        <v>3893</v>
      </c>
      <c r="C3397">
        <v>3</v>
      </c>
      <c r="D3397" s="6" t="s">
        <v>3894</v>
      </c>
      <c r="E3397" t="s">
        <v>4288</v>
      </c>
      <c r="F3397" s="6" t="s">
        <v>2789</v>
      </c>
      <c r="G3397">
        <v>8</v>
      </c>
    </row>
    <row r="3398" spans="1:17" x14ac:dyDescent="0.2">
      <c r="A3398" t="s">
        <v>3913</v>
      </c>
      <c r="B3398" t="s">
        <v>3893</v>
      </c>
      <c r="C3398">
        <v>3</v>
      </c>
      <c r="D3398" s="6" t="s">
        <v>3894</v>
      </c>
      <c r="E3398" t="s">
        <v>4261</v>
      </c>
      <c r="F3398" s="6" t="s">
        <v>3251</v>
      </c>
      <c r="G3398">
        <v>18</v>
      </c>
    </row>
    <row r="3399" spans="1:17" x14ac:dyDescent="0.2">
      <c r="A3399" t="s">
        <v>3913</v>
      </c>
      <c r="B3399" t="s">
        <v>3893</v>
      </c>
      <c r="C3399">
        <v>3</v>
      </c>
      <c r="D3399" s="6" t="s">
        <v>3894</v>
      </c>
      <c r="E3399" t="s">
        <v>4289</v>
      </c>
      <c r="F3399" s="6" t="s">
        <v>1311</v>
      </c>
      <c r="G3399">
        <v>2</v>
      </c>
      <c r="Q3399" t="s">
        <v>10394</v>
      </c>
    </row>
    <row r="3400" spans="1:17" x14ac:dyDescent="0.2">
      <c r="A3400" t="s">
        <v>3913</v>
      </c>
      <c r="B3400" t="s">
        <v>3893</v>
      </c>
      <c r="C3400">
        <v>3</v>
      </c>
      <c r="D3400" s="6" t="s">
        <v>3894</v>
      </c>
      <c r="E3400" t="s">
        <v>4290</v>
      </c>
      <c r="F3400" s="6" t="s">
        <v>1311</v>
      </c>
      <c r="G3400">
        <v>4</v>
      </c>
      <c r="Q3400" t="s">
        <v>10395</v>
      </c>
    </row>
    <row r="3401" spans="1:17" x14ac:dyDescent="0.2">
      <c r="A3401" t="s">
        <v>3913</v>
      </c>
      <c r="B3401" t="s">
        <v>3893</v>
      </c>
      <c r="C3401">
        <v>3</v>
      </c>
      <c r="D3401" s="6" t="s">
        <v>3894</v>
      </c>
      <c r="E3401" t="s">
        <v>4291</v>
      </c>
      <c r="F3401" s="6" t="s">
        <v>7845</v>
      </c>
      <c r="G3401">
        <v>1</v>
      </c>
      <c r="M3401">
        <v>5</v>
      </c>
      <c r="Q3401" t="s">
        <v>6152</v>
      </c>
    </row>
    <row r="3402" spans="1:17" x14ac:dyDescent="0.2">
      <c r="A3402" t="s">
        <v>3913</v>
      </c>
      <c r="B3402" t="s">
        <v>3893</v>
      </c>
      <c r="C3402">
        <v>3</v>
      </c>
      <c r="D3402" s="6" t="s">
        <v>3894</v>
      </c>
      <c r="E3402" t="s">
        <v>4292</v>
      </c>
      <c r="F3402" s="6" t="s">
        <v>7990</v>
      </c>
      <c r="G3402">
        <v>31</v>
      </c>
      <c r="Q3402" t="s">
        <v>10393</v>
      </c>
    </row>
    <row r="3403" spans="1:17" x14ac:dyDescent="0.2">
      <c r="A3403" t="s">
        <v>3913</v>
      </c>
      <c r="B3403" t="s">
        <v>3893</v>
      </c>
      <c r="C3403">
        <v>3</v>
      </c>
      <c r="D3403" s="6" t="s">
        <v>3894</v>
      </c>
      <c r="E3403" t="s">
        <v>4293</v>
      </c>
      <c r="F3403" s="6" t="s">
        <v>5995</v>
      </c>
      <c r="G3403">
        <v>4</v>
      </c>
      <c r="Q3403" t="s">
        <v>6149</v>
      </c>
    </row>
    <row r="3404" spans="1:17" x14ac:dyDescent="0.2">
      <c r="A3404" t="s">
        <v>3913</v>
      </c>
      <c r="B3404" t="s">
        <v>3893</v>
      </c>
      <c r="C3404">
        <v>3</v>
      </c>
      <c r="D3404" s="6" t="s">
        <v>3894</v>
      </c>
      <c r="E3404" t="s">
        <v>4294</v>
      </c>
      <c r="F3404" s="6" t="s">
        <v>5995</v>
      </c>
      <c r="G3404">
        <v>2</v>
      </c>
      <c r="Q3404" t="s">
        <v>6150</v>
      </c>
    </row>
    <row r="3405" spans="1:17" x14ac:dyDescent="0.2">
      <c r="A3405" t="s">
        <v>3913</v>
      </c>
      <c r="B3405" t="s">
        <v>3893</v>
      </c>
      <c r="C3405">
        <v>3</v>
      </c>
      <c r="D3405" s="6" t="s">
        <v>3894</v>
      </c>
      <c r="E3405" t="s">
        <v>4295</v>
      </c>
      <c r="F3405" s="6" t="s">
        <v>5995</v>
      </c>
      <c r="G3405">
        <v>1</v>
      </c>
      <c r="Q3405" t="s">
        <v>6147</v>
      </c>
    </row>
    <row r="3406" spans="1:17" x14ac:dyDescent="0.2">
      <c r="A3406" t="s">
        <v>3913</v>
      </c>
      <c r="B3406" t="s">
        <v>3893</v>
      </c>
      <c r="C3406">
        <v>3</v>
      </c>
      <c r="D3406" s="6" t="s">
        <v>3894</v>
      </c>
      <c r="E3406" t="s">
        <v>4296</v>
      </c>
      <c r="F3406" s="6" t="s">
        <v>5995</v>
      </c>
      <c r="G3406" t="s">
        <v>114</v>
      </c>
      <c r="Q3406" t="s">
        <v>6148</v>
      </c>
    </row>
    <row r="3407" spans="1:17" x14ac:dyDescent="0.2">
      <c r="A3407" t="s">
        <v>3913</v>
      </c>
      <c r="B3407" t="s">
        <v>3893</v>
      </c>
      <c r="C3407">
        <v>3</v>
      </c>
      <c r="D3407" s="6" t="s">
        <v>3894</v>
      </c>
      <c r="E3407" t="s">
        <v>4297</v>
      </c>
      <c r="F3407" s="6" t="s">
        <v>5995</v>
      </c>
      <c r="G3407">
        <v>3</v>
      </c>
      <c r="M3407">
        <v>5</v>
      </c>
      <c r="Q3407" s="12" t="s">
        <v>6152</v>
      </c>
    </row>
    <row r="3408" spans="1:17" x14ac:dyDescent="0.2">
      <c r="A3408" t="s">
        <v>3913</v>
      </c>
      <c r="B3408" t="s">
        <v>3893</v>
      </c>
      <c r="C3408">
        <v>3</v>
      </c>
      <c r="D3408" s="6" t="s">
        <v>3894</v>
      </c>
      <c r="E3408" t="s">
        <v>4298</v>
      </c>
      <c r="F3408" s="6" t="s">
        <v>6239</v>
      </c>
      <c r="G3408">
        <v>1</v>
      </c>
      <c r="Q3408" t="s">
        <v>10392</v>
      </c>
    </row>
    <row r="3409" spans="1:17" x14ac:dyDescent="0.2">
      <c r="A3409" t="s">
        <v>3913</v>
      </c>
      <c r="B3409" t="s">
        <v>3893</v>
      </c>
      <c r="C3409">
        <v>3</v>
      </c>
      <c r="D3409" s="6" t="s">
        <v>3894</v>
      </c>
      <c r="E3409" t="s">
        <v>4299</v>
      </c>
      <c r="F3409" t="s">
        <v>10396</v>
      </c>
      <c r="G3409">
        <v>31</v>
      </c>
      <c r="O3409" t="s">
        <v>3902</v>
      </c>
      <c r="Q3409" t="s">
        <v>10397</v>
      </c>
    </row>
    <row r="3410" spans="1:17" x14ac:dyDescent="0.2">
      <c r="A3410" t="s">
        <v>3913</v>
      </c>
      <c r="B3410" t="s">
        <v>3893</v>
      </c>
      <c r="C3410">
        <v>3</v>
      </c>
      <c r="D3410" s="6" t="s">
        <v>3894</v>
      </c>
      <c r="E3410" t="s">
        <v>4261</v>
      </c>
      <c r="F3410" s="6" t="s">
        <v>1389</v>
      </c>
      <c r="G3410">
        <v>59</v>
      </c>
    </row>
    <row r="3411" spans="1:17" x14ac:dyDescent="0.2">
      <c r="A3411" t="s">
        <v>3913</v>
      </c>
      <c r="B3411" t="s">
        <v>3893</v>
      </c>
      <c r="C3411">
        <v>4</v>
      </c>
      <c r="D3411" s="6" t="s">
        <v>3894</v>
      </c>
      <c r="E3411" s="8" t="s">
        <v>4300</v>
      </c>
      <c r="F3411" s="6" t="s">
        <v>1264</v>
      </c>
      <c r="G3411">
        <v>2072</v>
      </c>
      <c r="N3411">
        <v>1</v>
      </c>
      <c r="O3411" t="s">
        <v>3903</v>
      </c>
    </row>
    <row r="3412" spans="1:17" x14ac:dyDescent="0.2">
      <c r="A3412" t="s">
        <v>3913</v>
      </c>
      <c r="B3412" t="s">
        <v>3893</v>
      </c>
      <c r="C3412">
        <v>4</v>
      </c>
      <c r="D3412" s="6" t="s">
        <v>3894</v>
      </c>
      <c r="E3412" s="8" t="s">
        <v>4301</v>
      </c>
      <c r="F3412" s="6" t="s">
        <v>1425</v>
      </c>
      <c r="G3412">
        <v>4</v>
      </c>
      <c r="Q3412" t="s">
        <v>10398</v>
      </c>
    </row>
    <row r="3413" spans="1:17" x14ac:dyDescent="0.2">
      <c r="A3413" t="s">
        <v>3913</v>
      </c>
      <c r="B3413" t="s">
        <v>3893</v>
      </c>
      <c r="C3413">
        <v>4</v>
      </c>
      <c r="D3413" s="6" t="s">
        <v>3894</v>
      </c>
      <c r="E3413" s="8" t="s">
        <v>4302</v>
      </c>
      <c r="F3413" s="6" t="s">
        <v>1425</v>
      </c>
      <c r="G3413">
        <v>8</v>
      </c>
      <c r="Q3413" t="s">
        <v>10399</v>
      </c>
    </row>
    <row r="3414" spans="1:17" x14ac:dyDescent="0.2">
      <c r="A3414" t="s">
        <v>3913</v>
      </c>
      <c r="B3414" t="s">
        <v>3893</v>
      </c>
      <c r="C3414">
        <v>4</v>
      </c>
      <c r="D3414" s="6" t="s">
        <v>3894</v>
      </c>
      <c r="E3414" t="s">
        <v>4303</v>
      </c>
      <c r="F3414" s="6" t="s">
        <v>1425</v>
      </c>
      <c r="G3414">
        <v>7</v>
      </c>
      <c r="Q3414" t="s">
        <v>10400</v>
      </c>
    </row>
    <row r="3415" spans="1:17" x14ac:dyDescent="0.2">
      <c r="A3415" t="s">
        <v>3913</v>
      </c>
      <c r="B3415" t="s">
        <v>3893</v>
      </c>
      <c r="C3415">
        <v>4</v>
      </c>
      <c r="D3415" s="6" t="s">
        <v>3894</v>
      </c>
      <c r="E3415" t="s">
        <v>4304</v>
      </c>
      <c r="F3415" s="6" t="s">
        <v>1425</v>
      </c>
      <c r="G3415">
        <v>21</v>
      </c>
      <c r="Q3415" t="s">
        <v>10401</v>
      </c>
    </row>
    <row r="3416" spans="1:17" x14ac:dyDescent="0.2">
      <c r="A3416" t="s">
        <v>3913</v>
      </c>
      <c r="B3416" t="s">
        <v>3893</v>
      </c>
      <c r="C3416">
        <v>4</v>
      </c>
      <c r="D3416" s="6" t="s">
        <v>3894</v>
      </c>
      <c r="E3416" t="s">
        <v>4305</v>
      </c>
      <c r="F3416" s="6" t="s">
        <v>1425</v>
      </c>
      <c r="G3416">
        <v>18</v>
      </c>
      <c r="N3416">
        <v>1</v>
      </c>
      <c r="O3416" t="s">
        <v>1552</v>
      </c>
      <c r="Q3416" t="s">
        <v>10402</v>
      </c>
    </row>
    <row r="3417" spans="1:17" x14ac:dyDescent="0.2">
      <c r="A3417" t="s">
        <v>3913</v>
      </c>
      <c r="B3417" t="s">
        <v>3893</v>
      </c>
      <c r="C3417">
        <v>4</v>
      </c>
      <c r="D3417" s="6" t="s">
        <v>3894</v>
      </c>
      <c r="E3417" t="s">
        <v>4306</v>
      </c>
      <c r="F3417" s="6" t="s">
        <v>1425</v>
      </c>
      <c r="G3417">
        <v>14</v>
      </c>
      <c r="M3417">
        <v>3</v>
      </c>
    </row>
    <row r="3418" spans="1:17" x14ac:dyDescent="0.2">
      <c r="A3418" t="s">
        <v>3913</v>
      </c>
      <c r="B3418" t="s">
        <v>3893</v>
      </c>
      <c r="C3418">
        <v>4</v>
      </c>
      <c r="D3418" s="6" t="s">
        <v>3894</v>
      </c>
      <c r="E3418" t="s">
        <v>4307</v>
      </c>
      <c r="F3418" s="6" t="s">
        <v>1538</v>
      </c>
      <c r="G3418">
        <v>41</v>
      </c>
      <c r="Q3418" t="s">
        <v>10403</v>
      </c>
    </row>
    <row r="3419" spans="1:17" x14ac:dyDescent="0.2">
      <c r="A3419" t="s">
        <v>3913</v>
      </c>
      <c r="B3419" t="s">
        <v>3893</v>
      </c>
      <c r="C3419">
        <v>4</v>
      </c>
      <c r="D3419" s="6" t="s">
        <v>3894</v>
      </c>
      <c r="E3419" t="s">
        <v>4308</v>
      </c>
      <c r="F3419" s="6" t="s">
        <v>6359</v>
      </c>
      <c r="G3419">
        <v>2</v>
      </c>
      <c r="Q3419" t="s">
        <v>10413</v>
      </c>
    </row>
    <row r="3420" spans="1:17" x14ac:dyDescent="0.2">
      <c r="A3420" t="s">
        <v>3913</v>
      </c>
      <c r="B3420" t="s">
        <v>3893</v>
      </c>
      <c r="C3420">
        <v>4</v>
      </c>
      <c r="D3420" s="6" t="s">
        <v>3894</v>
      </c>
      <c r="E3420" t="s">
        <v>4309</v>
      </c>
      <c r="F3420" s="6" t="s">
        <v>6359</v>
      </c>
      <c r="G3420">
        <v>1</v>
      </c>
      <c r="Q3420" t="s">
        <v>10412</v>
      </c>
    </row>
    <row r="3421" spans="1:17" x14ac:dyDescent="0.2">
      <c r="A3421" t="s">
        <v>3913</v>
      </c>
      <c r="B3421" t="s">
        <v>3893</v>
      </c>
      <c r="C3421">
        <v>4</v>
      </c>
      <c r="D3421" s="6" t="s">
        <v>3894</v>
      </c>
      <c r="E3421" t="s">
        <v>4310</v>
      </c>
      <c r="F3421" s="6" t="s">
        <v>6359</v>
      </c>
      <c r="G3421">
        <v>1</v>
      </c>
      <c r="Q3421" t="s">
        <v>10411</v>
      </c>
    </row>
    <row r="3422" spans="1:17" x14ac:dyDescent="0.2">
      <c r="A3422" t="s">
        <v>3913</v>
      </c>
      <c r="B3422" t="s">
        <v>3893</v>
      </c>
      <c r="C3422">
        <v>4</v>
      </c>
      <c r="D3422" s="6" t="s">
        <v>3894</v>
      </c>
      <c r="E3422" t="s">
        <v>4311</v>
      </c>
      <c r="F3422" s="6" t="s">
        <v>6359</v>
      </c>
      <c r="G3422">
        <v>2</v>
      </c>
      <c r="Q3422" t="s">
        <v>10410</v>
      </c>
    </row>
    <row r="3423" spans="1:17" x14ac:dyDescent="0.2">
      <c r="A3423" t="s">
        <v>3913</v>
      </c>
      <c r="B3423" t="s">
        <v>3893</v>
      </c>
      <c r="C3423">
        <v>4</v>
      </c>
      <c r="D3423" s="6" t="s">
        <v>3894</v>
      </c>
      <c r="E3423" t="s">
        <v>4312</v>
      </c>
      <c r="F3423" s="6" t="s">
        <v>6359</v>
      </c>
      <c r="G3423">
        <v>2</v>
      </c>
      <c r="Q3423" t="s">
        <v>10409</v>
      </c>
    </row>
    <row r="3424" spans="1:17" x14ac:dyDescent="0.2">
      <c r="A3424" t="s">
        <v>3913</v>
      </c>
      <c r="B3424" t="s">
        <v>3893</v>
      </c>
      <c r="C3424">
        <v>4</v>
      </c>
      <c r="D3424" s="6" t="s">
        <v>3894</v>
      </c>
      <c r="E3424" t="s">
        <v>4313</v>
      </c>
      <c r="F3424" s="6" t="s">
        <v>5995</v>
      </c>
      <c r="G3424">
        <v>1</v>
      </c>
      <c r="Q3424" t="s">
        <v>6151</v>
      </c>
    </row>
    <row r="3425" spans="1:17" x14ac:dyDescent="0.2">
      <c r="A3425" t="s">
        <v>3913</v>
      </c>
      <c r="B3425" t="s">
        <v>3893</v>
      </c>
      <c r="C3425">
        <v>4</v>
      </c>
      <c r="D3425" s="6" t="s">
        <v>3894</v>
      </c>
      <c r="E3425" t="s">
        <v>4314</v>
      </c>
      <c r="F3425" s="6" t="s">
        <v>1389</v>
      </c>
      <c r="G3425">
        <v>6</v>
      </c>
      <c r="Q3425" t="s">
        <v>10405</v>
      </c>
    </row>
    <row r="3426" spans="1:17" x14ac:dyDescent="0.2">
      <c r="A3426" t="s">
        <v>3913</v>
      </c>
      <c r="B3426" t="s">
        <v>3893</v>
      </c>
      <c r="C3426">
        <v>4</v>
      </c>
      <c r="D3426" s="6" t="s">
        <v>3894</v>
      </c>
      <c r="E3426" t="s">
        <v>4315</v>
      </c>
      <c r="F3426" s="6" t="s">
        <v>1389</v>
      </c>
      <c r="G3426">
        <v>3</v>
      </c>
      <c r="Q3426" t="s">
        <v>10404</v>
      </c>
    </row>
    <row r="3427" spans="1:17" x14ac:dyDescent="0.2">
      <c r="A3427" t="s">
        <v>3913</v>
      </c>
      <c r="B3427" t="s">
        <v>3893</v>
      </c>
      <c r="C3427">
        <v>4</v>
      </c>
      <c r="D3427" s="6" t="s">
        <v>3894</v>
      </c>
      <c r="E3427" t="s">
        <v>4316</v>
      </c>
      <c r="F3427" s="6" t="s">
        <v>7845</v>
      </c>
      <c r="G3427">
        <v>1</v>
      </c>
      <c r="M3427">
        <v>3</v>
      </c>
      <c r="P3427" t="s">
        <v>3904</v>
      </c>
      <c r="Q3427" t="s">
        <v>10406</v>
      </c>
    </row>
    <row r="3428" spans="1:17" x14ac:dyDescent="0.2">
      <c r="A3428" t="s">
        <v>3913</v>
      </c>
      <c r="B3428" t="s">
        <v>3893</v>
      </c>
      <c r="C3428">
        <v>4</v>
      </c>
      <c r="D3428" s="6" t="s">
        <v>3894</v>
      </c>
      <c r="E3428" t="s">
        <v>4317</v>
      </c>
      <c r="F3428" s="6" t="s">
        <v>7845</v>
      </c>
      <c r="G3428" t="s">
        <v>114</v>
      </c>
      <c r="P3428" t="s">
        <v>3904</v>
      </c>
      <c r="Q3428" t="s">
        <v>10407</v>
      </c>
    </row>
    <row r="3429" spans="1:17" x14ac:dyDescent="0.2">
      <c r="A3429" t="s">
        <v>3913</v>
      </c>
      <c r="B3429" t="s">
        <v>3893</v>
      </c>
      <c r="C3429">
        <v>4</v>
      </c>
      <c r="D3429" s="6" t="s">
        <v>3894</v>
      </c>
      <c r="E3429" t="s">
        <v>4318</v>
      </c>
      <c r="F3429" s="6" t="s">
        <v>1389</v>
      </c>
      <c r="G3429">
        <v>6</v>
      </c>
      <c r="Q3429" t="s">
        <v>10408</v>
      </c>
    </row>
    <row r="3430" spans="1:17" x14ac:dyDescent="0.2">
      <c r="A3430" t="s">
        <v>3913</v>
      </c>
      <c r="B3430" t="s">
        <v>3893</v>
      </c>
      <c r="C3430">
        <v>4</v>
      </c>
      <c r="D3430" s="6" t="s">
        <v>3894</v>
      </c>
      <c r="E3430" t="s">
        <v>4319</v>
      </c>
      <c r="F3430" s="6" t="s">
        <v>1389</v>
      </c>
      <c r="G3430">
        <v>15</v>
      </c>
      <c r="M3430">
        <v>5</v>
      </c>
    </row>
    <row r="3431" spans="1:17" x14ac:dyDescent="0.2">
      <c r="A3431" t="s">
        <v>3913</v>
      </c>
      <c r="B3431" t="s">
        <v>3893</v>
      </c>
      <c r="C3431">
        <v>4</v>
      </c>
      <c r="D3431" s="6" t="s">
        <v>3894</v>
      </c>
      <c r="E3431" t="s">
        <v>4320</v>
      </c>
      <c r="F3431" s="6" t="s">
        <v>1389</v>
      </c>
      <c r="G3431">
        <v>54</v>
      </c>
    </row>
    <row r="3432" spans="1:17" x14ac:dyDescent="0.2">
      <c r="A3432" t="s">
        <v>3913</v>
      </c>
      <c r="B3432" t="s">
        <v>3893</v>
      </c>
      <c r="C3432">
        <v>4</v>
      </c>
      <c r="D3432" s="6" t="s">
        <v>3894</v>
      </c>
      <c r="E3432" s="8" t="s">
        <v>4321</v>
      </c>
      <c r="F3432" s="6" t="s">
        <v>106</v>
      </c>
      <c r="G3432">
        <v>11</v>
      </c>
    </row>
    <row r="3433" spans="1:17" x14ac:dyDescent="0.2">
      <c r="A3433" t="s">
        <v>3913</v>
      </c>
      <c r="B3433" t="s">
        <v>3893</v>
      </c>
      <c r="C3433">
        <v>4</v>
      </c>
      <c r="D3433" s="6" t="s">
        <v>3894</v>
      </c>
      <c r="E3433" s="8" t="s">
        <v>4322</v>
      </c>
      <c r="F3433" s="6" t="s">
        <v>112</v>
      </c>
      <c r="G3433">
        <v>1</v>
      </c>
      <c r="M3433">
        <v>2</v>
      </c>
    </row>
    <row r="3434" spans="1:17" x14ac:dyDescent="0.2">
      <c r="A3434" t="s">
        <v>3913</v>
      </c>
      <c r="B3434" t="s">
        <v>3893</v>
      </c>
      <c r="C3434">
        <v>4</v>
      </c>
      <c r="D3434" s="6" t="s">
        <v>3894</v>
      </c>
      <c r="E3434" s="8" t="s">
        <v>4323</v>
      </c>
      <c r="F3434" s="6" t="s">
        <v>871</v>
      </c>
      <c r="G3434">
        <v>5</v>
      </c>
    </row>
    <row r="3435" spans="1:17" x14ac:dyDescent="0.2">
      <c r="A3435" t="s">
        <v>3913</v>
      </c>
      <c r="B3435" t="s">
        <v>3893</v>
      </c>
      <c r="C3435">
        <v>4</v>
      </c>
      <c r="D3435" s="6" t="s">
        <v>3894</v>
      </c>
      <c r="E3435" s="8" t="s">
        <v>4324</v>
      </c>
      <c r="F3435" s="6" t="s">
        <v>3875</v>
      </c>
      <c r="G3435">
        <v>113</v>
      </c>
      <c r="P3435" t="s">
        <v>3905</v>
      </c>
    </row>
    <row r="3436" spans="1:17" x14ac:dyDescent="0.2">
      <c r="A3436" t="s">
        <v>3913</v>
      </c>
      <c r="B3436" t="s">
        <v>3893</v>
      </c>
      <c r="C3436">
        <v>4</v>
      </c>
      <c r="D3436" s="6" t="s">
        <v>3894</v>
      </c>
      <c r="E3436" s="8" t="s">
        <v>4325</v>
      </c>
      <c r="F3436" s="6" t="s">
        <v>984</v>
      </c>
      <c r="G3436">
        <v>56</v>
      </c>
    </row>
    <row r="3437" spans="1:17" x14ac:dyDescent="0.2">
      <c r="A3437" t="s">
        <v>3913</v>
      </c>
      <c r="B3437" t="s">
        <v>3893</v>
      </c>
      <c r="C3437">
        <v>4</v>
      </c>
      <c r="D3437" s="6" t="s">
        <v>3894</v>
      </c>
      <c r="E3437" s="8" t="s">
        <v>4326</v>
      </c>
      <c r="F3437" s="6" t="s">
        <v>2789</v>
      </c>
      <c r="G3437">
        <v>34</v>
      </c>
    </row>
    <row r="3438" spans="1:17" x14ac:dyDescent="0.2">
      <c r="A3438" t="s">
        <v>3913</v>
      </c>
      <c r="B3438" t="s">
        <v>3893</v>
      </c>
      <c r="C3438">
        <v>6</v>
      </c>
      <c r="D3438" s="6" t="s">
        <v>3894</v>
      </c>
      <c r="E3438" s="8" t="s">
        <v>4327</v>
      </c>
      <c r="F3438" s="6" t="s">
        <v>1264</v>
      </c>
      <c r="H3438">
        <f>6.9-0.344+2.685-0.261</f>
        <v>8.98</v>
      </c>
      <c r="O3438" t="s">
        <v>3907</v>
      </c>
    </row>
    <row r="3439" spans="1:17" x14ac:dyDescent="0.2">
      <c r="A3439" t="s">
        <v>3913</v>
      </c>
      <c r="B3439" t="s">
        <v>3893</v>
      </c>
      <c r="C3439">
        <v>6</v>
      </c>
      <c r="D3439" s="6" t="s">
        <v>3894</v>
      </c>
      <c r="E3439" t="s">
        <v>4328</v>
      </c>
      <c r="F3439" s="6" t="s">
        <v>984</v>
      </c>
      <c r="G3439">
        <f>820-589</f>
        <v>231</v>
      </c>
      <c r="O3439" t="s">
        <v>3908</v>
      </c>
    </row>
    <row r="3440" spans="1:17" x14ac:dyDescent="0.2">
      <c r="A3440" t="s">
        <v>3913</v>
      </c>
      <c r="B3440" t="s">
        <v>3893</v>
      </c>
      <c r="C3440">
        <v>6</v>
      </c>
      <c r="D3440" s="6" t="s">
        <v>3894</v>
      </c>
      <c r="E3440" s="8" t="s">
        <v>4329</v>
      </c>
      <c r="F3440" s="6" t="s">
        <v>7337</v>
      </c>
      <c r="G3440">
        <v>5</v>
      </c>
      <c r="Q3440" t="s">
        <v>10433</v>
      </c>
    </row>
    <row r="3441" spans="1:17" x14ac:dyDescent="0.2">
      <c r="A3441" t="s">
        <v>3913</v>
      </c>
      <c r="B3441" t="s">
        <v>3893</v>
      </c>
      <c r="C3441">
        <v>6</v>
      </c>
      <c r="D3441" s="6" t="s">
        <v>3894</v>
      </c>
      <c r="E3441" s="8" t="s">
        <v>4330</v>
      </c>
      <c r="F3441" s="6" t="s">
        <v>1389</v>
      </c>
      <c r="G3441">
        <v>2</v>
      </c>
      <c r="Q3441" t="s">
        <v>10432</v>
      </c>
    </row>
    <row r="3442" spans="1:17" x14ac:dyDescent="0.2">
      <c r="A3442" t="s">
        <v>3913</v>
      </c>
      <c r="B3442" t="s">
        <v>3893</v>
      </c>
      <c r="C3442">
        <v>6</v>
      </c>
      <c r="D3442" s="6" t="s">
        <v>3894</v>
      </c>
      <c r="E3442" s="8" t="s">
        <v>4331</v>
      </c>
      <c r="F3442" s="6" t="s">
        <v>1389</v>
      </c>
      <c r="G3442" t="s">
        <v>114</v>
      </c>
      <c r="Q3442" t="s">
        <v>10431</v>
      </c>
    </row>
    <row r="3443" spans="1:17" x14ac:dyDescent="0.2">
      <c r="A3443" t="s">
        <v>3913</v>
      </c>
      <c r="B3443" t="s">
        <v>3893</v>
      </c>
      <c r="C3443">
        <v>6</v>
      </c>
      <c r="D3443" s="6" t="s">
        <v>3894</v>
      </c>
      <c r="E3443" t="s">
        <v>4332</v>
      </c>
      <c r="F3443" s="6" t="s">
        <v>1389</v>
      </c>
      <c r="G3443" t="s">
        <v>114</v>
      </c>
      <c r="Q3443" t="s">
        <v>10428</v>
      </c>
    </row>
    <row r="3444" spans="1:17" x14ac:dyDescent="0.2">
      <c r="A3444" t="s">
        <v>3913</v>
      </c>
      <c r="B3444" t="s">
        <v>3893</v>
      </c>
      <c r="C3444">
        <v>6</v>
      </c>
      <c r="D3444" s="6" t="s">
        <v>3894</v>
      </c>
      <c r="E3444" t="s">
        <v>4333</v>
      </c>
      <c r="F3444" s="6" t="s">
        <v>1389</v>
      </c>
      <c r="G3444" t="s">
        <v>114</v>
      </c>
      <c r="Q3444" t="s">
        <v>10427</v>
      </c>
    </row>
    <row r="3445" spans="1:17" x14ac:dyDescent="0.2">
      <c r="A3445" t="s">
        <v>3913</v>
      </c>
      <c r="B3445" t="s">
        <v>3893</v>
      </c>
      <c r="C3445">
        <v>6</v>
      </c>
      <c r="D3445" s="6" t="s">
        <v>3894</v>
      </c>
      <c r="E3445" t="s">
        <v>4334</v>
      </c>
      <c r="F3445" s="6" t="s">
        <v>1389</v>
      </c>
      <c r="G3445" t="s">
        <v>114</v>
      </c>
      <c r="Q3445" t="s">
        <v>10429</v>
      </c>
    </row>
    <row r="3446" spans="1:17" x14ac:dyDescent="0.2">
      <c r="A3446" t="s">
        <v>3913</v>
      </c>
      <c r="B3446" t="s">
        <v>3893</v>
      </c>
      <c r="C3446">
        <v>6</v>
      </c>
      <c r="D3446" s="6" t="s">
        <v>3894</v>
      </c>
      <c r="E3446" t="s">
        <v>4335</v>
      </c>
      <c r="F3446" s="6" t="s">
        <v>1389</v>
      </c>
      <c r="G3446" t="s">
        <v>114</v>
      </c>
      <c r="Q3446" t="s">
        <v>10430</v>
      </c>
    </row>
    <row r="3447" spans="1:17" x14ac:dyDescent="0.2">
      <c r="A3447" t="s">
        <v>3913</v>
      </c>
      <c r="B3447" t="s">
        <v>3893</v>
      </c>
      <c r="C3447">
        <v>6</v>
      </c>
      <c r="D3447" s="6" t="s">
        <v>3894</v>
      </c>
      <c r="E3447" t="s">
        <v>4336</v>
      </c>
      <c r="F3447" s="6" t="s">
        <v>1389</v>
      </c>
      <c r="G3447">
        <v>1</v>
      </c>
      <c r="M3447">
        <v>3</v>
      </c>
    </row>
    <row r="3448" spans="1:17" x14ac:dyDescent="0.2">
      <c r="A3448" t="s">
        <v>3913</v>
      </c>
      <c r="B3448" t="s">
        <v>3893</v>
      </c>
      <c r="C3448">
        <v>6</v>
      </c>
      <c r="D3448" s="6" t="s">
        <v>3894</v>
      </c>
      <c r="E3448" s="8" t="s">
        <v>4337</v>
      </c>
      <c r="F3448" s="6" t="s">
        <v>1425</v>
      </c>
      <c r="G3448">
        <v>7</v>
      </c>
      <c r="Q3448" t="s">
        <v>10426</v>
      </c>
    </row>
    <row r="3449" spans="1:17" x14ac:dyDescent="0.2">
      <c r="A3449" t="s">
        <v>3913</v>
      </c>
      <c r="B3449" t="s">
        <v>3893</v>
      </c>
      <c r="C3449">
        <v>6</v>
      </c>
      <c r="D3449" s="6" t="s">
        <v>3894</v>
      </c>
      <c r="E3449" s="8" t="s">
        <v>4338</v>
      </c>
      <c r="F3449" s="6" t="s">
        <v>1425</v>
      </c>
      <c r="G3449">
        <v>6</v>
      </c>
      <c r="Q3449" t="s">
        <v>10425</v>
      </c>
    </row>
    <row r="3450" spans="1:17" x14ac:dyDescent="0.2">
      <c r="A3450" t="s">
        <v>3913</v>
      </c>
      <c r="B3450" t="s">
        <v>3893</v>
      </c>
      <c r="C3450">
        <v>6</v>
      </c>
      <c r="D3450" s="6" t="s">
        <v>3894</v>
      </c>
      <c r="E3450" s="8" t="s">
        <v>4339</v>
      </c>
      <c r="F3450" s="6" t="s">
        <v>1425</v>
      </c>
      <c r="G3450">
        <v>6</v>
      </c>
      <c r="Q3450" t="s">
        <v>10424</v>
      </c>
    </row>
    <row r="3451" spans="1:17" x14ac:dyDescent="0.2">
      <c r="A3451" t="s">
        <v>3913</v>
      </c>
      <c r="B3451" t="s">
        <v>3893</v>
      </c>
      <c r="C3451">
        <v>6</v>
      </c>
      <c r="D3451" s="6" t="s">
        <v>3894</v>
      </c>
      <c r="E3451" s="8" t="s">
        <v>4340</v>
      </c>
      <c r="F3451" s="6" t="s">
        <v>6231</v>
      </c>
      <c r="G3451">
        <v>14</v>
      </c>
      <c r="Q3451" t="s">
        <v>10423</v>
      </c>
    </row>
    <row r="3452" spans="1:17" x14ac:dyDescent="0.2">
      <c r="A3452" t="s">
        <v>3913</v>
      </c>
      <c r="B3452" t="s">
        <v>3893</v>
      </c>
      <c r="C3452">
        <v>6</v>
      </c>
      <c r="D3452" s="6" t="s">
        <v>3894</v>
      </c>
      <c r="E3452" s="8" t="s">
        <v>4341</v>
      </c>
      <c r="F3452" s="6" t="s">
        <v>1425</v>
      </c>
      <c r="G3452">
        <v>9</v>
      </c>
      <c r="Q3452" t="s">
        <v>10422</v>
      </c>
    </row>
    <row r="3453" spans="1:17" x14ac:dyDescent="0.2">
      <c r="A3453" t="s">
        <v>3913</v>
      </c>
      <c r="B3453" t="s">
        <v>3893</v>
      </c>
      <c r="C3453">
        <v>5</v>
      </c>
      <c r="D3453" s="6" t="s">
        <v>3894</v>
      </c>
      <c r="E3453" t="s">
        <v>4342</v>
      </c>
      <c r="F3453" s="6" t="s">
        <v>1264</v>
      </c>
      <c r="H3453">
        <f>2.8-1.7</f>
        <v>1.0999999999999999</v>
      </c>
      <c r="O3453" t="s">
        <v>3906</v>
      </c>
    </row>
    <row r="3454" spans="1:17" x14ac:dyDescent="0.2">
      <c r="A3454" t="s">
        <v>3913</v>
      </c>
      <c r="B3454" t="s">
        <v>3893</v>
      </c>
      <c r="C3454">
        <v>6</v>
      </c>
      <c r="D3454" s="6" t="s">
        <v>3894</v>
      </c>
      <c r="E3454" t="s">
        <v>4343</v>
      </c>
      <c r="F3454" s="6" t="s">
        <v>6862</v>
      </c>
      <c r="G3454">
        <v>1</v>
      </c>
      <c r="Q3454" t="s">
        <v>6158</v>
      </c>
    </row>
    <row r="3455" spans="1:17" x14ac:dyDescent="0.2">
      <c r="A3455" t="s">
        <v>3913</v>
      </c>
      <c r="B3455" t="s">
        <v>3893</v>
      </c>
      <c r="C3455">
        <v>6</v>
      </c>
      <c r="D3455" s="6" t="s">
        <v>3894</v>
      </c>
      <c r="E3455" t="s">
        <v>4344</v>
      </c>
      <c r="F3455" s="6" t="s">
        <v>6862</v>
      </c>
      <c r="G3455" t="s">
        <v>114</v>
      </c>
      <c r="Q3455" t="s">
        <v>6157</v>
      </c>
    </row>
    <row r="3456" spans="1:17" x14ac:dyDescent="0.2">
      <c r="A3456" t="s">
        <v>3913</v>
      </c>
      <c r="B3456" t="s">
        <v>3893</v>
      </c>
      <c r="C3456">
        <v>6</v>
      </c>
      <c r="D3456" s="6" t="s">
        <v>3894</v>
      </c>
      <c r="E3456" t="s">
        <v>4345</v>
      </c>
      <c r="F3456" s="6" t="s">
        <v>6862</v>
      </c>
      <c r="G3456">
        <v>1</v>
      </c>
      <c r="Q3456" t="s">
        <v>6156</v>
      </c>
    </row>
    <row r="3457" spans="1:17" x14ac:dyDescent="0.2">
      <c r="A3457" t="s">
        <v>3913</v>
      </c>
      <c r="B3457" t="s">
        <v>3893</v>
      </c>
      <c r="C3457">
        <v>6</v>
      </c>
      <c r="D3457" s="6" t="s">
        <v>3894</v>
      </c>
      <c r="E3457" t="s">
        <v>4346</v>
      </c>
      <c r="F3457" s="6" t="s">
        <v>6862</v>
      </c>
      <c r="G3457" t="s">
        <v>114</v>
      </c>
      <c r="Q3457" t="s">
        <v>6155</v>
      </c>
    </row>
    <row r="3458" spans="1:17" x14ac:dyDescent="0.2">
      <c r="A3458" t="s">
        <v>3913</v>
      </c>
      <c r="B3458" t="s">
        <v>3893</v>
      </c>
      <c r="C3458">
        <v>6</v>
      </c>
      <c r="D3458" s="6" t="s">
        <v>3894</v>
      </c>
      <c r="E3458" t="s">
        <v>4347</v>
      </c>
      <c r="F3458" s="6" t="s">
        <v>6862</v>
      </c>
      <c r="G3458" t="s">
        <v>114</v>
      </c>
      <c r="Q3458" t="s">
        <v>6154</v>
      </c>
    </row>
    <row r="3459" spans="1:17" x14ac:dyDescent="0.2">
      <c r="A3459" t="s">
        <v>3913</v>
      </c>
      <c r="B3459" t="s">
        <v>3893</v>
      </c>
      <c r="C3459">
        <v>6</v>
      </c>
      <c r="D3459" s="6" t="s">
        <v>3894</v>
      </c>
      <c r="E3459" t="s">
        <v>4348</v>
      </c>
      <c r="F3459" s="6" t="s">
        <v>6862</v>
      </c>
      <c r="G3459">
        <v>5</v>
      </c>
      <c r="M3459">
        <v>5</v>
      </c>
    </row>
    <row r="3460" spans="1:17" x14ac:dyDescent="0.2">
      <c r="A3460" t="s">
        <v>3913</v>
      </c>
      <c r="B3460" t="s">
        <v>3893</v>
      </c>
      <c r="C3460">
        <v>6</v>
      </c>
      <c r="D3460" s="6" t="s">
        <v>3894</v>
      </c>
      <c r="E3460" t="s">
        <v>4349</v>
      </c>
      <c r="F3460" s="6" t="s">
        <v>1311</v>
      </c>
      <c r="G3460" t="s">
        <v>114</v>
      </c>
      <c r="Q3460" t="s">
        <v>10419</v>
      </c>
    </row>
    <row r="3461" spans="1:17" x14ac:dyDescent="0.2">
      <c r="A3461" t="s">
        <v>3913</v>
      </c>
      <c r="B3461" t="s">
        <v>3893</v>
      </c>
      <c r="C3461">
        <v>6</v>
      </c>
      <c r="D3461" s="6" t="s">
        <v>3894</v>
      </c>
      <c r="E3461" t="s">
        <v>4350</v>
      </c>
      <c r="F3461" s="6" t="s">
        <v>1559</v>
      </c>
      <c r="G3461">
        <v>1</v>
      </c>
      <c r="Q3461" t="s">
        <v>10418</v>
      </c>
    </row>
    <row r="3462" spans="1:17" x14ac:dyDescent="0.2">
      <c r="A3462" t="s">
        <v>3913</v>
      </c>
      <c r="B3462" t="s">
        <v>3893</v>
      </c>
      <c r="C3462">
        <v>6</v>
      </c>
      <c r="D3462" s="6" t="s">
        <v>3894</v>
      </c>
      <c r="E3462" t="s">
        <v>4351</v>
      </c>
      <c r="F3462" s="6" t="s">
        <v>1559</v>
      </c>
      <c r="G3462">
        <v>1</v>
      </c>
      <c r="Q3462" t="s">
        <v>10417</v>
      </c>
    </row>
    <row r="3463" spans="1:17" x14ac:dyDescent="0.2">
      <c r="A3463" t="s">
        <v>3913</v>
      </c>
      <c r="B3463" t="s">
        <v>3893</v>
      </c>
      <c r="C3463">
        <v>6</v>
      </c>
      <c r="D3463" s="6" t="s">
        <v>3894</v>
      </c>
      <c r="E3463" t="s">
        <v>4352</v>
      </c>
      <c r="F3463" s="6" t="s">
        <v>1559</v>
      </c>
      <c r="G3463">
        <v>1</v>
      </c>
      <c r="Q3463" t="s">
        <v>10416</v>
      </c>
    </row>
    <row r="3464" spans="1:17" x14ac:dyDescent="0.2">
      <c r="A3464" t="s">
        <v>3913</v>
      </c>
      <c r="B3464" t="s">
        <v>3893</v>
      </c>
      <c r="C3464">
        <v>6</v>
      </c>
      <c r="D3464" s="6" t="s">
        <v>3894</v>
      </c>
      <c r="E3464" t="s">
        <v>4353</v>
      </c>
      <c r="F3464" s="6" t="s">
        <v>6239</v>
      </c>
      <c r="G3464">
        <v>1</v>
      </c>
      <c r="Q3464" t="s">
        <v>10434</v>
      </c>
    </row>
    <row r="3465" spans="1:17" x14ac:dyDescent="0.2">
      <c r="A3465" t="s">
        <v>3913</v>
      </c>
      <c r="B3465" t="s">
        <v>3893</v>
      </c>
      <c r="C3465">
        <v>6</v>
      </c>
      <c r="D3465" s="6" t="s">
        <v>3894</v>
      </c>
      <c r="E3465" t="s">
        <v>4354</v>
      </c>
      <c r="F3465" s="6" t="s">
        <v>6239</v>
      </c>
      <c r="G3465">
        <v>1</v>
      </c>
      <c r="Q3465" t="s">
        <v>10421</v>
      </c>
    </row>
    <row r="3466" spans="1:17" x14ac:dyDescent="0.2">
      <c r="A3466" t="s">
        <v>3913</v>
      </c>
      <c r="B3466" t="s">
        <v>3893</v>
      </c>
      <c r="C3466">
        <v>6</v>
      </c>
      <c r="D3466" s="6" t="s">
        <v>3894</v>
      </c>
      <c r="E3466" t="s">
        <v>4355</v>
      </c>
      <c r="F3466" s="6" t="s">
        <v>6239</v>
      </c>
      <c r="G3466" t="s">
        <v>114</v>
      </c>
      <c r="Q3466" t="s">
        <v>10420</v>
      </c>
    </row>
    <row r="3467" spans="1:17" x14ac:dyDescent="0.2">
      <c r="A3467" t="s">
        <v>3913</v>
      </c>
      <c r="B3467" t="s">
        <v>3893</v>
      </c>
      <c r="C3467">
        <v>6</v>
      </c>
      <c r="D3467" s="6" t="s">
        <v>3894</v>
      </c>
      <c r="E3467" t="s">
        <v>4356</v>
      </c>
      <c r="F3467" s="6" t="s">
        <v>1538</v>
      </c>
      <c r="G3467">
        <v>1</v>
      </c>
      <c r="Q3467" t="s">
        <v>10415</v>
      </c>
    </row>
    <row r="3468" spans="1:17" x14ac:dyDescent="0.2">
      <c r="A3468" t="s">
        <v>3913</v>
      </c>
      <c r="B3468" t="s">
        <v>3893</v>
      </c>
      <c r="C3468">
        <v>6</v>
      </c>
      <c r="D3468" s="6" t="s">
        <v>3894</v>
      </c>
      <c r="E3468" t="s">
        <v>4357</v>
      </c>
      <c r="F3468" s="6" t="s">
        <v>1538</v>
      </c>
      <c r="G3468" t="s">
        <v>114</v>
      </c>
      <c r="Q3468" t="s">
        <v>10414</v>
      </c>
    </row>
    <row r="3469" spans="1:17" x14ac:dyDescent="0.2">
      <c r="A3469" t="s">
        <v>3913</v>
      </c>
      <c r="B3469" t="s">
        <v>3893</v>
      </c>
      <c r="C3469">
        <v>6</v>
      </c>
      <c r="D3469" s="6" t="s">
        <v>3894</v>
      </c>
      <c r="E3469" t="s">
        <v>4358</v>
      </c>
      <c r="F3469" s="6" t="s">
        <v>1538</v>
      </c>
      <c r="G3469" t="s">
        <v>114</v>
      </c>
      <c r="M3469">
        <v>5</v>
      </c>
    </row>
    <row r="3470" spans="1:17" x14ac:dyDescent="0.2">
      <c r="A3470" t="s">
        <v>3913</v>
      </c>
      <c r="B3470" t="s">
        <v>3893</v>
      </c>
      <c r="C3470">
        <v>6</v>
      </c>
      <c r="D3470" s="6" t="s">
        <v>3894</v>
      </c>
      <c r="E3470" t="s">
        <v>4359</v>
      </c>
      <c r="F3470" s="6" t="s">
        <v>130</v>
      </c>
      <c r="G3470" t="s">
        <v>114</v>
      </c>
      <c r="M3470">
        <v>2</v>
      </c>
    </row>
    <row r="3471" spans="1:17" x14ac:dyDescent="0.2">
      <c r="A3471" t="s">
        <v>3913</v>
      </c>
      <c r="B3471" t="s">
        <v>3893</v>
      </c>
      <c r="C3471">
        <v>6</v>
      </c>
      <c r="D3471" s="6" t="s">
        <v>3894</v>
      </c>
      <c r="E3471" t="s">
        <v>4360</v>
      </c>
      <c r="F3471" s="6" t="s">
        <v>1538</v>
      </c>
      <c r="G3471" t="s">
        <v>114</v>
      </c>
    </row>
    <row r="3472" spans="1:17" x14ac:dyDescent="0.2">
      <c r="A3472" t="s">
        <v>3913</v>
      </c>
      <c r="B3472" t="s">
        <v>3893</v>
      </c>
      <c r="C3472">
        <v>6</v>
      </c>
      <c r="D3472" s="6" t="s">
        <v>3894</v>
      </c>
      <c r="E3472" t="s">
        <v>4361</v>
      </c>
      <c r="F3472" s="6" t="s">
        <v>8498</v>
      </c>
      <c r="G3472">
        <v>32</v>
      </c>
      <c r="Q3472" t="s">
        <v>10435</v>
      </c>
    </row>
    <row r="3473" spans="1:17" x14ac:dyDescent="0.2">
      <c r="A3473" t="s">
        <v>3913</v>
      </c>
      <c r="B3473" t="s">
        <v>3893</v>
      </c>
      <c r="C3473">
        <v>6</v>
      </c>
      <c r="D3473" s="6" t="s">
        <v>3894</v>
      </c>
      <c r="E3473" t="s">
        <v>4362</v>
      </c>
      <c r="F3473" s="6" t="s">
        <v>8498</v>
      </c>
      <c r="G3473">
        <v>39</v>
      </c>
      <c r="Q3473" t="s">
        <v>10436</v>
      </c>
    </row>
    <row r="3474" spans="1:17" x14ac:dyDescent="0.2">
      <c r="A3474" t="s">
        <v>3913</v>
      </c>
      <c r="B3474" t="s">
        <v>3893</v>
      </c>
      <c r="C3474">
        <v>6</v>
      </c>
      <c r="D3474" s="6" t="s">
        <v>3894</v>
      </c>
      <c r="E3474" t="s">
        <v>4363</v>
      </c>
      <c r="F3474" s="6" t="s">
        <v>8498</v>
      </c>
      <c r="G3474">
        <v>10</v>
      </c>
      <c r="Q3474" t="s">
        <v>10438</v>
      </c>
    </row>
    <row r="3475" spans="1:17" x14ac:dyDescent="0.2">
      <c r="A3475" t="s">
        <v>3913</v>
      </c>
      <c r="B3475" t="s">
        <v>3893</v>
      </c>
      <c r="C3475">
        <v>6</v>
      </c>
      <c r="D3475" s="6" t="s">
        <v>3894</v>
      </c>
      <c r="E3475" t="s">
        <v>4364</v>
      </c>
      <c r="F3475" s="6" t="s">
        <v>8498</v>
      </c>
      <c r="G3475">
        <v>12</v>
      </c>
      <c r="Q3475" t="s">
        <v>10437</v>
      </c>
    </row>
    <row r="3476" spans="1:17" x14ac:dyDescent="0.2">
      <c r="A3476" t="s">
        <v>3913</v>
      </c>
      <c r="B3476" t="s">
        <v>3893</v>
      </c>
      <c r="C3476">
        <v>6</v>
      </c>
      <c r="D3476" s="6" t="s">
        <v>3894</v>
      </c>
      <c r="E3476" t="s">
        <v>4365</v>
      </c>
      <c r="F3476" s="6" t="s">
        <v>8498</v>
      </c>
      <c r="G3476">
        <v>4</v>
      </c>
      <c r="Q3476" t="s">
        <v>10439</v>
      </c>
    </row>
    <row r="3477" spans="1:17" x14ac:dyDescent="0.2">
      <c r="A3477" t="s">
        <v>3913</v>
      </c>
      <c r="B3477" t="s">
        <v>3893</v>
      </c>
      <c r="C3477">
        <v>6</v>
      </c>
      <c r="D3477" s="6" t="s">
        <v>3894</v>
      </c>
      <c r="E3477" t="s">
        <v>4366</v>
      </c>
      <c r="F3477" s="6" t="s">
        <v>8498</v>
      </c>
      <c r="G3477">
        <v>4</v>
      </c>
      <c r="Q3477" t="s">
        <v>10441</v>
      </c>
    </row>
    <row r="3478" spans="1:17" x14ac:dyDescent="0.2">
      <c r="A3478" t="s">
        <v>3913</v>
      </c>
      <c r="B3478" t="s">
        <v>3893</v>
      </c>
      <c r="C3478">
        <v>6</v>
      </c>
      <c r="D3478" s="6" t="s">
        <v>3894</v>
      </c>
      <c r="E3478" t="s">
        <v>4367</v>
      </c>
      <c r="F3478" s="6" t="s">
        <v>8498</v>
      </c>
      <c r="G3478">
        <v>4</v>
      </c>
      <c r="Q3478" t="s">
        <v>10440</v>
      </c>
    </row>
    <row r="3479" spans="1:17" x14ac:dyDescent="0.2">
      <c r="A3479" t="s">
        <v>3913</v>
      </c>
      <c r="B3479" t="s">
        <v>3893</v>
      </c>
      <c r="C3479">
        <v>6</v>
      </c>
      <c r="D3479" s="6" t="s">
        <v>3894</v>
      </c>
      <c r="E3479" t="s">
        <v>4368</v>
      </c>
      <c r="F3479" s="6" t="s">
        <v>1538</v>
      </c>
      <c r="G3479">
        <v>2</v>
      </c>
      <c r="Q3479" t="s">
        <v>10442</v>
      </c>
    </row>
    <row r="3480" spans="1:17" x14ac:dyDescent="0.2">
      <c r="A3480" t="s">
        <v>3913</v>
      </c>
      <c r="B3480" t="s">
        <v>3893</v>
      </c>
      <c r="C3480">
        <v>6</v>
      </c>
      <c r="D3480" s="6" t="s">
        <v>3894</v>
      </c>
      <c r="E3480" t="s">
        <v>4369</v>
      </c>
      <c r="F3480" s="6" t="s">
        <v>1538</v>
      </c>
      <c r="G3480">
        <v>1</v>
      </c>
      <c r="Q3480" t="s">
        <v>10443</v>
      </c>
    </row>
    <row r="3481" spans="1:17" x14ac:dyDescent="0.2">
      <c r="A3481" t="s">
        <v>3913</v>
      </c>
      <c r="B3481" t="s">
        <v>3893</v>
      </c>
      <c r="C3481">
        <v>6</v>
      </c>
      <c r="D3481" s="6" t="s">
        <v>3894</v>
      </c>
      <c r="E3481" t="s">
        <v>4370</v>
      </c>
      <c r="F3481" s="6" t="s">
        <v>1538</v>
      </c>
      <c r="G3481">
        <v>5</v>
      </c>
      <c r="Q3481" t="s">
        <v>10444</v>
      </c>
    </row>
    <row r="3482" spans="1:17" x14ac:dyDescent="0.2">
      <c r="A3482" t="s">
        <v>3913</v>
      </c>
      <c r="B3482" t="s">
        <v>3893</v>
      </c>
      <c r="C3482">
        <v>6</v>
      </c>
      <c r="D3482" s="6" t="s">
        <v>3894</v>
      </c>
      <c r="E3482" t="s">
        <v>4360</v>
      </c>
      <c r="F3482" s="6" t="s">
        <v>1538</v>
      </c>
      <c r="G3482">
        <v>2</v>
      </c>
    </row>
    <row r="3483" spans="1:17" x14ac:dyDescent="0.2">
      <c r="A3483" t="s">
        <v>3913</v>
      </c>
      <c r="B3483" t="s">
        <v>3893</v>
      </c>
      <c r="C3483">
        <v>6</v>
      </c>
      <c r="D3483" s="6" t="s">
        <v>3894</v>
      </c>
      <c r="E3483" t="s">
        <v>4371</v>
      </c>
      <c r="F3483" s="6" t="s">
        <v>106</v>
      </c>
      <c r="G3483">
        <v>1</v>
      </c>
      <c r="M3483">
        <v>3</v>
      </c>
    </row>
    <row r="3484" spans="1:17" x14ac:dyDescent="0.2">
      <c r="A3484" t="s">
        <v>3913</v>
      </c>
      <c r="B3484" t="s">
        <v>3893</v>
      </c>
      <c r="C3484">
        <v>6</v>
      </c>
      <c r="D3484" s="6" t="s">
        <v>3894</v>
      </c>
      <c r="E3484" t="s">
        <v>4372</v>
      </c>
      <c r="F3484" s="6" t="s">
        <v>2789</v>
      </c>
      <c r="G3484">
        <v>11</v>
      </c>
    </row>
    <row r="3485" spans="1:17" x14ac:dyDescent="0.2">
      <c r="A3485" t="s">
        <v>3913</v>
      </c>
      <c r="B3485" t="s">
        <v>3893</v>
      </c>
      <c r="C3485">
        <v>5</v>
      </c>
      <c r="D3485" s="6" t="s">
        <v>3894</v>
      </c>
      <c r="E3485" s="8" t="s">
        <v>4373</v>
      </c>
      <c r="F3485" s="6" t="s">
        <v>1264</v>
      </c>
      <c r="H3485">
        <f>5.5-0.357+2.1-0.323</f>
        <v>6.92</v>
      </c>
      <c r="O3485" t="s">
        <v>3909</v>
      </c>
    </row>
    <row r="3486" spans="1:17" x14ac:dyDescent="0.2">
      <c r="A3486" t="s">
        <v>3913</v>
      </c>
      <c r="B3486" t="s">
        <v>3893</v>
      </c>
      <c r="C3486">
        <v>6</v>
      </c>
      <c r="D3486" s="6" t="s">
        <v>3894</v>
      </c>
      <c r="E3486" t="s">
        <v>4374</v>
      </c>
      <c r="F3486" s="6" t="s">
        <v>3910</v>
      </c>
      <c r="G3486">
        <v>5</v>
      </c>
    </row>
    <row r="3487" spans="1:17" x14ac:dyDescent="0.2">
      <c r="A3487" t="s">
        <v>3913</v>
      </c>
      <c r="B3487" t="s">
        <v>3893</v>
      </c>
      <c r="C3487">
        <v>6</v>
      </c>
      <c r="D3487" s="6" t="s">
        <v>3894</v>
      </c>
      <c r="E3487" t="s">
        <v>4375</v>
      </c>
      <c r="F3487" s="6" t="s">
        <v>6933</v>
      </c>
      <c r="G3487">
        <v>43</v>
      </c>
      <c r="Q3487" t="s">
        <v>10445</v>
      </c>
    </row>
    <row r="3488" spans="1:17" x14ac:dyDescent="0.2">
      <c r="A3488" t="s">
        <v>3913</v>
      </c>
      <c r="B3488" t="s">
        <v>3893</v>
      </c>
      <c r="C3488">
        <v>6</v>
      </c>
      <c r="D3488" s="6" t="s">
        <v>3894</v>
      </c>
      <c r="E3488" t="s">
        <v>4376</v>
      </c>
      <c r="F3488" s="6" t="s">
        <v>9323</v>
      </c>
      <c r="G3488">
        <v>7</v>
      </c>
      <c r="M3488">
        <v>2</v>
      </c>
      <c r="Q3488" t="s">
        <v>10446</v>
      </c>
    </row>
    <row r="3489" spans="1:17" x14ac:dyDescent="0.2">
      <c r="A3489" t="s">
        <v>3913</v>
      </c>
      <c r="B3489" t="s">
        <v>3893</v>
      </c>
      <c r="C3489">
        <v>6</v>
      </c>
      <c r="D3489" s="6" t="s">
        <v>3894</v>
      </c>
      <c r="E3489" t="s">
        <v>4377</v>
      </c>
      <c r="F3489" s="6" t="s">
        <v>3471</v>
      </c>
      <c r="G3489">
        <v>1</v>
      </c>
    </row>
    <row r="3490" spans="1:17" x14ac:dyDescent="0.2">
      <c r="A3490" t="s">
        <v>3913</v>
      </c>
      <c r="B3490" t="s">
        <v>3893</v>
      </c>
      <c r="C3490">
        <v>6</v>
      </c>
      <c r="D3490" s="6" t="s">
        <v>3894</v>
      </c>
      <c r="E3490" t="s">
        <v>4378</v>
      </c>
      <c r="F3490" s="6" t="s">
        <v>6933</v>
      </c>
      <c r="G3490">
        <v>58</v>
      </c>
      <c r="M3490">
        <v>2</v>
      </c>
      <c r="O3490" t="s">
        <v>3911</v>
      </c>
      <c r="Q3490" t="s">
        <v>10446</v>
      </c>
    </row>
    <row r="3491" spans="1:17" x14ac:dyDescent="0.2">
      <c r="A3491" t="s">
        <v>3913</v>
      </c>
      <c r="B3491" t="s">
        <v>3893</v>
      </c>
      <c r="C3491">
        <v>6</v>
      </c>
      <c r="D3491" s="6" t="s">
        <v>3894</v>
      </c>
      <c r="E3491" t="s">
        <v>4379</v>
      </c>
      <c r="F3491" s="6" t="s">
        <v>2553</v>
      </c>
      <c r="G3491">
        <v>1</v>
      </c>
      <c r="M3491">
        <v>2</v>
      </c>
    </row>
    <row r="3492" spans="1:17" x14ac:dyDescent="0.2">
      <c r="A3492" t="s">
        <v>3913</v>
      </c>
      <c r="B3492" t="s">
        <v>3893</v>
      </c>
      <c r="C3492">
        <v>6</v>
      </c>
      <c r="D3492" s="6" t="s">
        <v>3894</v>
      </c>
      <c r="E3492" t="s">
        <v>4380</v>
      </c>
      <c r="F3492" s="6" t="s">
        <v>121</v>
      </c>
      <c r="G3492">
        <v>46</v>
      </c>
    </row>
    <row r="3493" spans="1:17" x14ac:dyDescent="0.2">
      <c r="A3493" t="s">
        <v>3913</v>
      </c>
      <c r="B3493" t="s">
        <v>3893</v>
      </c>
      <c r="C3493">
        <v>6</v>
      </c>
      <c r="D3493" s="6" t="s">
        <v>3894</v>
      </c>
      <c r="E3493" t="s">
        <v>4381</v>
      </c>
      <c r="F3493" s="6" t="s">
        <v>1458</v>
      </c>
      <c r="G3493">
        <v>2</v>
      </c>
    </row>
    <row r="3494" spans="1:17" x14ac:dyDescent="0.2">
      <c r="A3494" t="s">
        <v>3913</v>
      </c>
      <c r="B3494" t="s">
        <v>3893</v>
      </c>
      <c r="C3494">
        <v>5</v>
      </c>
      <c r="D3494" s="6" t="s">
        <v>3894</v>
      </c>
      <c r="E3494" s="8" t="s">
        <v>10447</v>
      </c>
      <c r="F3494" t="s">
        <v>9043</v>
      </c>
      <c r="G3494">
        <v>10</v>
      </c>
      <c r="P3494" t="s">
        <v>5999</v>
      </c>
      <c r="Q3494" t="s">
        <v>6159</v>
      </c>
    </row>
    <row r="3495" spans="1:17" x14ac:dyDescent="0.2">
      <c r="A3495" t="s">
        <v>3913</v>
      </c>
      <c r="B3495" t="s">
        <v>3893</v>
      </c>
      <c r="C3495">
        <v>5</v>
      </c>
      <c r="D3495" s="6" t="s">
        <v>3894</v>
      </c>
      <c r="E3495" s="8" t="s">
        <v>10448</v>
      </c>
      <c r="F3495" s="6" t="s">
        <v>1538</v>
      </c>
      <c r="G3495">
        <v>2</v>
      </c>
      <c r="Q3495" t="s">
        <v>10457</v>
      </c>
    </row>
    <row r="3496" spans="1:17" x14ac:dyDescent="0.2">
      <c r="A3496" t="s">
        <v>3913</v>
      </c>
      <c r="B3496" t="s">
        <v>3893</v>
      </c>
      <c r="C3496">
        <v>5</v>
      </c>
      <c r="D3496" s="6" t="s">
        <v>3894</v>
      </c>
      <c r="E3496" s="8" t="s">
        <v>10449</v>
      </c>
      <c r="F3496" s="6" t="s">
        <v>1538</v>
      </c>
      <c r="G3496">
        <v>19</v>
      </c>
      <c r="Q3496" t="s">
        <v>10458</v>
      </c>
    </row>
    <row r="3497" spans="1:17" x14ac:dyDescent="0.2">
      <c r="A3497" t="s">
        <v>3913</v>
      </c>
      <c r="B3497" t="s">
        <v>3893</v>
      </c>
      <c r="C3497">
        <v>5</v>
      </c>
      <c r="D3497" s="6" t="s">
        <v>3894</v>
      </c>
      <c r="E3497" s="8" t="s">
        <v>10456</v>
      </c>
      <c r="F3497" s="6" t="s">
        <v>1559</v>
      </c>
      <c r="G3497">
        <v>1</v>
      </c>
      <c r="Q3497" t="s">
        <v>10459</v>
      </c>
    </row>
    <row r="3498" spans="1:17" x14ac:dyDescent="0.2">
      <c r="A3498" t="s">
        <v>3913</v>
      </c>
      <c r="B3498" t="s">
        <v>3893</v>
      </c>
      <c r="C3498">
        <v>5</v>
      </c>
      <c r="D3498" s="6" t="s">
        <v>3894</v>
      </c>
      <c r="E3498" s="8" t="s">
        <v>10455</v>
      </c>
      <c r="F3498" s="6" t="s">
        <v>1559</v>
      </c>
      <c r="G3498">
        <v>1</v>
      </c>
      <c r="Q3498" t="s">
        <v>10460</v>
      </c>
    </row>
    <row r="3499" spans="1:17" x14ac:dyDescent="0.2">
      <c r="A3499" t="s">
        <v>3913</v>
      </c>
      <c r="B3499" t="s">
        <v>3893</v>
      </c>
      <c r="C3499">
        <v>5</v>
      </c>
      <c r="D3499" s="6" t="s">
        <v>3894</v>
      </c>
      <c r="E3499" s="8" t="s">
        <v>10454</v>
      </c>
      <c r="F3499" s="6" t="s">
        <v>1389</v>
      </c>
      <c r="G3499">
        <v>1</v>
      </c>
      <c r="Q3499" t="s">
        <v>10461</v>
      </c>
    </row>
    <row r="3500" spans="1:17" x14ac:dyDescent="0.2">
      <c r="A3500" t="s">
        <v>3913</v>
      </c>
      <c r="B3500" t="s">
        <v>3893</v>
      </c>
      <c r="C3500">
        <v>5</v>
      </c>
      <c r="D3500" s="6" t="s">
        <v>3894</v>
      </c>
      <c r="E3500" s="8" t="s">
        <v>10453</v>
      </c>
      <c r="F3500" s="6" t="s">
        <v>7138</v>
      </c>
      <c r="G3500">
        <v>1</v>
      </c>
      <c r="M3500">
        <v>2</v>
      </c>
      <c r="Q3500" t="s">
        <v>10462</v>
      </c>
    </row>
    <row r="3501" spans="1:17" x14ac:dyDescent="0.2">
      <c r="A3501" t="s">
        <v>3913</v>
      </c>
      <c r="B3501" t="s">
        <v>3893</v>
      </c>
      <c r="C3501">
        <v>5</v>
      </c>
      <c r="D3501" s="6" t="s">
        <v>3894</v>
      </c>
      <c r="E3501" s="8" t="s">
        <v>10452</v>
      </c>
      <c r="F3501" s="6" t="s">
        <v>106</v>
      </c>
      <c r="G3501">
        <v>2</v>
      </c>
    </row>
    <row r="3502" spans="1:17" x14ac:dyDescent="0.2">
      <c r="A3502" t="s">
        <v>3913</v>
      </c>
      <c r="B3502" t="s">
        <v>3893</v>
      </c>
      <c r="C3502">
        <v>5</v>
      </c>
      <c r="D3502" s="6" t="s">
        <v>3894</v>
      </c>
      <c r="E3502" t="s">
        <v>10451</v>
      </c>
      <c r="F3502" s="6" t="s">
        <v>2789</v>
      </c>
      <c r="G3502">
        <v>11</v>
      </c>
    </row>
    <row r="3503" spans="1:17" x14ac:dyDescent="0.2">
      <c r="A3503" t="s">
        <v>3913</v>
      </c>
      <c r="B3503" t="s">
        <v>3893</v>
      </c>
      <c r="C3503">
        <v>5</v>
      </c>
      <c r="D3503" s="6" t="s">
        <v>3894</v>
      </c>
      <c r="E3503" t="s">
        <v>10450</v>
      </c>
      <c r="F3503" s="6" t="s">
        <v>3875</v>
      </c>
      <c r="G3503">
        <v>29</v>
      </c>
    </row>
    <row r="3504" spans="1:17" x14ac:dyDescent="0.2">
      <c r="A3504" t="s">
        <v>3913</v>
      </c>
      <c r="B3504" t="s">
        <v>3893</v>
      </c>
      <c r="C3504">
        <v>1</v>
      </c>
      <c r="D3504" s="6" t="s">
        <v>3894</v>
      </c>
      <c r="E3504" s="8" t="s">
        <v>4382</v>
      </c>
      <c r="F3504" s="6" t="s">
        <v>112</v>
      </c>
      <c r="G3504">
        <v>167</v>
      </c>
    </row>
    <row r="3505" spans="1:13" x14ac:dyDescent="0.2">
      <c r="A3505" t="s">
        <v>3913</v>
      </c>
      <c r="B3505" t="s">
        <v>3893</v>
      </c>
      <c r="C3505">
        <v>1</v>
      </c>
      <c r="D3505" s="6" t="s">
        <v>3894</v>
      </c>
      <c r="E3505" s="8" t="s">
        <v>4383</v>
      </c>
      <c r="F3505" s="6" t="s">
        <v>113</v>
      </c>
      <c r="G3505">
        <v>27</v>
      </c>
      <c r="M3505">
        <v>2</v>
      </c>
    </row>
    <row r="3506" spans="1:13" x14ac:dyDescent="0.2">
      <c r="A3506" t="s">
        <v>3913</v>
      </c>
      <c r="B3506" t="s">
        <v>3893</v>
      </c>
      <c r="C3506">
        <v>1</v>
      </c>
      <c r="D3506" s="6" t="s">
        <v>3894</v>
      </c>
      <c r="E3506" s="8" t="s">
        <v>4384</v>
      </c>
      <c r="F3506" s="6" t="s">
        <v>112</v>
      </c>
      <c r="G3506">
        <v>71</v>
      </c>
      <c r="M3506">
        <v>11</v>
      </c>
    </row>
    <row r="3507" spans="1:13" x14ac:dyDescent="0.2">
      <c r="A3507" t="s">
        <v>3913</v>
      </c>
      <c r="B3507" t="s">
        <v>3893</v>
      </c>
      <c r="C3507">
        <v>1</v>
      </c>
      <c r="D3507" s="6" t="s">
        <v>3894</v>
      </c>
      <c r="E3507" s="8" t="s">
        <v>4385</v>
      </c>
      <c r="F3507" s="6" t="s">
        <v>740</v>
      </c>
      <c r="H3507">
        <f>4.2-0.589</f>
        <v>3.6110000000000002</v>
      </c>
    </row>
    <row r="3508" spans="1:13" x14ac:dyDescent="0.2">
      <c r="A3508" t="s">
        <v>3913</v>
      </c>
      <c r="B3508" t="s">
        <v>3893</v>
      </c>
      <c r="C3508">
        <v>1</v>
      </c>
      <c r="D3508" s="6" t="s">
        <v>3894</v>
      </c>
      <c r="E3508" s="8" t="s">
        <v>4386</v>
      </c>
      <c r="F3508" s="6" t="s">
        <v>1527</v>
      </c>
      <c r="G3508">
        <v>565</v>
      </c>
    </row>
    <row r="3509" spans="1:13" x14ac:dyDescent="0.2">
      <c r="A3509" t="s">
        <v>3913</v>
      </c>
      <c r="B3509" t="s">
        <v>3893</v>
      </c>
      <c r="C3509">
        <v>1</v>
      </c>
      <c r="D3509" s="6" t="s">
        <v>3894</v>
      </c>
      <c r="E3509" t="s">
        <v>4387</v>
      </c>
      <c r="F3509" s="6" t="s">
        <v>1264</v>
      </c>
      <c r="H3509">
        <f>10.3-0.5+3.4-0.261+5-0.344</f>
        <v>17.594999999999999</v>
      </c>
    </row>
    <row r="3510" spans="1:13" x14ac:dyDescent="0.2">
      <c r="A3510" t="s">
        <v>3913</v>
      </c>
      <c r="B3510" t="s">
        <v>3893</v>
      </c>
      <c r="C3510">
        <v>1</v>
      </c>
      <c r="D3510" s="6" t="s">
        <v>3894</v>
      </c>
      <c r="E3510" s="8" t="s">
        <v>4388</v>
      </c>
      <c r="F3510" s="6" t="s">
        <v>2684</v>
      </c>
      <c r="G3510">
        <v>161</v>
      </c>
    </row>
    <row r="3511" spans="1:13" x14ac:dyDescent="0.2">
      <c r="A3511" t="s">
        <v>3913</v>
      </c>
      <c r="B3511" t="s">
        <v>3893</v>
      </c>
      <c r="C3511">
        <v>1</v>
      </c>
      <c r="D3511" s="6" t="s">
        <v>3894</v>
      </c>
      <c r="E3511" s="8" t="s">
        <v>4389</v>
      </c>
      <c r="F3511" s="6" t="s">
        <v>3902</v>
      </c>
      <c r="G3511">
        <v>45</v>
      </c>
      <c r="I3511">
        <v>194</v>
      </c>
    </row>
    <row r="3512" spans="1:13" x14ac:dyDescent="0.2">
      <c r="A3512" t="s">
        <v>3913</v>
      </c>
      <c r="B3512" t="s">
        <v>3893</v>
      </c>
      <c r="C3512">
        <v>1</v>
      </c>
      <c r="D3512" s="6" t="s">
        <v>3894</v>
      </c>
      <c r="E3512" s="8" t="s">
        <v>4389</v>
      </c>
      <c r="F3512" s="6" t="s">
        <v>1527</v>
      </c>
      <c r="G3512">
        <v>26</v>
      </c>
      <c r="I3512">
        <v>162</v>
      </c>
    </row>
    <row r="3513" spans="1:13" x14ac:dyDescent="0.2">
      <c r="A3513" t="s">
        <v>3913</v>
      </c>
      <c r="B3513" t="s">
        <v>3893</v>
      </c>
      <c r="C3513">
        <v>1</v>
      </c>
      <c r="D3513" s="6" t="s">
        <v>3894</v>
      </c>
      <c r="E3513" s="8" t="s">
        <v>4389</v>
      </c>
      <c r="F3513" s="6" t="s">
        <v>1527</v>
      </c>
      <c r="G3513">
        <v>41</v>
      </c>
      <c r="I3513">
        <v>175</v>
      </c>
    </row>
    <row r="3514" spans="1:13" x14ac:dyDescent="0.2">
      <c r="A3514" t="s">
        <v>3913</v>
      </c>
      <c r="B3514" t="s">
        <v>3893</v>
      </c>
      <c r="C3514">
        <v>1</v>
      </c>
      <c r="D3514" s="6" t="s">
        <v>3894</v>
      </c>
      <c r="E3514" s="8" t="s">
        <v>4390</v>
      </c>
      <c r="F3514" s="6" t="s">
        <v>1527</v>
      </c>
      <c r="G3514">
        <v>2</v>
      </c>
      <c r="I3514">
        <v>76</v>
      </c>
    </row>
    <row r="3515" spans="1:13" x14ac:dyDescent="0.2">
      <c r="A3515" t="s">
        <v>3913</v>
      </c>
      <c r="B3515" t="s">
        <v>3893</v>
      </c>
      <c r="C3515">
        <v>1</v>
      </c>
      <c r="D3515" s="6" t="s">
        <v>3894</v>
      </c>
      <c r="E3515" s="8" t="s">
        <v>4390</v>
      </c>
      <c r="F3515" s="6" t="s">
        <v>1527</v>
      </c>
      <c r="G3515">
        <v>2</v>
      </c>
      <c r="I3515">
        <v>71</v>
      </c>
    </row>
    <row r="3516" spans="1:13" x14ac:dyDescent="0.2">
      <c r="A3516" t="s">
        <v>3913</v>
      </c>
      <c r="B3516" t="s">
        <v>3893</v>
      </c>
      <c r="C3516">
        <v>1</v>
      </c>
      <c r="D3516" s="6" t="s">
        <v>3894</v>
      </c>
      <c r="E3516" s="8" t="s">
        <v>4390</v>
      </c>
      <c r="F3516" s="6" t="s">
        <v>1527</v>
      </c>
      <c r="G3516">
        <v>2</v>
      </c>
      <c r="I3516">
        <v>76</v>
      </c>
    </row>
    <row r="3517" spans="1:13" x14ac:dyDescent="0.2">
      <c r="A3517" t="s">
        <v>3913</v>
      </c>
      <c r="B3517" t="s">
        <v>3893</v>
      </c>
      <c r="C3517">
        <v>1</v>
      </c>
      <c r="D3517" s="6" t="s">
        <v>3894</v>
      </c>
      <c r="E3517" s="8" t="s">
        <v>4391</v>
      </c>
      <c r="F3517" s="6" t="s">
        <v>1527</v>
      </c>
      <c r="G3517">
        <v>51</v>
      </c>
      <c r="I3517">
        <v>254</v>
      </c>
    </row>
    <row r="3518" spans="1:13" x14ac:dyDescent="0.2">
      <c r="A3518" t="s">
        <v>3913</v>
      </c>
      <c r="B3518" t="s">
        <v>3893</v>
      </c>
      <c r="C3518">
        <v>1</v>
      </c>
      <c r="D3518" s="6" t="s">
        <v>3894</v>
      </c>
      <c r="E3518" s="8" t="s">
        <v>4391</v>
      </c>
      <c r="F3518" s="6" t="s">
        <v>1527</v>
      </c>
      <c r="G3518">
        <v>109</v>
      </c>
      <c r="I3518">
        <v>340</v>
      </c>
    </row>
    <row r="3519" spans="1:13" x14ac:dyDescent="0.2">
      <c r="A3519" t="s">
        <v>3913</v>
      </c>
      <c r="B3519" t="s">
        <v>3893</v>
      </c>
      <c r="C3519">
        <v>1</v>
      </c>
      <c r="D3519" s="6" t="s">
        <v>3894</v>
      </c>
      <c r="E3519" t="s">
        <v>4387</v>
      </c>
      <c r="F3519" s="6" t="s">
        <v>440</v>
      </c>
      <c r="G3519">
        <f>567-323</f>
        <v>244</v>
      </c>
    </row>
    <row r="3520" spans="1:13" x14ac:dyDescent="0.2">
      <c r="A3520" t="s">
        <v>3913</v>
      </c>
      <c r="B3520" t="s">
        <v>3893</v>
      </c>
      <c r="C3520">
        <v>1</v>
      </c>
      <c r="D3520" s="6" t="s">
        <v>3894</v>
      </c>
      <c r="E3520" t="s">
        <v>4387</v>
      </c>
      <c r="F3520" s="6" t="s">
        <v>740</v>
      </c>
      <c r="G3520">
        <v>421</v>
      </c>
      <c r="M3520" t="s">
        <v>802</v>
      </c>
    </row>
    <row r="3521" spans="1:17" x14ac:dyDescent="0.2">
      <c r="A3521" t="s">
        <v>3913</v>
      </c>
      <c r="B3521" t="s">
        <v>3893</v>
      </c>
      <c r="C3521" t="s">
        <v>462</v>
      </c>
      <c r="D3521" s="6" t="s">
        <v>3894</v>
      </c>
      <c r="E3521" t="s">
        <v>4392</v>
      </c>
      <c r="F3521" s="6" t="s">
        <v>740</v>
      </c>
      <c r="G3521">
        <f>(811-0.345)*0.8</f>
        <v>648.524</v>
      </c>
    </row>
    <row r="3522" spans="1:17" x14ac:dyDescent="0.2">
      <c r="A3522" t="s">
        <v>3913</v>
      </c>
      <c r="B3522" t="s">
        <v>3893</v>
      </c>
      <c r="C3522" t="s">
        <v>462</v>
      </c>
      <c r="D3522" s="6" t="s">
        <v>3894</v>
      </c>
      <c r="E3522" t="s">
        <v>4392</v>
      </c>
      <c r="F3522" s="6" t="s">
        <v>2685</v>
      </c>
      <c r="G3522">
        <f>(811-0.345)*0.1</f>
        <v>81.0655</v>
      </c>
    </row>
    <row r="3523" spans="1:17" x14ac:dyDescent="0.2">
      <c r="A3523" t="s">
        <v>3913</v>
      </c>
      <c r="B3523" t="s">
        <v>3893</v>
      </c>
      <c r="C3523" t="s">
        <v>462</v>
      </c>
      <c r="D3523" s="6" t="s">
        <v>3894</v>
      </c>
      <c r="E3523" t="s">
        <v>4392</v>
      </c>
      <c r="F3523" s="6" t="s">
        <v>2685</v>
      </c>
      <c r="G3523">
        <f>(811-0.345)*0.1</f>
        <v>81.0655</v>
      </c>
    </row>
    <row r="3524" spans="1:17" x14ac:dyDescent="0.2">
      <c r="A3524" t="s">
        <v>3914</v>
      </c>
      <c r="B3524" t="s">
        <v>3912</v>
      </c>
      <c r="C3524">
        <v>2</v>
      </c>
      <c r="D3524" s="6" t="s">
        <v>3894</v>
      </c>
      <c r="E3524" s="8" t="s">
        <v>4393</v>
      </c>
      <c r="F3524" s="6" t="s">
        <v>1264</v>
      </c>
      <c r="G3524">
        <v>314.00000000000006</v>
      </c>
    </row>
    <row r="3525" spans="1:17" x14ac:dyDescent="0.2">
      <c r="A3525" t="s">
        <v>3914</v>
      </c>
      <c r="B3525" t="s">
        <v>3912</v>
      </c>
      <c r="C3525">
        <v>2</v>
      </c>
      <c r="D3525" s="6" t="s">
        <v>3894</v>
      </c>
      <c r="E3525" s="8" t="s">
        <v>4394</v>
      </c>
      <c r="F3525" s="6" t="s">
        <v>106</v>
      </c>
      <c r="G3525">
        <v>2</v>
      </c>
      <c r="M3525">
        <v>4</v>
      </c>
    </row>
    <row r="3526" spans="1:17" x14ac:dyDescent="0.2">
      <c r="A3526" t="s">
        <v>3914</v>
      </c>
      <c r="B3526" t="s">
        <v>3912</v>
      </c>
      <c r="C3526">
        <v>2</v>
      </c>
      <c r="D3526" s="6" t="s">
        <v>3894</v>
      </c>
      <c r="E3526" s="8" t="s">
        <v>4395</v>
      </c>
      <c r="F3526" s="6" t="s">
        <v>2789</v>
      </c>
      <c r="G3526">
        <v>1</v>
      </c>
      <c r="O3526" t="s">
        <v>3917</v>
      </c>
    </row>
    <row r="3527" spans="1:17" x14ac:dyDescent="0.2">
      <c r="A3527" t="s">
        <v>3914</v>
      </c>
      <c r="B3527" t="s">
        <v>3912</v>
      </c>
      <c r="C3527">
        <v>2</v>
      </c>
      <c r="D3527" s="6" t="s">
        <v>3894</v>
      </c>
      <c r="E3527" s="8" t="s">
        <v>4396</v>
      </c>
      <c r="F3527" s="6" t="s">
        <v>7138</v>
      </c>
      <c r="G3527">
        <v>2</v>
      </c>
      <c r="Q3527" t="s">
        <v>10536</v>
      </c>
    </row>
    <row r="3528" spans="1:17" x14ac:dyDescent="0.2">
      <c r="A3528" t="s">
        <v>3914</v>
      </c>
      <c r="B3528" t="s">
        <v>3912</v>
      </c>
      <c r="C3528">
        <v>2</v>
      </c>
      <c r="D3528" s="6" t="s">
        <v>3894</v>
      </c>
      <c r="E3528" s="8" t="s">
        <v>4397</v>
      </c>
      <c r="F3528" s="6" t="s">
        <v>871</v>
      </c>
      <c r="G3528">
        <v>3</v>
      </c>
      <c r="O3528" t="s">
        <v>3919</v>
      </c>
    </row>
    <row r="3529" spans="1:17" x14ac:dyDescent="0.2">
      <c r="A3529" t="s">
        <v>3914</v>
      </c>
      <c r="B3529" t="s">
        <v>3912</v>
      </c>
      <c r="C3529">
        <v>2</v>
      </c>
      <c r="D3529" s="6" t="s">
        <v>3894</v>
      </c>
      <c r="E3529" t="s">
        <v>4398</v>
      </c>
      <c r="F3529" s="6" t="s">
        <v>3251</v>
      </c>
      <c r="G3529">
        <v>3</v>
      </c>
    </row>
    <row r="3530" spans="1:17" x14ac:dyDescent="0.2">
      <c r="A3530" t="s">
        <v>3914</v>
      </c>
      <c r="B3530" t="s">
        <v>3912</v>
      </c>
      <c r="C3530">
        <v>2</v>
      </c>
      <c r="D3530" s="6" t="s">
        <v>3894</v>
      </c>
      <c r="E3530" s="8" t="s">
        <v>4399</v>
      </c>
      <c r="F3530" s="6" t="s">
        <v>6231</v>
      </c>
      <c r="G3530">
        <v>22</v>
      </c>
      <c r="Q3530" t="s">
        <v>10539</v>
      </c>
    </row>
    <row r="3531" spans="1:17" x14ac:dyDescent="0.2">
      <c r="A3531" t="s">
        <v>3914</v>
      </c>
      <c r="B3531" t="s">
        <v>3912</v>
      </c>
      <c r="C3531">
        <v>2</v>
      </c>
      <c r="D3531" s="6" t="s">
        <v>3894</v>
      </c>
      <c r="E3531" s="8" t="s">
        <v>4400</v>
      </c>
      <c r="F3531" s="6" t="s">
        <v>1389</v>
      </c>
      <c r="G3531">
        <v>10</v>
      </c>
      <c r="Q3531" t="s">
        <v>6339</v>
      </c>
    </row>
    <row r="3532" spans="1:17" x14ac:dyDescent="0.2">
      <c r="A3532" t="s">
        <v>3914</v>
      </c>
      <c r="B3532" t="s">
        <v>3912</v>
      </c>
      <c r="C3532">
        <v>2</v>
      </c>
      <c r="D3532" s="6" t="s">
        <v>3894</v>
      </c>
      <c r="E3532" s="8" t="s">
        <v>4401</v>
      </c>
      <c r="F3532" s="6" t="s">
        <v>1389</v>
      </c>
      <c r="G3532">
        <v>6</v>
      </c>
      <c r="Q3532" t="s">
        <v>6340</v>
      </c>
    </row>
    <row r="3533" spans="1:17" x14ac:dyDescent="0.2">
      <c r="A3533" t="s">
        <v>3914</v>
      </c>
      <c r="B3533" t="s">
        <v>3912</v>
      </c>
      <c r="C3533">
        <v>2</v>
      </c>
      <c r="D3533" s="6" t="s">
        <v>3894</v>
      </c>
      <c r="E3533" s="8" t="s">
        <v>4402</v>
      </c>
      <c r="F3533" s="6" t="s">
        <v>1389</v>
      </c>
      <c r="G3533">
        <v>1</v>
      </c>
      <c r="Q3533" t="s">
        <v>6341</v>
      </c>
    </row>
    <row r="3534" spans="1:17" x14ac:dyDescent="0.2">
      <c r="A3534" t="s">
        <v>3914</v>
      </c>
      <c r="B3534" t="s">
        <v>3912</v>
      </c>
      <c r="C3534">
        <v>2</v>
      </c>
      <c r="D3534" s="6" t="s">
        <v>3894</v>
      </c>
      <c r="E3534" s="8" t="s">
        <v>4403</v>
      </c>
      <c r="F3534" s="6" t="s">
        <v>1389</v>
      </c>
      <c r="G3534">
        <v>3</v>
      </c>
      <c r="Q3534" t="s">
        <v>6342</v>
      </c>
    </row>
    <row r="3535" spans="1:17" x14ac:dyDescent="0.2">
      <c r="A3535" t="s">
        <v>3914</v>
      </c>
      <c r="B3535" t="s">
        <v>3912</v>
      </c>
      <c r="C3535">
        <v>2</v>
      </c>
      <c r="D3535" s="6" t="s">
        <v>3894</v>
      </c>
      <c r="E3535" s="8" t="s">
        <v>4404</v>
      </c>
      <c r="F3535" s="6" t="s">
        <v>1389</v>
      </c>
      <c r="G3535">
        <v>6</v>
      </c>
      <c r="Q3535" t="s">
        <v>6343</v>
      </c>
    </row>
    <row r="3536" spans="1:17" x14ac:dyDescent="0.2">
      <c r="A3536" t="s">
        <v>3914</v>
      </c>
      <c r="B3536" t="s">
        <v>3912</v>
      </c>
      <c r="C3536">
        <v>2</v>
      </c>
      <c r="D3536" s="6" t="s">
        <v>3894</v>
      </c>
      <c r="E3536" s="8" t="s">
        <v>4405</v>
      </c>
      <c r="F3536" s="6" t="s">
        <v>1389</v>
      </c>
      <c r="G3536" t="s">
        <v>114</v>
      </c>
      <c r="M3536">
        <v>2</v>
      </c>
      <c r="O3536" t="s">
        <v>715</v>
      </c>
      <c r="Q3536" t="s">
        <v>10537</v>
      </c>
    </row>
    <row r="3537" spans="1:17" x14ac:dyDescent="0.2">
      <c r="A3537" t="s">
        <v>3914</v>
      </c>
      <c r="B3537" t="s">
        <v>3912</v>
      </c>
      <c r="C3537">
        <v>2</v>
      </c>
      <c r="D3537" s="6" t="s">
        <v>3894</v>
      </c>
      <c r="E3537" s="8" t="s">
        <v>4406</v>
      </c>
      <c r="F3537" s="6" t="s">
        <v>1389</v>
      </c>
      <c r="G3537" t="s">
        <v>114</v>
      </c>
      <c r="Q3537" t="s">
        <v>10538</v>
      </c>
    </row>
    <row r="3538" spans="1:17" x14ac:dyDescent="0.2">
      <c r="A3538" t="s">
        <v>3914</v>
      </c>
      <c r="B3538" t="s">
        <v>3912</v>
      </c>
      <c r="C3538">
        <v>2</v>
      </c>
      <c r="D3538" s="6" t="s">
        <v>3894</v>
      </c>
      <c r="E3538" s="8" t="s">
        <v>4407</v>
      </c>
      <c r="F3538" s="6" t="s">
        <v>1538</v>
      </c>
      <c r="G3538">
        <v>58</v>
      </c>
      <c r="Q3538" t="s">
        <v>10541</v>
      </c>
    </row>
    <row r="3539" spans="1:17" x14ac:dyDescent="0.2">
      <c r="A3539" t="s">
        <v>3914</v>
      </c>
      <c r="B3539" t="s">
        <v>3912</v>
      </c>
      <c r="C3539">
        <v>2</v>
      </c>
      <c r="D3539" s="6" t="s">
        <v>3894</v>
      </c>
      <c r="E3539" s="8" t="s">
        <v>4408</v>
      </c>
      <c r="F3539" s="6" t="s">
        <v>1538</v>
      </c>
      <c r="G3539">
        <v>24</v>
      </c>
      <c r="Q3539" t="s">
        <v>10540</v>
      </c>
    </row>
    <row r="3540" spans="1:17" x14ac:dyDescent="0.2">
      <c r="A3540" t="s">
        <v>3914</v>
      </c>
      <c r="B3540" t="s">
        <v>3912</v>
      </c>
      <c r="C3540">
        <v>2</v>
      </c>
      <c r="D3540" s="6" t="s">
        <v>3894</v>
      </c>
      <c r="E3540" s="8" t="s">
        <v>4409</v>
      </c>
      <c r="F3540" s="6" t="s">
        <v>1538</v>
      </c>
      <c r="G3540">
        <v>4</v>
      </c>
      <c r="Q3540" t="s">
        <v>10544</v>
      </c>
    </row>
    <row r="3541" spans="1:17" x14ac:dyDescent="0.2">
      <c r="A3541" t="s">
        <v>3914</v>
      </c>
      <c r="B3541" t="s">
        <v>3912</v>
      </c>
      <c r="C3541">
        <v>2</v>
      </c>
      <c r="D3541" s="6" t="s">
        <v>3894</v>
      </c>
      <c r="E3541" s="8" t="s">
        <v>4410</v>
      </c>
      <c r="F3541" s="6" t="s">
        <v>1538</v>
      </c>
      <c r="G3541">
        <v>1</v>
      </c>
      <c r="Q3541" t="s">
        <v>10543</v>
      </c>
    </row>
    <row r="3542" spans="1:17" x14ac:dyDescent="0.2">
      <c r="A3542" t="s">
        <v>3914</v>
      </c>
      <c r="B3542" t="s">
        <v>3912</v>
      </c>
      <c r="C3542">
        <v>2</v>
      </c>
      <c r="D3542" s="6" t="s">
        <v>3894</v>
      </c>
      <c r="E3542" s="8" t="s">
        <v>4411</v>
      </c>
      <c r="F3542" s="6" t="s">
        <v>1538</v>
      </c>
      <c r="G3542" t="s">
        <v>114</v>
      </c>
      <c r="Q3542" t="s">
        <v>10542</v>
      </c>
    </row>
    <row r="3543" spans="1:17" x14ac:dyDescent="0.2">
      <c r="A3543" t="s">
        <v>3914</v>
      </c>
      <c r="B3543" t="s">
        <v>3912</v>
      </c>
      <c r="C3543" t="s">
        <v>462</v>
      </c>
      <c r="D3543" s="6" t="s">
        <v>3894</v>
      </c>
      <c r="E3543" t="s">
        <v>4412</v>
      </c>
      <c r="F3543" s="6" t="s">
        <v>3465</v>
      </c>
      <c r="G3543">
        <v>40</v>
      </c>
    </row>
    <row r="3544" spans="1:17" x14ac:dyDescent="0.2">
      <c r="A3544" t="s">
        <v>3914</v>
      </c>
      <c r="B3544" t="s">
        <v>3912</v>
      </c>
      <c r="C3544">
        <v>3</v>
      </c>
      <c r="D3544" s="6" t="s">
        <v>3894</v>
      </c>
      <c r="E3544" s="8" t="s">
        <v>4413</v>
      </c>
      <c r="F3544" s="6" t="s">
        <v>1264</v>
      </c>
      <c r="H3544">
        <f>5.6-0.357</f>
        <v>5.2429999999999994</v>
      </c>
      <c r="O3544" t="s">
        <v>3918</v>
      </c>
    </row>
    <row r="3545" spans="1:17" x14ac:dyDescent="0.2">
      <c r="A3545" t="s">
        <v>3914</v>
      </c>
      <c r="B3545" t="s">
        <v>3912</v>
      </c>
      <c r="C3545">
        <v>3</v>
      </c>
      <c r="D3545" s="6" t="s">
        <v>3894</v>
      </c>
      <c r="E3545" s="8" t="s">
        <v>4414</v>
      </c>
      <c r="F3545" s="6" t="s">
        <v>1389</v>
      </c>
      <c r="G3545">
        <v>13</v>
      </c>
      <c r="Q3545" t="s">
        <v>10547</v>
      </c>
    </row>
    <row r="3546" spans="1:17" x14ac:dyDescent="0.2">
      <c r="A3546" t="s">
        <v>3914</v>
      </c>
      <c r="B3546" t="s">
        <v>3912</v>
      </c>
      <c r="C3546">
        <v>3</v>
      </c>
      <c r="D3546" s="6" t="s">
        <v>3894</v>
      </c>
      <c r="E3546" s="8" t="s">
        <v>4415</v>
      </c>
      <c r="F3546" s="6" t="s">
        <v>1389</v>
      </c>
      <c r="G3546" t="s">
        <v>114</v>
      </c>
      <c r="M3546">
        <v>2</v>
      </c>
      <c r="O3546" t="s">
        <v>715</v>
      </c>
      <c r="Q3546" t="s">
        <v>10546</v>
      </c>
    </row>
    <row r="3547" spans="1:17" x14ac:dyDescent="0.2">
      <c r="A3547" t="s">
        <v>3914</v>
      </c>
      <c r="B3547" t="s">
        <v>3912</v>
      </c>
      <c r="C3547">
        <v>3</v>
      </c>
      <c r="D3547" s="6" t="s">
        <v>3894</v>
      </c>
      <c r="E3547" s="8" t="s">
        <v>4416</v>
      </c>
      <c r="F3547" s="6" t="s">
        <v>1389</v>
      </c>
      <c r="G3547">
        <v>7</v>
      </c>
      <c r="Q3547" t="s">
        <v>10548</v>
      </c>
    </row>
    <row r="3548" spans="1:17" x14ac:dyDescent="0.2">
      <c r="A3548" t="s">
        <v>3914</v>
      </c>
      <c r="B3548" t="s">
        <v>3912</v>
      </c>
      <c r="C3548">
        <v>3</v>
      </c>
      <c r="D3548" s="6" t="s">
        <v>3894</v>
      </c>
      <c r="E3548" s="8" t="s">
        <v>4417</v>
      </c>
      <c r="F3548" s="6" t="s">
        <v>1389</v>
      </c>
      <c r="G3548">
        <v>5</v>
      </c>
      <c r="Q3548" t="s">
        <v>10549</v>
      </c>
    </row>
    <row r="3549" spans="1:17" x14ac:dyDescent="0.2">
      <c r="A3549" t="s">
        <v>3914</v>
      </c>
      <c r="B3549" t="s">
        <v>3912</v>
      </c>
      <c r="C3549">
        <v>3</v>
      </c>
      <c r="D3549" s="6" t="s">
        <v>3894</v>
      </c>
      <c r="E3549" s="8" t="s">
        <v>4418</v>
      </c>
      <c r="F3549" s="6" t="s">
        <v>1389</v>
      </c>
      <c r="G3549">
        <v>2</v>
      </c>
      <c r="Q3549" t="s">
        <v>10545</v>
      </c>
    </row>
    <row r="3550" spans="1:17" x14ac:dyDescent="0.2">
      <c r="A3550" t="s">
        <v>3914</v>
      </c>
      <c r="B3550" t="s">
        <v>3912</v>
      </c>
      <c r="C3550">
        <v>3</v>
      </c>
      <c r="D3550" s="6" t="s">
        <v>3894</v>
      </c>
      <c r="E3550" s="8" t="s">
        <v>4419</v>
      </c>
      <c r="F3550" s="6" t="s">
        <v>1389</v>
      </c>
      <c r="G3550">
        <v>25</v>
      </c>
      <c r="M3550">
        <v>5</v>
      </c>
    </row>
    <row r="3551" spans="1:17" x14ac:dyDescent="0.2">
      <c r="A3551" t="s">
        <v>3914</v>
      </c>
      <c r="B3551" t="s">
        <v>3912</v>
      </c>
      <c r="C3551">
        <v>3</v>
      </c>
      <c r="D3551" s="6" t="s">
        <v>3894</v>
      </c>
      <c r="E3551" t="s">
        <v>4420</v>
      </c>
      <c r="F3551" s="6" t="s">
        <v>1389</v>
      </c>
      <c r="G3551">
        <v>71</v>
      </c>
    </row>
    <row r="3552" spans="1:17" x14ac:dyDescent="0.2">
      <c r="A3552" t="s">
        <v>3914</v>
      </c>
      <c r="B3552" t="s">
        <v>3912</v>
      </c>
      <c r="C3552">
        <v>3</v>
      </c>
      <c r="D3552" s="6" t="s">
        <v>3894</v>
      </c>
      <c r="E3552" s="8" t="s">
        <v>4421</v>
      </c>
      <c r="F3552" s="6" t="s">
        <v>8498</v>
      </c>
      <c r="G3552">
        <f>67-8</f>
        <v>59</v>
      </c>
      <c r="Q3552" t="s">
        <v>6344</v>
      </c>
    </row>
    <row r="3553" spans="1:17" x14ac:dyDescent="0.2">
      <c r="A3553" t="s">
        <v>3914</v>
      </c>
      <c r="B3553" t="s">
        <v>3912</v>
      </c>
      <c r="C3553">
        <v>3</v>
      </c>
      <c r="D3553" s="6" t="s">
        <v>3894</v>
      </c>
      <c r="E3553" s="8" t="s">
        <v>4422</v>
      </c>
      <c r="F3553" s="6" t="s">
        <v>8498</v>
      </c>
      <c r="G3553">
        <v>3</v>
      </c>
      <c r="Q3553" t="s">
        <v>6345</v>
      </c>
    </row>
    <row r="3554" spans="1:17" x14ac:dyDescent="0.2">
      <c r="A3554" t="s">
        <v>3914</v>
      </c>
      <c r="B3554" t="s">
        <v>3912</v>
      </c>
      <c r="C3554">
        <v>3</v>
      </c>
      <c r="D3554" s="6" t="s">
        <v>3894</v>
      </c>
      <c r="E3554" s="8" t="s">
        <v>4423</v>
      </c>
      <c r="F3554" s="6" t="s">
        <v>8498</v>
      </c>
      <c r="G3554">
        <v>32</v>
      </c>
      <c r="Q3554" t="s">
        <v>6346</v>
      </c>
    </row>
    <row r="3555" spans="1:17" x14ac:dyDescent="0.2">
      <c r="A3555" t="s">
        <v>3914</v>
      </c>
      <c r="B3555" t="s">
        <v>3912</v>
      </c>
      <c r="C3555">
        <v>3</v>
      </c>
      <c r="D3555" s="6" t="s">
        <v>3894</v>
      </c>
      <c r="E3555" s="8" t="s">
        <v>4424</v>
      </c>
      <c r="F3555" s="6" t="s">
        <v>8498</v>
      </c>
      <c r="G3555">
        <v>16</v>
      </c>
      <c r="Q3555" t="s">
        <v>6347</v>
      </c>
    </row>
    <row r="3556" spans="1:17" x14ac:dyDescent="0.2">
      <c r="A3556" t="s">
        <v>3914</v>
      </c>
      <c r="B3556" t="s">
        <v>3912</v>
      </c>
      <c r="C3556">
        <v>3</v>
      </c>
      <c r="D3556" s="6" t="s">
        <v>3894</v>
      </c>
      <c r="E3556" s="8" t="s">
        <v>4425</v>
      </c>
      <c r="F3556" s="6" t="s">
        <v>8498</v>
      </c>
      <c r="G3556">
        <v>9</v>
      </c>
      <c r="Q3556" t="s">
        <v>6348</v>
      </c>
    </row>
    <row r="3557" spans="1:17" x14ac:dyDescent="0.2">
      <c r="A3557" t="s">
        <v>3914</v>
      </c>
      <c r="B3557" t="s">
        <v>3912</v>
      </c>
      <c r="C3557">
        <v>3</v>
      </c>
      <c r="D3557" s="6" t="s">
        <v>3894</v>
      </c>
      <c r="E3557" s="8" t="s">
        <v>4426</v>
      </c>
      <c r="F3557" s="6" t="s">
        <v>8498</v>
      </c>
      <c r="G3557">
        <v>93</v>
      </c>
      <c r="M3557">
        <v>5</v>
      </c>
    </row>
    <row r="3558" spans="1:17" x14ac:dyDescent="0.2">
      <c r="A3558" t="s">
        <v>3914</v>
      </c>
      <c r="B3558" t="s">
        <v>3912</v>
      </c>
      <c r="C3558">
        <v>3</v>
      </c>
      <c r="D3558" s="6" t="s">
        <v>3894</v>
      </c>
      <c r="E3558" t="s">
        <v>4420</v>
      </c>
      <c r="F3558" s="6" t="s">
        <v>8498</v>
      </c>
      <c r="G3558">
        <v>155</v>
      </c>
    </row>
    <row r="3559" spans="1:17" x14ac:dyDescent="0.2">
      <c r="A3559" t="s">
        <v>3914</v>
      </c>
      <c r="B3559" t="s">
        <v>3912</v>
      </c>
      <c r="C3559">
        <v>3</v>
      </c>
      <c r="D3559" s="6" t="s">
        <v>3894</v>
      </c>
      <c r="E3559" s="8" t="s">
        <v>4427</v>
      </c>
      <c r="F3559" s="6" t="s">
        <v>5629</v>
      </c>
      <c r="G3559">
        <v>30</v>
      </c>
      <c r="Q3559" t="s">
        <v>10478</v>
      </c>
    </row>
    <row r="3560" spans="1:17" x14ac:dyDescent="0.2">
      <c r="A3560" t="s">
        <v>3914</v>
      </c>
      <c r="B3560" t="s">
        <v>3912</v>
      </c>
      <c r="C3560">
        <v>3</v>
      </c>
      <c r="D3560" s="6" t="s">
        <v>3894</v>
      </c>
      <c r="E3560" s="8" t="s">
        <v>4428</v>
      </c>
      <c r="F3560" s="6" t="s">
        <v>6231</v>
      </c>
      <c r="G3560">
        <v>19</v>
      </c>
      <c r="Q3560" t="s">
        <v>10477</v>
      </c>
    </row>
    <row r="3561" spans="1:17" x14ac:dyDescent="0.2">
      <c r="A3561" t="s">
        <v>3914</v>
      </c>
      <c r="B3561" t="s">
        <v>3912</v>
      </c>
      <c r="C3561">
        <v>3</v>
      </c>
      <c r="D3561" s="6" t="s">
        <v>3894</v>
      </c>
      <c r="E3561" s="8" t="s">
        <v>4429</v>
      </c>
      <c r="F3561" s="6" t="s">
        <v>6231</v>
      </c>
      <c r="G3561">
        <v>15</v>
      </c>
      <c r="Q3561" t="s">
        <v>10476</v>
      </c>
    </row>
    <row r="3562" spans="1:17" x14ac:dyDescent="0.2">
      <c r="A3562" t="s">
        <v>3914</v>
      </c>
      <c r="B3562" t="s">
        <v>3912</v>
      </c>
      <c r="C3562">
        <v>3</v>
      </c>
      <c r="D3562" s="6" t="s">
        <v>3894</v>
      </c>
      <c r="E3562" s="8" t="s">
        <v>4430</v>
      </c>
      <c r="F3562" s="6" t="s">
        <v>1311</v>
      </c>
      <c r="G3562">
        <v>3</v>
      </c>
      <c r="Q3562" t="s">
        <v>6351</v>
      </c>
    </row>
    <row r="3563" spans="1:17" x14ac:dyDescent="0.2">
      <c r="A3563" t="s">
        <v>3914</v>
      </c>
      <c r="B3563" t="s">
        <v>3912</v>
      </c>
      <c r="C3563">
        <v>3</v>
      </c>
      <c r="D3563" s="6" t="s">
        <v>3894</v>
      </c>
      <c r="E3563" s="8" t="s">
        <v>4431</v>
      </c>
      <c r="F3563" s="6" t="s">
        <v>1311</v>
      </c>
      <c r="G3563">
        <v>4</v>
      </c>
      <c r="Q3563" t="s">
        <v>6352</v>
      </c>
    </row>
    <row r="3564" spans="1:17" x14ac:dyDescent="0.2">
      <c r="A3564" t="s">
        <v>3914</v>
      </c>
      <c r="B3564" t="s">
        <v>3912</v>
      </c>
      <c r="C3564">
        <v>3</v>
      </c>
      <c r="D3564" s="6" t="s">
        <v>3894</v>
      </c>
      <c r="E3564" s="8" t="s">
        <v>4432</v>
      </c>
      <c r="F3564" s="6" t="s">
        <v>1311</v>
      </c>
      <c r="G3564">
        <v>5</v>
      </c>
      <c r="Q3564" t="s">
        <v>6350</v>
      </c>
    </row>
    <row r="3565" spans="1:17" x14ac:dyDescent="0.2">
      <c r="A3565" t="s">
        <v>3914</v>
      </c>
      <c r="B3565" t="s">
        <v>3912</v>
      </c>
      <c r="C3565">
        <v>3</v>
      </c>
      <c r="D3565" s="6" t="s">
        <v>3894</v>
      </c>
      <c r="E3565" s="8" t="s">
        <v>4433</v>
      </c>
      <c r="F3565" s="6" t="s">
        <v>1311</v>
      </c>
      <c r="G3565">
        <v>1</v>
      </c>
      <c r="Q3565" t="s">
        <v>6349</v>
      </c>
    </row>
    <row r="3566" spans="1:17" x14ac:dyDescent="0.2">
      <c r="A3566" t="s">
        <v>3914</v>
      </c>
      <c r="B3566" t="s">
        <v>3912</v>
      </c>
      <c r="C3566">
        <v>3</v>
      </c>
      <c r="D3566" s="6" t="s">
        <v>3894</v>
      </c>
      <c r="E3566" s="8" t="s">
        <v>4434</v>
      </c>
      <c r="F3566" s="6" t="s">
        <v>6283</v>
      </c>
      <c r="G3566">
        <v>10</v>
      </c>
      <c r="Q3566" t="s">
        <v>10479</v>
      </c>
    </row>
    <row r="3567" spans="1:17" x14ac:dyDescent="0.2">
      <c r="A3567" t="s">
        <v>3914</v>
      </c>
      <c r="B3567" t="s">
        <v>3912</v>
      </c>
      <c r="C3567">
        <v>3</v>
      </c>
      <c r="D3567" s="6" t="s">
        <v>3894</v>
      </c>
      <c r="E3567" s="8" t="s">
        <v>4435</v>
      </c>
      <c r="F3567" s="6" t="s">
        <v>10475</v>
      </c>
      <c r="G3567">
        <v>21</v>
      </c>
      <c r="P3567" t="s">
        <v>3921</v>
      </c>
      <c r="Q3567" t="s">
        <v>10474</v>
      </c>
    </row>
    <row r="3568" spans="1:17" x14ac:dyDescent="0.2">
      <c r="A3568" t="s">
        <v>3914</v>
      </c>
      <c r="B3568" t="s">
        <v>3912</v>
      </c>
      <c r="C3568">
        <v>3</v>
      </c>
      <c r="D3568" s="6" t="s">
        <v>3894</v>
      </c>
      <c r="E3568" s="8" t="s">
        <v>4436</v>
      </c>
      <c r="F3568" s="6" t="s">
        <v>6283</v>
      </c>
      <c r="G3568">
        <v>9</v>
      </c>
      <c r="Q3568" t="s">
        <v>10473</v>
      </c>
    </row>
    <row r="3569" spans="1:17" x14ac:dyDescent="0.2">
      <c r="A3569" t="s">
        <v>3914</v>
      </c>
      <c r="B3569" t="s">
        <v>3912</v>
      </c>
      <c r="C3569">
        <v>3</v>
      </c>
      <c r="D3569" s="6" t="s">
        <v>3894</v>
      </c>
      <c r="E3569" s="8" t="s">
        <v>4437</v>
      </c>
      <c r="F3569" s="6" t="s">
        <v>6283</v>
      </c>
      <c r="G3569">
        <v>4</v>
      </c>
      <c r="Q3569" t="s">
        <v>10472</v>
      </c>
    </row>
    <row r="3570" spans="1:17" x14ac:dyDescent="0.2">
      <c r="A3570" t="s">
        <v>3914</v>
      </c>
      <c r="B3570" t="s">
        <v>3912</v>
      </c>
      <c r="C3570">
        <v>3</v>
      </c>
      <c r="D3570" s="6" t="s">
        <v>3894</v>
      </c>
      <c r="E3570" s="8" t="s">
        <v>4438</v>
      </c>
      <c r="F3570" s="6" t="s">
        <v>6283</v>
      </c>
      <c r="G3570">
        <v>2</v>
      </c>
      <c r="Q3570" t="s">
        <v>10471</v>
      </c>
    </row>
    <row r="3571" spans="1:17" x14ac:dyDescent="0.2">
      <c r="A3571" t="s">
        <v>3914</v>
      </c>
      <c r="B3571" t="s">
        <v>3912</v>
      </c>
      <c r="C3571">
        <v>3</v>
      </c>
      <c r="D3571" s="6" t="s">
        <v>3894</v>
      </c>
      <c r="E3571" s="8" t="s">
        <v>4439</v>
      </c>
      <c r="F3571" s="6" t="s">
        <v>6283</v>
      </c>
      <c r="G3571">
        <v>27</v>
      </c>
      <c r="M3571">
        <v>5</v>
      </c>
    </row>
    <row r="3572" spans="1:17" x14ac:dyDescent="0.2">
      <c r="A3572" t="s">
        <v>3914</v>
      </c>
      <c r="B3572" t="s">
        <v>3912</v>
      </c>
      <c r="C3572">
        <v>3</v>
      </c>
      <c r="D3572" s="6" t="s">
        <v>3894</v>
      </c>
      <c r="E3572" t="s">
        <v>4420</v>
      </c>
      <c r="F3572" s="6" t="s">
        <v>6283</v>
      </c>
      <c r="G3572">
        <v>57</v>
      </c>
    </row>
    <row r="3573" spans="1:17" x14ac:dyDescent="0.2">
      <c r="A3573" t="s">
        <v>3914</v>
      </c>
      <c r="B3573" t="s">
        <v>3912</v>
      </c>
      <c r="C3573">
        <v>3</v>
      </c>
      <c r="D3573" s="6" t="s">
        <v>3894</v>
      </c>
      <c r="E3573" s="8" t="s">
        <v>4440</v>
      </c>
      <c r="F3573" s="6" t="s">
        <v>5995</v>
      </c>
      <c r="G3573" t="s">
        <v>114</v>
      </c>
      <c r="O3573" t="s">
        <v>6169</v>
      </c>
      <c r="Q3573" t="s">
        <v>6168</v>
      </c>
    </row>
    <row r="3574" spans="1:17" x14ac:dyDescent="0.2">
      <c r="A3574" t="s">
        <v>3914</v>
      </c>
      <c r="B3574" t="s">
        <v>3912</v>
      </c>
      <c r="C3574">
        <v>3</v>
      </c>
      <c r="D3574" s="6" t="s">
        <v>3894</v>
      </c>
      <c r="E3574" s="8" t="s">
        <v>4441</v>
      </c>
      <c r="F3574" s="6" t="s">
        <v>5995</v>
      </c>
      <c r="G3574" t="s">
        <v>114</v>
      </c>
      <c r="O3574" t="s">
        <v>6169</v>
      </c>
      <c r="Q3574" t="s">
        <v>6167</v>
      </c>
    </row>
    <row r="3575" spans="1:17" x14ac:dyDescent="0.2">
      <c r="A3575" t="s">
        <v>3914</v>
      </c>
      <c r="B3575" t="s">
        <v>3912</v>
      </c>
      <c r="C3575">
        <v>3</v>
      </c>
      <c r="D3575" s="6" t="s">
        <v>3894</v>
      </c>
      <c r="E3575" s="8" t="s">
        <v>4442</v>
      </c>
      <c r="F3575" s="6" t="s">
        <v>5995</v>
      </c>
      <c r="G3575">
        <v>1</v>
      </c>
      <c r="O3575" t="s">
        <v>6169</v>
      </c>
      <c r="Q3575" t="s">
        <v>6166</v>
      </c>
    </row>
    <row r="3576" spans="1:17" x14ac:dyDescent="0.2">
      <c r="A3576" t="s">
        <v>3914</v>
      </c>
      <c r="B3576" t="s">
        <v>3912</v>
      </c>
      <c r="C3576">
        <v>3</v>
      </c>
      <c r="D3576" s="6" t="s">
        <v>3894</v>
      </c>
      <c r="E3576" s="8" t="s">
        <v>4443</v>
      </c>
      <c r="F3576" s="6" t="s">
        <v>5995</v>
      </c>
      <c r="G3576" t="s">
        <v>114</v>
      </c>
      <c r="O3576" t="s">
        <v>6169</v>
      </c>
      <c r="Q3576" t="s">
        <v>6165</v>
      </c>
    </row>
    <row r="3577" spans="1:17" x14ac:dyDescent="0.2">
      <c r="A3577" t="s">
        <v>3914</v>
      </c>
      <c r="B3577" t="s">
        <v>3912</v>
      </c>
      <c r="C3577">
        <v>3</v>
      </c>
      <c r="D3577" s="6" t="s">
        <v>3894</v>
      </c>
      <c r="E3577" s="8" t="s">
        <v>4444</v>
      </c>
      <c r="F3577" s="6" t="s">
        <v>106</v>
      </c>
      <c r="G3577">
        <v>10</v>
      </c>
    </row>
    <row r="3578" spans="1:17" x14ac:dyDescent="0.2">
      <c r="A3578" t="s">
        <v>3914</v>
      </c>
      <c r="B3578" t="s">
        <v>3912</v>
      </c>
      <c r="C3578">
        <v>3</v>
      </c>
      <c r="D3578" s="6" t="s">
        <v>3894</v>
      </c>
      <c r="E3578" s="8" t="s">
        <v>4445</v>
      </c>
      <c r="F3578" s="6" t="s">
        <v>2789</v>
      </c>
      <c r="G3578">
        <v>4</v>
      </c>
    </row>
    <row r="3579" spans="1:17" x14ac:dyDescent="0.2">
      <c r="A3579" t="s">
        <v>3914</v>
      </c>
      <c r="B3579" t="s">
        <v>3912</v>
      </c>
      <c r="C3579">
        <v>3</v>
      </c>
      <c r="D3579" s="6" t="s">
        <v>3894</v>
      </c>
      <c r="E3579" s="8" t="s">
        <v>4446</v>
      </c>
      <c r="F3579" s="6" t="s">
        <v>112</v>
      </c>
      <c r="G3579">
        <v>6</v>
      </c>
    </row>
    <row r="3580" spans="1:17" x14ac:dyDescent="0.2">
      <c r="A3580" t="s">
        <v>3914</v>
      </c>
      <c r="B3580" t="s">
        <v>3912</v>
      </c>
      <c r="C3580">
        <v>3</v>
      </c>
      <c r="D3580" s="6" t="s">
        <v>3894</v>
      </c>
      <c r="E3580" s="8" t="s">
        <v>4447</v>
      </c>
      <c r="F3580" s="6" t="s">
        <v>871</v>
      </c>
      <c r="G3580">
        <v>34</v>
      </c>
      <c r="O3580" t="s">
        <v>3920</v>
      </c>
    </row>
    <row r="3581" spans="1:17" x14ac:dyDescent="0.2">
      <c r="A3581" t="s">
        <v>3914</v>
      </c>
      <c r="B3581" t="s">
        <v>3912</v>
      </c>
      <c r="C3581">
        <v>3</v>
      </c>
      <c r="D3581" s="6" t="s">
        <v>3894</v>
      </c>
      <c r="E3581" t="s">
        <v>4420</v>
      </c>
      <c r="F3581" s="6" t="s">
        <v>3251</v>
      </c>
      <c r="G3581">
        <v>24</v>
      </c>
    </row>
    <row r="3582" spans="1:17" x14ac:dyDescent="0.2">
      <c r="A3582" t="s">
        <v>3914</v>
      </c>
      <c r="B3582" t="s">
        <v>3912</v>
      </c>
      <c r="C3582">
        <v>3</v>
      </c>
      <c r="D3582" s="6" t="s">
        <v>3894</v>
      </c>
      <c r="E3582" s="8" t="s">
        <v>4448</v>
      </c>
      <c r="F3582" s="6" t="s">
        <v>1538</v>
      </c>
      <c r="G3582">
        <v>3</v>
      </c>
      <c r="Q3582" t="s">
        <v>10481</v>
      </c>
    </row>
    <row r="3583" spans="1:17" x14ac:dyDescent="0.2">
      <c r="A3583" t="s">
        <v>3914</v>
      </c>
      <c r="B3583" t="s">
        <v>3912</v>
      </c>
      <c r="C3583">
        <v>3</v>
      </c>
      <c r="D3583" s="6" t="s">
        <v>3894</v>
      </c>
      <c r="E3583" s="8" t="s">
        <v>4449</v>
      </c>
      <c r="F3583" s="6" t="s">
        <v>1538</v>
      </c>
      <c r="G3583">
        <v>2</v>
      </c>
      <c r="Q3583" t="s">
        <v>10480</v>
      </c>
    </row>
    <row r="3584" spans="1:17" x14ac:dyDescent="0.2">
      <c r="A3584" t="s">
        <v>3914</v>
      </c>
      <c r="B3584" t="s">
        <v>3912</v>
      </c>
      <c r="C3584">
        <v>3</v>
      </c>
      <c r="D3584" s="6" t="s">
        <v>3894</v>
      </c>
      <c r="E3584" s="8" t="s">
        <v>4450</v>
      </c>
      <c r="F3584" s="6" t="s">
        <v>1538</v>
      </c>
      <c r="G3584">
        <v>1</v>
      </c>
      <c r="M3584">
        <v>4</v>
      </c>
      <c r="O3584" t="s">
        <v>698</v>
      </c>
      <c r="Q3584" t="s">
        <v>10482</v>
      </c>
    </row>
    <row r="3585" spans="1:17" x14ac:dyDescent="0.2">
      <c r="A3585" t="s">
        <v>3914</v>
      </c>
      <c r="B3585" t="s">
        <v>3912</v>
      </c>
      <c r="C3585">
        <v>3</v>
      </c>
      <c r="D3585" s="6" t="s">
        <v>3894</v>
      </c>
      <c r="E3585" s="8" t="s">
        <v>4451</v>
      </c>
      <c r="F3585" s="6" t="s">
        <v>1538</v>
      </c>
      <c r="G3585" t="s">
        <v>114</v>
      </c>
      <c r="Q3585" t="s">
        <v>10483</v>
      </c>
    </row>
    <row r="3586" spans="1:17" x14ac:dyDescent="0.2">
      <c r="A3586" t="s">
        <v>3914</v>
      </c>
      <c r="B3586" t="s">
        <v>3912</v>
      </c>
      <c r="C3586">
        <v>3</v>
      </c>
      <c r="D3586" s="6" t="s">
        <v>3894</v>
      </c>
      <c r="E3586" s="8" t="s">
        <v>4452</v>
      </c>
      <c r="F3586" s="6" t="s">
        <v>1538</v>
      </c>
      <c r="G3586">
        <v>10</v>
      </c>
      <c r="M3586">
        <v>5</v>
      </c>
    </row>
    <row r="3587" spans="1:17" x14ac:dyDescent="0.2">
      <c r="A3587" t="s">
        <v>3914</v>
      </c>
      <c r="B3587" t="s">
        <v>3912</v>
      </c>
      <c r="C3587">
        <v>3</v>
      </c>
      <c r="D3587" s="6" t="s">
        <v>3894</v>
      </c>
      <c r="E3587" t="s">
        <v>4420</v>
      </c>
      <c r="F3587" s="6" t="s">
        <v>1538</v>
      </c>
      <c r="G3587">
        <v>28</v>
      </c>
    </row>
    <row r="3588" spans="1:17" x14ac:dyDescent="0.2">
      <c r="A3588" t="s">
        <v>3914</v>
      </c>
      <c r="B3588" t="s">
        <v>3912</v>
      </c>
      <c r="C3588">
        <v>4</v>
      </c>
      <c r="D3588" s="6" t="s">
        <v>3894</v>
      </c>
      <c r="E3588" s="8" t="s">
        <v>4453</v>
      </c>
      <c r="F3588" s="6" t="s">
        <v>1264</v>
      </c>
      <c r="H3588">
        <f>4.6-0.345</f>
        <v>4.2549999999999999</v>
      </c>
      <c r="O3588" t="s">
        <v>3924</v>
      </c>
    </row>
    <row r="3589" spans="1:17" x14ac:dyDescent="0.2">
      <c r="A3589" t="s">
        <v>3914</v>
      </c>
      <c r="B3589" t="s">
        <v>3912</v>
      </c>
      <c r="C3589">
        <v>4</v>
      </c>
      <c r="D3589" s="6" t="s">
        <v>3894</v>
      </c>
      <c r="E3589" s="8" t="s">
        <v>4454</v>
      </c>
      <c r="F3589" s="6" t="s">
        <v>1389</v>
      </c>
      <c r="G3589">
        <v>10</v>
      </c>
      <c r="Q3589" t="s">
        <v>10486</v>
      </c>
    </row>
    <row r="3590" spans="1:17" x14ac:dyDescent="0.2">
      <c r="A3590" t="s">
        <v>3914</v>
      </c>
      <c r="B3590" t="s">
        <v>3912</v>
      </c>
      <c r="C3590">
        <v>4</v>
      </c>
      <c r="D3590" s="6" t="s">
        <v>3894</v>
      </c>
      <c r="E3590" s="8" t="s">
        <v>4455</v>
      </c>
      <c r="F3590" s="6" t="s">
        <v>1389</v>
      </c>
      <c r="G3590">
        <v>1</v>
      </c>
      <c r="Q3590" t="s">
        <v>10485</v>
      </c>
    </row>
    <row r="3591" spans="1:17" x14ac:dyDescent="0.2">
      <c r="A3591" t="s">
        <v>3914</v>
      </c>
      <c r="B3591" t="s">
        <v>3912</v>
      </c>
      <c r="C3591">
        <v>4</v>
      </c>
      <c r="D3591" s="6" t="s">
        <v>3894</v>
      </c>
      <c r="E3591" s="8" t="s">
        <v>4456</v>
      </c>
      <c r="F3591" s="6" t="s">
        <v>1389</v>
      </c>
      <c r="G3591">
        <v>3</v>
      </c>
      <c r="Q3591" t="s">
        <v>10488</v>
      </c>
    </row>
    <row r="3592" spans="1:17" x14ac:dyDescent="0.2">
      <c r="A3592" t="s">
        <v>3914</v>
      </c>
      <c r="B3592" t="s">
        <v>3912</v>
      </c>
      <c r="C3592">
        <v>4</v>
      </c>
      <c r="D3592" s="6" t="s">
        <v>3894</v>
      </c>
      <c r="E3592" s="8" t="s">
        <v>4457</v>
      </c>
      <c r="F3592" s="6" t="s">
        <v>1389</v>
      </c>
      <c r="G3592">
        <v>1</v>
      </c>
      <c r="M3592">
        <v>5</v>
      </c>
      <c r="O3592" t="s">
        <v>3922</v>
      </c>
      <c r="Q3592" t="s">
        <v>10487</v>
      </c>
    </row>
    <row r="3593" spans="1:17" x14ac:dyDescent="0.2">
      <c r="A3593" t="s">
        <v>3914</v>
      </c>
      <c r="B3593" t="s">
        <v>3912</v>
      </c>
      <c r="C3593">
        <v>4</v>
      </c>
      <c r="D3593" s="6" t="s">
        <v>3894</v>
      </c>
      <c r="E3593" s="8" t="s">
        <v>4458</v>
      </c>
      <c r="F3593" s="6" t="s">
        <v>1389</v>
      </c>
      <c r="G3593">
        <v>5</v>
      </c>
      <c r="Q3593" t="s">
        <v>10484</v>
      </c>
    </row>
    <row r="3594" spans="1:17" x14ac:dyDescent="0.2">
      <c r="A3594" t="s">
        <v>3914</v>
      </c>
      <c r="B3594" t="s">
        <v>3912</v>
      </c>
      <c r="C3594">
        <v>4</v>
      </c>
      <c r="D3594" s="6" t="s">
        <v>3894</v>
      </c>
      <c r="E3594" s="8" t="s">
        <v>4459</v>
      </c>
      <c r="F3594" s="6" t="s">
        <v>1389</v>
      </c>
      <c r="G3594">
        <v>34</v>
      </c>
      <c r="M3594">
        <v>5</v>
      </c>
    </row>
    <row r="3595" spans="1:17" x14ac:dyDescent="0.2">
      <c r="A3595" t="s">
        <v>3914</v>
      </c>
      <c r="B3595" t="s">
        <v>3912</v>
      </c>
      <c r="C3595">
        <v>4</v>
      </c>
      <c r="D3595" s="6" t="s">
        <v>3894</v>
      </c>
      <c r="E3595" t="s">
        <v>4460</v>
      </c>
      <c r="F3595" s="6" t="s">
        <v>1389</v>
      </c>
      <c r="G3595">
        <v>96</v>
      </c>
    </row>
    <row r="3596" spans="1:17" x14ac:dyDescent="0.2">
      <c r="A3596" t="s">
        <v>3914</v>
      </c>
      <c r="B3596" t="s">
        <v>3912</v>
      </c>
      <c r="C3596">
        <v>4</v>
      </c>
      <c r="D3596" s="6" t="s">
        <v>3894</v>
      </c>
      <c r="E3596" s="8" t="s">
        <v>4461</v>
      </c>
      <c r="F3596" s="6" t="s">
        <v>5620</v>
      </c>
      <c r="G3596">
        <v>36</v>
      </c>
      <c r="Q3596" t="s">
        <v>10495</v>
      </c>
    </row>
    <row r="3597" spans="1:17" x14ac:dyDescent="0.2">
      <c r="A3597" t="s">
        <v>3914</v>
      </c>
      <c r="B3597" t="s">
        <v>3912</v>
      </c>
      <c r="C3597">
        <v>4</v>
      </c>
      <c r="D3597" s="6" t="s">
        <v>3894</v>
      </c>
      <c r="E3597" s="8" t="s">
        <v>4462</v>
      </c>
      <c r="F3597" s="6" t="s">
        <v>5620</v>
      </c>
      <c r="G3597">
        <v>26</v>
      </c>
      <c r="Q3597" t="s">
        <v>10494</v>
      </c>
    </row>
    <row r="3598" spans="1:17" x14ac:dyDescent="0.2">
      <c r="A3598" t="s">
        <v>3914</v>
      </c>
      <c r="B3598" t="s">
        <v>3912</v>
      </c>
      <c r="C3598">
        <v>4</v>
      </c>
      <c r="D3598" s="6" t="s">
        <v>3894</v>
      </c>
      <c r="E3598" s="8" t="s">
        <v>4463</v>
      </c>
      <c r="F3598" s="6" t="s">
        <v>1425</v>
      </c>
      <c r="G3598">
        <v>22</v>
      </c>
      <c r="Q3598" t="s">
        <v>10490</v>
      </c>
    </row>
    <row r="3599" spans="1:17" x14ac:dyDescent="0.2">
      <c r="A3599" t="s">
        <v>3914</v>
      </c>
      <c r="B3599" t="s">
        <v>3912</v>
      </c>
      <c r="C3599">
        <v>4</v>
      </c>
      <c r="D3599" s="6" t="s">
        <v>3894</v>
      </c>
      <c r="E3599" s="8" t="s">
        <v>4464</v>
      </c>
      <c r="F3599" s="6" t="s">
        <v>1425</v>
      </c>
      <c r="G3599">
        <v>5</v>
      </c>
      <c r="Q3599" t="s">
        <v>10489</v>
      </c>
    </row>
    <row r="3600" spans="1:17" x14ac:dyDescent="0.2">
      <c r="A3600" t="s">
        <v>3914</v>
      </c>
      <c r="B3600" t="s">
        <v>3912</v>
      </c>
      <c r="C3600">
        <v>4</v>
      </c>
      <c r="D3600" s="6" t="s">
        <v>3894</v>
      </c>
      <c r="E3600" s="8" t="s">
        <v>4465</v>
      </c>
      <c r="F3600" s="6" t="s">
        <v>1425</v>
      </c>
      <c r="G3600">
        <v>6</v>
      </c>
      <c r="Q3600" t="s">
        <v>10493</v>
      </c>
    </row>
    <row r="3601" spans="1:17" x14ac:dyDescent="0.2">
      <c r="A3601" t="s">
        <v>3914</v>
      </c>
      <c r="B3601" t="s">
        <v>3912</v>
      </c>
      <c r="C3601">
        <v>4</v>
      </c>
      <c r="D3601" s="6" t="s">
        <v>3894</v>
      </c>
      <c r="E3601" s="8" t="s">
        <v>4466</v>
      </c>
      <c r="F3601" s="6" t="s">
        <v>1425</v>
      </c>
      <c r="G3601">
        <v>6</v>
      </c>
      <c r="Q3601" t="s">
        <v>10492</v>
      </c>
    </row>
    <row r="3602" spans="1:17" x14ac:dyDescent="0.2">
      <c r="A3602" t="s">
        <v>3914</v>
      </c>
      <c r="B3602" t="s">
        <v>3912</v>
      </c>
      <c r="C3602">
        <v>4</v>
      </c>
      <c r="D3602" s="6" t="s">
        <v>3894</v>
      </c>
      <c r="E3602" s="8" t="s">
        <v>4467</v>
      </c>
      <c r="F3602" s="6" t="s">
        <v>1425</v>
      </c>
      <c r="G3602">
        <v>6</v>
      </c>
      <c r="Q3602" t="s">
        <v>10491</v>
      </c>
    </row>
    <row r="3603" spans="1:17" x14ac:dyDescent="0.2">
      <c r="A3603" t="s">
        <v>3914</v>
      </c>
      <c r="B3603" t="s">
        <v>3912</v>
      </c>
      <c r="C3603">
        <v>4</v>
      </c>
      <c r="D3603" s="6" t="s">
        <v>3894</v>
      </c>
      <c r="E3603" s="8" t="s">
        <v>4468</v>
      </c>
      <c r="F3603" s="6" t="s">
        <v>1425</v>
      </c>
      <c r="G3603">
        <v>7</v>
      </c>
      <c r="M3603">
        <v>2</v>
      </c>
    </row>
    <row r="3604" spans="1:17" x14ac:dyDescent="0.2">
      <c r="A3604" t="s">
        <v>3914</v>
      </c>
      <c r="B3604" t="s">
        <v>3912</v>
      </c>
      <c r="C3604">
        <v>4</v>
      </c>
      <c r="D3604" s="6" t="s">
        <v>3894</v>
      </c>
      <c r="E3604" s="8" t="s">
        <v>4469</v>
      </c>
      <c r="F3604" s="6" t="s">
        <v>1538</v>
      </c>
      <c r="G3604">
        <v>1</v>
      </c>
      <c r="Q3604" t="s">
        <v>10497</v>
      </c>
    </row>
    <row r="3605" spans="1:17" x14ac:dyDescent="0.2">
      <c r="A3605" t="s">
        <v>3914</v>
      </c>
      <c r="B3605" t="s">
        <v>3912</v>
      </c>
      <c r="C3605">
        <v>4</v>
      </c>
      <c r="D3605" s="6" t="s">
        <v>3894</v>
      </c>
      <c r="E3605" s="8" t="s">
        <v>4470</v>
      </c>
      <c r="F3605" s="6" t="s">
        <v>1538</v>
      </c>
      <c r="G3605" t="s">
        <v>114</v>
      </c>
      <c r="Q3605" t="s">
        <v>10496</v>
      </c>
    </row>
    <row r="3606" spans="1:17" x14ac:dyDescent="0.2">
      <c r="A3606" t="s">
        <v>3914</v>
      </c>
      <c r="B3606" t="s">
        <v>3912</v>
      </c>
      <c r="C3606">
        <v>4</v>
      </c>
      <c r="D3606" s="6" t="s">
        <v>3894</v>
      </c>
      <c r="E3606" s="8" t="s">
        <v>4471</v>
      </c>
      <c r="F3606" s="6" t="s">
        <v>10498</v>
      </c>
      <c r="G3606" t="s">
        <v>114</v>
      </c>
      <c r="O3606" t="s">
        <v>698</v>
      </c>
      <c r="Q3606" t="s">
        <v>10499</v>
      </c>
    </row>
    <row r="3607" spans="1:17" x14ac:dyDescent="0.2">
      <c r="A3607" t="s">
        <v>3914</v>
      </c>
      <c r="B3607" t="s">
        <v>3912</v>
      </c>
      <c r="C3607">
        <v>4</v>
      </c>
      <c r="D3607" s="6" t="s">
        <v>3894</v>
      </c>
      <c r="E3607" s="8" t="s">
        <v>4472</v>
      </c>
      <c r="F3607" s="6" t="s">
        <v>5995</v>
      </c>
      <c r="G3607">
        <v>1</v>
      </c>
      <c r="Q3607" t="s">
        <v>6170</v>
      </c>
    </row>
    <row r="3608" spans="1:17" x14ac:dyDescent="0.2">
      <c r="A3608" t="s">
        <v>3914</v>
      </c>
      <c r="B3608" t="s">
        <v>3912</v>
      </c>
      <c r="C3608">
        <v>4</v>
      </c>
      <c r="D3608" s="6" t="s">
        <v>3894</v>
      </c>
      <c r="E3608" s="8" t="s">
        <v>4473</v>
      </c>
      <c r="F3608" s="6" t="s">
        <v>5995</v>
      </c>
      <c r="G3608">
        <v>1</v>
      </c>
      <c r="Q3608" t="s">
        <v>6171</v>
      </c>
    </row>
    <row r="3609" spans="1:17" x14ac:dyDescent="0.2">
      <c r="A3609" t="s">
        <v>3914</v>
      </c>
      <c r="B3609" t="s">
        <v>3912</v>
      </c>
      <c r="C3609">
        <v>4</v>
      </c>
      <c r="D3609" s="6" t="s">
        <v>3894</v>
      </c>
      <c r="E3609" s="8" t="s">
        <v>4474</v>
      </c>
      <c r="F3609" s="6" t="s">
        <v>5995</v>
      </c>
      <c r="G3609">
        <v>1</v>
      </c>
      <c r="Q3609" t="s">
        <v>6172</v>
      </c>
    </row>
    <row r="3610" spans="1:17" x14ac:dyDescent="0.2">
      <c r="A3610" t="s">
        <v>3914</v>
      </c>
      <c r="B3610" t="s">
        <v>3912</v>
      </c>
      <c r="C3610">
        <v>4</v>
      </c>
      <c r="D3610" s="6" t="s">
        <v>3894</v>
      </c>
      <c r="E3610" s="8" t="s">
        <v>4475</v>
      </c>
      <c r="F3610" s="6" t="s">
        <v>7138</v>
      </c>
      <c r="G3610">
        <v>7</v>
      </c>
      <c r="M3610">
        <v>5</v>
      </c>
      <c r="Q3610" t="s">
        <v>10500</v>
      </c>
    </row>
    <row r="3611" spans="1:17" x14ac:dyDescent="0.2">
      <c r="A3611" t="s">
        <v>3914</v>
      </c>
      <c r="B3611" t="s">
        <v>3912</v>
      </c>
      <c r="C3611">
        <v>4</v>
      </c>
      <c r="D3611" s="6" t="s">
        <v>3894</v>
      </c>
      <c r="E3611" s="8" t="s">
        <v>4476</v>
      </c>
      <c r="F3611" s="6" t="s">
        <v>106</v>
      </c>
      <c r="G3611">
        <v>3</v>
      </c>
    </row>
    <row r="3612" spans="1:17" x14ac:dyDescent="0.2">
      <c r="A3612" t="s">
        <v>3914</v>
      </c>
      <c r="B3612" t="s">
        <v>3912</v>
      </c>
      <c r="C3612">
        <v>4</v>
      </c>
      <c r="D3612" s="6" t="s">
        <v>3894</v>
      </c>
      <c r="E3612" s="8" t="s">
        <v>4477</v>
      </c>
      <c r="F3612" s="6" t="s">
        <v>871</v>
      </c>
      <c r="G3612">
        <v>5</v>
      </c>
      <c r="O3612" t="s">
        <v>3925</v>
      </c>
    </row>
    <row r="3613" spans="1:17" x14ac:dyDescent="0.2">
      <c r="A3613" t="s">
        <v>3914</v>
      </c>
      <c r="B3613" t="s">
        <v>3912</v>
      </c>
      <c r="C3613">
        <v>4</v>
      </c>
      <c r="D3613" s="6" t="s">
        <v>3894</v>
      </c>
      <c r="E3613" t="s">
        <v>4460</v>
      </c>
      <c r="F3613" s="6" t="s">
        <v>3923</v>
      </c>
      <c r="G3613">
        <v>29</v>
      </c>
      <c r="O3613" t="s">
        <v>3926</v>
      </c>
    </row>
    <row r="3614" spans="1:17" x14ac:dyDescent="0.2">
      <c r="A3614" t="s">
        <v>3914</v>
      </c>
      <c r="B3614" t="s">
        <v>3912</v>
      </c>
      <c r="C3614">
        <v>4</v>
      </c>
      <c r="D3614" s="6" t="s">
        <v>3894</v>
      </c>
      <c r="E3614" s="8" t="s">
        <v>4478</v>
      </c>
      <c r="F3614" s="6" t="s">
        <v>2789</v>
      </c>
      <c r="G3614">
        <v>23</v>
      </c>
      <c r="O3614" t="s">
        <v>3927</v>
      </c>
    </row>
    <row r="3615" spans="1:17" x14ac:dyDescent="0.2">
      <c r="A3615" t="s">
        <v>3914</v>
      </c>
      <c r="B3615" t="s">
        <v>3912</v>
      </c>
      <c r="C3615">
        <v>4</v>
      </c>
      <c r="D3615" s="6" t="s">
        <v>3894</v>
      </c>
      <c r="E3615" s="8" t="s">
        <v>4479</v>
      </c>
      <c r="F3615" s="6" t="s">
        <v>3875</v>
      </c>
      <c r="G3615">
        <v>418</v>
      </c>
    </row>
    <row r="3616" spans="1:17" x14ac:dyDescent="0.2">
      <c r="A3616" t="s">
        <v>3914</v>
      </c>
      <c r="B3616" t="s">
        <v>3912</v>
      </c>
      <c r="C3616">
        <v>5</v>
      </c>
      <c r="D3616" s="6" t="s">
        <v>3894</v>
      </c>
      <c r="E3616" s="8" t="s">
        <v>4480</v>
      </c>
      <c r="F3616" s="6" t="s">
        <v>1264</v>
      </c>
      <c r="H3616">
        <f>1.084-0.357+17.9-2.8</f>
        <v>15.826999999999998</v>
      </c>
      <c r="O3616" t="s">
        <v>3937</v>
      </c>
    </row>
    <row r="3617" spans="1:17" x14ac:dyDescent="0.2">
      <c r="A3617" t="s">
        <v>3914</v>
      </c>
      <c r="B3617" t="s">
        <v>3912</v>
      </c>
      <c r="C3617">
        <v>5</v>
      </c>
      <c r="D3617" s="6" t="s">
        <v>3894</v>
      </c>
      <c r="E3617" s="8" t="s">
        <v>4481</v>
      </c>
      <c r="F3617" s="6" t="s">
        <v>3875</v>
      </c>
      <c r="G3617">
        <v>112</v>
      </c>
    </row>
    <row r="3618" spans="1:17" x14ac:dyDescent="0.2">
      <c r="A3618" t="s">
        <v>3914</v>
      </c>
      <c r="B3618" t="s">
        <v>3912</v>
      </c>
      <c r="C3618">
        <v>5</v>
      </c>
      <c r="D3618" s="6" t="s">
        <v>3894</v>
      </c>
      <c r="E3618" s="8" t="s">
        <v>4482</v>
      </c>
      <c r="F3618" s="6" t="s">
        <v>3928</v>
      </c>
      <c r="G3618">
        <v>24</v>
      </c>
      <c r="O3618" t="s">
        <v>3929</v>
      </c>
    </row>
    <row r="3619" spans="1:17" x14ac:dyDescent="0.2">
      <c r="A3619" t="s">
        <v>3914</v>
      </c>
      <c r="B3619" t="s">
        <v>3912</v>
      </c>
      <c r="C3619">
        <v>5</v>
      </c>
      <c r="D3619" s="6" t="s">
        <v>3894</v>
      </c>
      <c r="E3619" s="8" t="s">
        <v>4483</v>
      </c>
      <c r="F3619" s="6" t="s">
        <v>7138</v>
      </c>
      <c r="G3619">
        <v>2</v>
      </c>
      <c r="M3619">
        <v>5</v>
      </c>
      <c r="Q3619" t="s">
        <v>10501</v>
      </c>
    </row>
    <row r="3620" spans="1:17" x14ac:dyDescent="0.2">
      <c r="A3620" t="s">
        <v>3914</v>
      </c>
      <c r="B3620" t="s">
        <v>3912</v>
      </c>
      <c r="C3620">
        <v>5</v>
      </c>
      <c r="D3620" s="6" t="s">
        <v>3894</v>
      </c>
      <c r="E3620" s="8" t="s">
        <v>4484</v>
      </c>
      <c r="F3620" s="6" t="s">
        <v>106</v>
      </c>
      <c r="G3620">
        <v>5</v>
      </c>
    </row>
    <row r="3621" spans="1:17" x14ac:dyDescent="0.2">
      <c r="A3621" t="s">
        <v>3914</v>
      </c>
      <c r="B3621" t="s">
        <v>3912</v>
      </c>
      <c r="C3621">
        <v>5</v>
      </c>
      <c r="D3621" s="6" t="s">
        <v>3894</v>
      </c>
      <c r="E3621" s="8" t="s">
        <v>4485</v>
      </c>
      <c r="F3621" s="6" t="s">
        <v>6369</v>
      </c>
      <c r="G3621">
        <v>30</v>
      </c>
      <c r="Q3621" t="s">
        <v>10502</v>
      </c>
    </row>
    <row r="3622" spans="1:17" x14ac:dyDescent="0.2">
      <c r="A3622" t="s">
        <v>3914</v>
      </c>
      <c r="B3622" t="s">
        <v>3912</v>
      </c>
      <c r="C3622">
        <v>5</v>
      </c>
      <c r="D3622" s="6" t="s">
        <v>3894</v>
      </c>
      <c r="E3622" s="8" t="s">
        <v>4486</v>
      </c>
      <c r="F3622" s="6" t="s">
        <v>1425</v>
      </c>
      <c r="G3622">
        <v>16</v>
      </c>
      <c r="Q3622" t="s">
        <v>10503</v>
      </c>
    </row>
    <row r="3623" spans="1:17" x14ac:dyDescent="0.2">
      <c r="A3623" t="s">
        <v>3914</v>
      </c>
      <c r="B3623" t="s">
        <v>3912</v>
      </c>
      <c r="C3623">
        <v>5</v>
      </c>
      <c r="D3623" s="6" t="s">
        <v>3894</v>
      </c>
      <c r="E3623" s="8" t="s">
        <v>4487</v>
      </c>
      <c r="F3623" t="s">
        <v>9043</v>
      </c>
      <c r="G3623">
        <v>1</v>
      </c>
      <c r="P3623" t="s">
        <v>5999</v>
      </c>
      <c r="Q3623" t="s">
        <v>6173</v>
      </c>
    </row>
    <row r="3624" spans="1:17" x14ac:dyDescent="0.2">
      <c r="A3624" t="s">
        <v>3914</v>
      </c>
      <c r="B3624" t="s">
        <v>3912</v>
      </c>
      <c r="C3624">
        <v>5</v>
      </c>
      <c r="D3624" s="6" t="s">
        <v>3894</v>
      </c>
      <c r="E3624" s="8" t="s">
        <v>4488</v>
      </c>
      <c r="F3624" t="s">
        <v>9043</v>
      </c>
      <c r="G3624">
        <v>1</v>
      </c>
      <c r="O3624" t="s">
        <v>6169</v>
      </c>
      <c r="P3624" t="s">
        <v>5999</v>
      </c>
      <c r="Q3624" t="s">
        <v>6174</v>
      </c>
    </row>
    <row r="3625" spans="1:17" x14ac:dyDescent="0.2">
      <c r="A3625" t="s">
        <v>3914</v>
      </c>
      <c r="B3625" t="s">
        <v>3912</v>
      </c>
      <c r="C3625">
        <v>5</v>
      </c>
      <c r="D3625" s="6" t="s">
        <v>3894</v>
      </c>
      <c r="E3625" s="8" t="s">
        <v>4489</v>
      </c>
      <c r="F3625" s="6" t="s">
        <v>5930</v>
      </c>
      <c r="G3625">
        <v>1</v>
      </c>
      <c r="Q3625" t="s">
        <v>6175</v>
      </c>
    </row>
    <row r="3626" spans="1:17" x14ac:dyDescent="0.2">
      <c r="A3626" t="s">
        <v>3914</v>
      </c>
      <c r="B3626" t="s">
        <v>3912</v>
      </c>
      <c r="C3626">
        <v>5</v>
      </c>
      <c r="D3626" s="6" t="s">
        <v>3894</v>
      </c>
      <c r="E3626" s="8" t="s">
        <v>4490</v>
      </c>
      <c r="F3626" s="6" t="s">
        <v>5930</v>
      </c>
      <c r="G3626" t="s">
        <v>114</v>
      </c>
      <c r="Q3626" t="s">
        <v>6176</v>
      </c>
    </row>
    <row r="3627" spans="1:17" x14ac:dyDescent="0.2">
      <c r="A3627" t="s">
        <v>3914</v>
      </c>
      <c r="B3627" t="s">
        <v>3912</v>
      </c>
      <c r="C3627">
        <v>5</v>
      </c>
      <c r="D3627" s="6" t="s">
        <v>3894</v>
      </c>
      <c r="E3627" s="8" t="s">
        <v>4491</v>
      </c>
      <c r="F3627" s="6" t="s">
        <v>698</v>
      </c>
      <c r="G3627" t="s">
        <v>114</v>
      </c>
    </row>
    <row r="3628" spans="1:17" x14ac:dyDescent="0.2">
      <c r="A3628" t="s">
        <v>3914</v>
      </c>
      <c r="B3628" t="s">
        <v>3912</v>
      </c>
      <c r="C3628">
        <v>5</v>
      </c>
      <c r="D3628" s="6" t="s">
        <v>3894</v>
      </c>
      <c r="E3628" s="8" t="s">
        <v>4492</v>
      </c>
      <c r="F3628" s="6" t="s">
        <v>7000</v>
      </c>
      <c r="G3628">
        <v>19</v>
      </c>
      <c r="Q3628" t="s">
        <v>10511</v>
      </c>
    </row>
    <row r="3629" spans="1:17" x14ac:dyDescent="0.2">
      <c r="A3629" t="s">
        <v>3914</v>
      </c>
      <c r="B3629" t="s">
        <v>3912</v>
      </c>
      <c r="C3629">
        <v>5</v>
      </c>
      <c r="D3629" s="6" t="s">
        <v>3894</v>
      </c>
      <c r="E3629" s="8" t="s">
        <v>4493</v>
      </c>
      <c r="F3629" s="6" t="s">
        <v>1389</v>
      </c>
      <c r="G3629">
        <v>4</v>
      </c>
      <c r="Q3629" t="s">
        <v>10510</v>
      </c>
    </row>
    <row r="3630" spans="1:17" x14ac:dyDescent="0.2">
      <c r="A3630" t="s">
        <v>3914</v>
      </c>
      <c r="B3630" t="s">
        <v>3912</v>
      </c>
      <c r="C3630">
        <v>5</v>
      </c>
      <c r="D3630" s="6" t="s">
        <v>3894</v>
      </c>
      <c r="E3630" s="8" t="s">
        <v>4494</v>
      </c>
      <c r="F3630" s="6" t="s">
        <v>1389</v>
      </c>
      <c r="G3630" t="s">
        <v>114</v>
      </c>
      <c r="Q3630" t="s">
        <v>10509</v>
      </c>
    </row>
    <row r="3631" spans="1:17" x14ac:dyDescent="0.2">
      <c r="A3631" t="s">
        <v>3914</v>
      </c>
      <c r="B3631" t="s">
        <v>3912</v>
      </c>
      <c r="C3631">
        <v>5</v>
      </c>
      <c r="D3631" s="6" t="s">
        <v>3894</v>
      </c>
      <c r="E3631" s="8" t="s">
        <v>4495</v>
      </c>
      <c r="F3631" s="6" t="s">
        <v>1389</v>
      </c>
      <c r="G3631" t="s">
        <v>114</v>
      </c>
      <c r="M3631">
        <v>3</v>
      </c>
      <c r="O3631" t="s">
        <v>698</v>
      </c>
    </row>
    <row r="3632" spans="1:17" x14ac:dyDescent="0.2">
      <c r="A3632" t="s">
        <v>3914</v>
      </c>
      <c r="B3632" t="s">
        <v>3912</v>
      </c>
      <c r="C3632">
        <v>5</v>
      </c>
      <c r="D3632" s="6" t="s">
        <v>3894</v>
      </c>
      <c r="E3632" s="8" t="s">
        <v>4496</v>
      </c>
      <c r="F3632" s="6" t="s">
        <v>1559</v>
      </c>
      <c r="G3632">
        <v>1</v>
      </c>
      <c r="O3632" t="s">
        <v>6316</v>
      </c>
      <c r="Q3632" t="s">
        <v>10506</v>
      </c>
    </row>
    <row r="3633" spans="1:17" x14ac:dyDescent="0.2">
      <c r="A3633" t="s">
        <v>3914</v>
      </c>
      <c r="B3633" t="s">
        <v>3912</v>
      </c>
      <c r="C3633">
        <v>5</v>
      </c>
      <c r="D3633" s="6" t="s">
        <v>3894</v>
      </c>
      <c r="E3633" s="8" t="s">
        <v>4497</v>
      </c>
      <c r="F3633" s="6" t="s">
        <v>6359</v>
      </c>
      <c r="G3633">
        <v>1</v>
      </c>
      <c r="O3633" t="s">
        <v>6316</v>
      </c>
      <c r="Q3633" t="s">
        <v>10504</v>
      </c>
    </row>
    <row r="3634" spans="1:17" x14ac:dyDescent="0.2">
      <c r="A3634" t="s">
        <v>3914</v>
      </c>
      <c r="B3634" t="s">
        <v>3912</v>
      </c>
      <c r="C3634">
        <v>5</v>
      </c>
      <c r="D3634" s="6" t="s">
        <v>3894</v>
      </c>
      <c r="E3634" s="8" t="s">
        <v>4498</v>
      </c>
      <c r="F3634" s="6" t="s">
        <v>1559</v>
      </c>
      <c r="G3634">
        <v>2</v>
      </c>
      <c r="O3634" t="s">
        <v>6316</v>
      </c>
      <c r="Q3634" t="s">
        <v>10507</v>
      </c>
    </row>
    <row r="3635" spans="1:17" x14ac:dyDescent="0.2">
      <c r="A3635" t="s">
        <v>3914</v>
      </c>
      <c r="B3635" t="s">
        <v>3912</v>
      </c>
      <c r="C3635">
        <v>5</v>
      </c>
      <c r="D3635" s="6" t="s">
        <v>3894</v>
      </c>
      <c r="E3635" s="8" t="s">
        <v>4499</v>
      </c>
      <c r="F3635" s="6" t="s">
        <v>1559</v>
      </c>
      <c r="G3635" t="s">
        <v>114</v>
      </c>
      <c r="Q3635" t="s">
        <v>10508</v>
      </c>
    </row>
    <row r="3636" spans="1:17" x14ac:dyDescent="0.2">
      <c r="A3636" t="s">
        <v>3914</v>
      </c>
      <c r="B3636" t="s">
        <v>3912</v>
      </c>
      <c r="C3636">
        <v>5</v>
      </c>
      <c r="D3636" s="6" t="s">
        <v>3894</v>
      </c>
      <c r="E3636" s="8" t="s">
        <v>4500</v>
      </c>
      <c r="F3636" s="6" t="s">
        <v>1559</v>
      </c>
      <c r="G3636">
        <v>1</v>
      </c>
      <c r="O3636" t="s">
        <v>6316</v>
      </c>
      <c r="Q3636" t="s">
        <v>10505</v>
      </c>
    </row>
    <row r="3637" spans="1:17" x14ac:dyDescent="0.2">
      <c r="A3637" t="s">
        <v>3914</v>
      </c>
      <c r="B3637" t="s">
        <v>3912</v>
      </c>
      <c r="C3637">
        <v>5</v>
      </c>
      <c r="D3637" s="6" t="s">
        <v>3894</v>
      </c>
      <c r="E3637" s="8" t="s">
        <v>4501</v>
      </c>
      <c r="F3637" s="6" t="s">
        <v>6359</v>
      </c>
      <c r="G3637">
        <v>5</v>
      </c>
      <c r="M3637">
        <v>4</v>
      </c>
    </row>
    <row r="3638" spans="1:17" x14ac:dyDescent="0.2">
      <c r="A3638" t="s">
        <v>3914</v>
      </c>
      <c r="B3638" t="s">
        <v>3912</v>
      </c>
      <c r="C3638">
        <v>6</v>
      </c>
      <c r="D3638" s="6" t="s">
        <v>3894</v>
      </c>
      <c r="E3638" s="8" t="s">
        <v>4502</v>
      </c>
      <c r="F3638" s="6" t="s">
        <v>1264</v>
      </c>
      <c r="H3638">
        <f>7.9-0.323</f>
        <v>7.577</v>
      </c>
    </row>
    <row r="3639" spans="1:17" x14ac:dyDescent="0.2">
      <c r="A3639" t="s">
        <v>3914</v>
      </c>
      <c r="B3639" t="s">
        <v>3912</v>
      </c>
      <c r="C3639">
        <v>6</v>
      </c>
      <c r="D3639" s="6" t="s">
        <v>3894</v>
      </c>
      <c r="E3639" s="8" t="s">
        <v>4503</v>
      </c>
      <c r="F3639" s="6" t="s">
        <v>10513</v>
      </c>
      <c r="G3639">
        <v>16</v>
      </c>
      <c r="M3639">
        <v>5</v>
      </c>
      <c r="O3639" t="s">
        <v>3936</v>
      </c>
      <c r="Q3639" t="s">
        <v>10512</v>
      </c>
    </row>
    <row r="3640" spans="1:17" x14ac:dyDescent="0.2">
      <c r="A3640" t="s">
        <v>3914</v>
      </c>
      <c r="B3640" t="s">
        <v>3912</v>
      </c>
      <c r="C3640">
        <v>6</v>
      </c>
      <c r="D3640" s="6" t="s">
        <v>3894</v>
      </c>
      <c r="E3640" s="8" t="s">
        <v>4504</v>
      </c>
      <c r="F3640" s="6" t="s">
        <v>121</v>
      </c>
      <c r="G3640">
        <v>39</v>
      </c>
    </row>
    <row r="3641" spans="1:17" x14ac:dyDescent="0.2">
      <c r="A3641" t="s">
        <v>3914</v>
      </c>
      <c r="B3641" t="s">
        <v>3912</v>
      </c>
      <c r="C3641">
        <v>6</v>
      </c>
      <c r="D3641" s="6" t="s">
        <v>3894</v>
      </c>
      <c r="E3641" s="8" t="s">
        <v>4505</v>
      </c>
      <c r="F3641" s="6" t="s">
        <v>106</v>
      </c>
      <c r="G3641">
        <v>3</v>
      </c>
    </row>
    <row r="3642" spans="1:17" x14ac:dyDescent="0.2">
      <c r="A3642" t="s">
        <v>3914</v>
      </c>
      <c r="B3642" t="s">
        <v>3912</v>
      </c>
      <c r="C3642">
        <v>6</v>
      </c>
      <c r="D3642" s="6" t="s">
        <v>3894</v>
      </c>
      <c r="E3642" s="8" t="s">
        <v>4506</v>
      </c>
      <c r="F3642" s="6" t="s">
        <v>3931</v>
      </c>
      <c r="G3642">
        <v>5</v>
      </c>
      <c r="O3642" t="s">
        <v>3935</v>
      </c>
    </row>
    <row r="3643" spans="1:17" x14ac:dyDescent="0.2">
      <c r="A3643" t="s">
        <v>3914</v>
      </c>
      <c r="B3643" t="s">
        <v>3912</v>
      </c>
      <c r="C3643">
        <v>6</v>
      </c>
      <c r="D3643" s="6" t="s">
        <v>3894</v>
      </c>
      <c r="E3643" s="8" t="s">
        <v>4507</v>
      </c>
      <c r="F3643" s="6" t="s">
        <v>2789</v>
      </c>
      <c r="G3643">
        <v>5</v>
      </c>
      <c r="O3643" t="s">
        <v>3934</v>
      </c>
    </row>
    <row r="3644" spans="1:17" x14ac:dyDescent="0.2">
      <c r="A3644" t="s">
        <v>3914</v>
      </c>
      <c r="B3644" t="s">
        <v>3912</v>
      </c>
      <c r="C3644">
        <v>6</v>
      </c>
      <c r="D3644" s="6" t="s">
        <v>3894</v>
      </c>
      <c r="E3644" s="8" t="s">
        <v>4508</v>
      </c>
      <c r="F3644" s="6" t="s">
        <v>3932</v>
      </c>
      <c r="G3644">
        <v>313</v>
      </c>
      <c r="O3644" t="s">
        <v>3933</v>
      </c>
    </row>
    <row r="3645" spans="1:17" x14ac:dyDescent="0.2">
      <c r="A3645" t="s">
        <v>3914</v>
      </c>
      <c r="B3645" t="s">
        <v>3912</v>
      </c>
      <c r="C3645">
        <v>6</v>
      </c>
      <c r="D3645" s="6" t="s">
        <v>3894</v>
      </c>
      <c r="E3645" s="8" t="s">
        <v>4509</v>
      </c>
      <c r="F3645" t="s">
        <v>10524</v>
      </c>
      <c r="G3645">
        <v>23</v>
      </c>
      <c r="Q3645" t="s">
        <v>10523</v>
      </c>
    </row>
    <row r="3646" spans="1:17" x14ac:dyDescent="0.2">
      <c r="A3646" t="s">
        <v>3914</v>
      </c>
      <c r="B3646" t="s">
        <v>3912</v>
      </c>
      <c r="C3646">
        <v>6</v>
      </c>
      <c r="D3646" s="6" t="s">
        <v>3894</v>
      </c>
      <c r="E3646" s="8" t="s">
        <v>4510</v>
      </c>
      <c r="F3646" s="6" t="s">
        <v>1538</v>
      </c>
      <c r="G3646">
        <v>41</v>
      </c>
      <c r="Q3646" t="s">
        <v>10521</v>
      </c>
    </row>
    <row r="3647" spans="1:17" x14ac:dyDescent="0.2">
      <c r="A3647" t="s">
        <v>3914</v>
      </c>
      <c r="B3647" t="s">
        <v>3912</v>
      </c>
      <c r="C3647">
        <v>6</v>
      </c>
      <c r="D3647" s="6" t="s">
        <v>3894</v>
      </c>
      <c r="E3647" s="8" t="s">
        <v>4511</v>
      </c>
      <c r="F3647" s="6" t="s">
        <v>1538</v>
      </c>
      <c r="G3647">
        <v>16</v>
      </c>
      <c r="Q3647" t="s">
        <v>10520</v>
      </c>
    </row>
    <row r="3648" spans="1:17" x14ac:dyDescent="0.2">
      <c r="A3648" t="s">
        <v>3914</v>
      </c>
      <c r="B3648" t="s">
        <v>3912</v>
      </c>
      <c r="C3648">
        <v>6</v>
      </c>
      <c r="D3648" s="6" t="s">
        <v>3894</v>
      </c>
      <c r="E3648" s="8" t="s">
        <v>4512</v>
      </c>
      <c r="F3648" s="6" t="s">
        <v>1538</v>
      </c>
      <c r="G3648">
        <v>11</v>
      </c>
      <c r="Q3648" t="s">
        <v>10522</v>
      </c>
    </row>
    <row r="3649" spans="1:17" x14ac:dyDescent="0.2">
      <c r="A3649" t="s">
        <v>3914</v>
      </c>
      <c r="B3649" t="s">
        <v>3912</v>
      </c>
      <c r="C3649">
        <v>6</v>
      </c>
      <c r="D3649" s="6" t="s">
        <v>3894</v>
      </c>
      <c r="E3649" s="8" t="s">
        <v>4513</v>
      </c>
      <c r="F3649" s="6" t="s">
        <v>1538</v>
      </c>
      <c r="G3649">
        <v>6</v>
      </c>
      <c r="Q3649" t="s">
        <v>10525</v>
      </c>
    </row>
    <row r="3650" spans="1:17" x14ac:dyDescent="0.2">
      <c r="A3650" t="s">
        <v>3914</v>
      </c>
      <c r="B3650" t="s">
        <v>3912</v>
      </c>
      <c r="C3650">
        <v>6</v>
      </c>
      <c r="D3650" s="6" t="s">
        <v>3894</v>
      </c>
      <c r="E3650" s="8" t="s">
        <v>4514</v>
      </c>
      <c r="F3650" s="6" t="s">
        <v>1538</v>
      </c>
      <c r="G3650">
        <v>3</v>
      </c>
      <c r="Q3650" t="s">
        <v>10519</v>
      </c>
    </row>
    <row r="3651" spans="1:17" x14ac:dyDescent="0.2">
      <c r="A3651" t="s">
        <v>3914</v>
      </c>
      <c r="B3651" t="s">
        <v>3912</v>
      </c>
      <c r="C3651">
        <v>6</v>
      </c>
      <c r="D3651" s="6" t="s">
        <v>3894</v>
      </c>
      <c r="E3651" s="8" t="s">
        <v>4515</v>
      </c>
      <c r="F3651" s="6" t="s">
        <v>1538</v>
      </c>
      <c r="G3651">
        <v>63</v>
      </c>
      <c r="M3651">
        <v>4</v>
      </c>
    </row>
    <row r="3652" spans="1:17" x14ac:dyDescent="0.2">
      <c r="A3652" t="s">
        <v>3914</v>
      </c>
      <c r="B3652" t="s">
        <v>3912</v>
      </c>
      <c r="C3652">
        <v>6</v>
      </c>
      <c r="D3652" s="6" t="s">
        <v>3894</v>
      </c>
      <c r="E3652" s="8" t="s">
        <v>4516</v>
      </c>
      <c r="F3652" s="6" t="s">
        <v>1425</v>
      </c>
      <c r="G3652">
        <v>10</v>
      </c>
      <c r="Q3652" t="s">
        <v>10529</v>
      </c>
    </row>
    <row r="3653" spans="1:17" x14ac:dyDescent="0.2">
      <c r="A3653" t="s">
        <v>3914</v>
      </c>
      <c r="B3653" t="s">
        <v>3912</v>
      </c>
      <c r="C3653">
        <v>6</v>
      </c>
      <c r="D3653" s="6" t="s">
        <v>3894</v>
      </c>
      <c r="E3653" s="8" t="s">
        <v>4517</v>
      </c>
      <c r="F3653" s="6" t="s">
        <v>1425</v>
      </c>
      <c r="G3653">
        <v>4</v>
      </c>
      <c r="Q3653" t="s">
        <v>10530</v>
      </c>
    </row>
    <row r="3654" spans="1:17" x14ac:dyDescent="0.2">
      <c r="A3654" t="s">
        <v>3914</v>
      </c>
      <c r="B3654" t="s">
        <v>3912</v>
      </c>
      <c r="C3654">
        <v>6</v>
      </c>
      <c r="D3654" s="6" t="s">
        <v>3894</v>
      </c>
      <c r="E3654" s="8" t="s">
        <v>4518</v>
      </c>
      <c r="F3654" s="6" t="s">
        <v>1425</v>
      </c>
      <c r="G3654">
        <v>6</v>
      </c>
      <c r="Q3654" t="s">
        <v>10527</v>
      </c>
    </row>
    <row r="3655" spans="1:17" x14ac:dyDescent="0.2">
      <c r="A3655" t="s">
        <v>3914</v>
      </c>
      <c r="B3655" t="s">
        <v>3912</v>
      </c>
      <c r="C3655">
        <v>6</v>
      </c>
      <c r="D3655" s="6" t="s">
        <v>3894</v>
      </c>
      <c r="E3655" s="8" t="s">
        <v>4519</v>
      </c>
      <c r="F3655" s="6" t="s">
        <v>1425</v>
      </c>
      <c r="G3655">
        <v>5</v>
      </c>
      <c r="Q3655" t="s">
        <v>10526</v>
      </c>
    </row>
    <row r="3656" spans="1:17" x14ac:dyDescent="0.2">
      <c r="A3656" t="s">
        <v>3914</v>
      </c>
      <c r="B3656" t="s">
        <v>3912</v>
      </c>
      <c r="C3656">
        <v>6</v>
      </c>
      <c r="D3656" s="6" t="s">
        <v>3894</v>
      </c>
      <c r="E3656" s="8" t="s">
        <v>4520</v>
      </c>
      <c r="F3656" s="6" t="s">
        <v>1425</v>
      </c>
      <c r="G3656">
        <v>6</v>
      </c>
      <c r="Q3656" t="s">
        <v>10528</v>
      </c>
    </row>
    <row r="3657" spans="1:17" x14ac:dyDescent="0.2">
      <c r="A3657" t="s">
        <v>3914</v>
      </c>
      <c r="B3657" t="s">
        <v>3912</v>
      </c>
      <c r="C3657">
        <v>6</v>
      </c>
      <c r="D3657" s="6" t="s">
        <v>3894</v>
      </c>
      <c r="E3657" s="8" t="s">
        <v>4521</v>
      </c>
      <c r="F3657" s="6" t="s">
        <v>1425</v>
      </c>
      <c r="G3657">
        <v>29</v>
      </c>
      <c r="M3657">
        <v>5</v>
      </c>
    </row>
    <row r="3658" spans="1:17" x14ac:dyDescent="0.2">
      <c r="A3658" t="s">
        <v>3914</v>
      </c>
      <c r="B3658" t="s">
        <v>3912</v>
      </c>
      <c r="C3658">
        <v>6</v>
      </c>
      <c r="D3658" s="6" t="s">
        <v>3894</v>
      </c>
      <c r="E3658" s="8" t="s">
        <v>4522</v>
      </c>
      <c r="F3658" s="6" t="s">
        <v>1538</v>
      </c>
      <c r="G3658">
        <v>2</v>
      </c>
      <c r="Q3658" t="s">
        <v>10518</v>
      </c>
    </row>
    <row r="3659" spans="1:17" x14ac:dyDescent="0.2">
      <c r="A3659" t="s">
        <v>3914</v>
      </c>
      <c r="B3659" t="s">
        <v>3912</v>
      </c>
      <c r="C3659">
        <v>6</v>
      </c>
      <c r="D3659" s="6" t="s">
        <v>3894</v>
      </c>
      <c r="E3659" s="8" t="s">
        <v>4523</v>
      </c>
      <c r="F3659" s="6" t="s">
        <v>1538</v>
      </c>
      <c r="G3659" t="s">
        <v>114</v>
      </c>
      <c r="Q3659" t="s">
        <v>10517</v>
      </c>
    </row>
    <row r="3660" spans="1:17" x14ac:dyDescent="0.2">
      <c r="A3660" t="s">
        <v>3914</v>
      </c>
      <c r="B3660" t="s">
        <v>3912</v>
      </c>
      <c r="C3660">
        <v>6</v>
      </c>
      <c r="D3660" s="6" t="s">
        <v>3894</v>
      </c>
      <c r="E3660" s="8" t="s">
        <v>4524</v>
      </c>
      <c r="F3660" s="6" t="s">
        <v>1538</v>
      </c>
      <c r="G3660">
        <v>1</v>
      </c>
      <c r="Q3660" t="s">
        <v>10516</v>
      </c>
    </row>
    <row r="3661" spans="1:17" x14ac:dyDescent="0.2">
      <c r="A3661" t="s">
        <v>3914</v>
      </c>
      <c r="B3661" t="s">
        <v>3912</v>
      </c>
      <c r="C3661">
        <v>6</v>
      </c>
      <c r="D3661" s="6" t="s">
        <v>3894</v>
      </c>
      <c r="E3661" s="8" t="s">
        <v>4525</v>
      </c>
      <c r="F3661" s="6" t="s">
        <v>1538</v>
      </c>
      <c r="G3661">
        <v>1</v>
      </c>
      <c r="Q3661" t="s">
        <v>10515</v>
      </c>
    </row>
    <row r="3662" spans="1:17" x14ac:dyDescent="0.2">
      <c r="A3662" t="s">
        <v>3914</v>
      </c>
      <c r="B3662" t="s">
        <v>3912</v>
      </c>
      <c r="C3662">
        <v>6</v>
      </c>
      <c r="D3662" s="6" t="s">
        <v>3894</v>
      </c>
      <c r="E3662" s="8" t="s">
        <v>4526</v>
      </c>
      <c r="F3662" s="6" t="s">
        <v>1538</v>
      </c>
      <c r="G3662" t="s">
        <v>114</v>
      </c>
      <c r="Q3662" t="s">
        <v>10514</v>
      </c>
    </row>
    <row r="3663" spans="1:17" x14ac:dyDescent="0.2">
      <c r="A3663" t="s">
        <v>3914</v>
      </c>
      <c r="B3663" t="s">
        <v>3912</v>
      </c>
      <c r="C3663">
        <v>6</v>
      </c>
      <c r="D3663" s="6" t="s">
        <v>3894</v>
      </c>
      <c r="E3663" s="8" t="s">
        <v>4527</v>
      </c>
      <c r="F3663" s="6" t="s">
        <v>6239</v>
      </c>
      <c r="G3663">
        <v>1</v>
      </c>
      <c r="Q3663" t="s">
        <v>10535</v>
      </c>
    </row>
    <row r="3664" spans="1:17" x14ac:dyDescent="0.2">
      <c r="A3664" t="s">
        <v>3914</v>
      </c>
      <c r="B3664" t="s">
        <v>3912</v>
      </c>
      <c r="C3664">
        <v>6</v>
      </c>
      <c r="D3664" s="6" t="s">
        <v>3894</v>
      </c>
      <c r="E3664" s="8" t="s">
        <v>4528</v>
      </c>
      <c r="F3664" s="6" t="s">
        <v>6239</v>
      </c>
      <c r="G3664">
        <v>1</v>
      </c>
      <c r="Q3664" t="s">
        <v>10534</v>
      </c>
    </row>
    <row r="3665" spans="1:17" x14ac:dyDescent="0.2">
      <c r="A3665" t="s">
        <v>3914</v>
      </c>
      <c r="B3665" t="s">
        <v>3912</v>
      </c>
      <c r="C3665">
        <v>6</v>
      </c>
      <c r="D3665" s="6" t="s">
        <v>3894</v>
      </c>
      <c r="E3665" s="8" t="s">
        <v>4529</v>
      </c>
      <c r="F3665" s="6" t="s">
        <v>6239</v>
      </c>
      <c r="G3665">
        <v>1</v>
      </c>
      <c r="Q3665" t="s">
        <v>10533</v>
      </c>
    </row>
    <row r="3666" spans="1:17" x14ac:dyDescent="0.2">
      <c r="A3666" t="s">
        <v>3914</v>
      </c>
      <c r="B3666" t="s">
        <v>3912</v>
      </c>
      <c r="C3666">
        <v>6</v>
      </c>
      <c r="D3666" s="6" t="s">
        <v>3894</v>
      </c>
      <c r="E3666" s="8" t="s">
        <v>4530</v>
      </c>
      <c r="F3666" s="6" t="s">
        <v>6239</v>
      </c>
      <c r="G3666">
        <v>1</v>
      </c>
      <c r="Q3666" t="s">
        <v>10532</v>
      </c>
    </row>
    <row r="3667" spans="1:17" x14ac:dyDescent="0.2">
      <c r="A3667" t="s">
        <v>3914</v>
      </c>
      <c r="B3667" t="s">
        <v>3912</v>
      </c>
      <c r="C3667">
        <v>6</v>
      </c>
      <c r="D3667" s="6" t="s">
        <v>3894</v>
      </c>
      <c r="E3667" s="8" t="s">
        <v>4531</v>
      </c>
      <c r="F3667" s="6" t="s">
        <v>6239</v>
      </c>
      <c r="G3667" t="s">
        <v>114</v>
      </c>
      <c r="Q3667" t="s">
        <v>10531</v>
      </c>
    </row>
    <row r="3668" spans="1:17" x14ac:dyDescent="0.2">
      <c r="A3668" t="s">
        <v>3914</v>
      </c>
      <c r="B3668" t="s">
        <v>3912</v>
      </c>
      <c r="C3668">
        <v>6</v>
      </c>
      <c r="D3668" s="6" t="s">
        <v>3894</v>
      </c>
      <c r="E3668" t="s">
        <v>4532</v>
      </c>
      <c r="F3668" s="6" t="s">
        <v>3939</v>
      </c>
      <c r="G3668">
        <v>4</v>
      </c>
    </row>
    <row r="3669" spans="1:17" x14ac:dyDescent="0.2">
      <c r="A3669" t="s">
        <v>3914</v>
      </c>
      <c r="B3669" t="s">
        <v>3912</v>
      </c>
      <c r="C3669">
        <v>6</v>
      </c>
      <c r="D3669" s="6" t="s">
        <v>3894</v>
      </c>
      <c r="E3669" s="8" t="s">
        <v>4533</v>
      </c>
      <c r="F3669" s="6" t="s">
        <v>6231</v>
      </c>
      <c r="G3669">
        <v>22</v>
      </c>
      <c r="Q3669" t="s">
        <v>10469</v>
      </c>
    </row>
    <row r="3670" spans="1:17" x14ac:dyDescent="0.2">
      <c r="A3670" t="s">
        <v>3914</v>
      </c>
      <c r="B3670" t="s">
        <v>3912</v>
      </c>
      <c r="C3670">
        <v>6</v>
      </c>
      <c r="D3670" s="6" t="s">
        <v>3894</v>
      </c>
      <c r="E3670" s="8" t="s">
        <v>4534</v>
      </c>
      <c r="F3670" s="6" t="s">
        <v>6231</v>
      </c>
      <c r="G3670">
        <v>11</v>
      </c>
      <c r="Q3670" t="s">
        <v>10470</v>
      </c>
    </row>
    <row r="3671" spans="1:17" x14ac:dyDescent="0.2">
      <c r="A3671" t="s">
        <v>3914</v>
      </c>
      <c r="B3671" t="s">
        <v>3912</v>
      </c>
      <c r="C3671">
        <v>6</v>
      </c>
      <c r="D3671" s="6" t="s">
        <v>3894</v>
      </c>
      <c r="E3671" s="8" t="s">
        <v>4535</v>
      </c>
      <c r="F3671" s="6" t="s">
        <v>1425</v>
      </c>
      <c r="G3671">
        <v>2</v>
      </c>
      <c r="O3671" t="s">
        <v>3938</v>
      </c>
    </row>
    <row r="3672" spans="1:17" x14ac:dyDescent="0.2">
      <c r="A3672" t="s">
        <v>3914</v>
      </c>
      <c r="B3672" t="s">
        <v>3912</v>
      </c>
      <c r="C3672">
        <v>6</v>
      </c>
      <c r="D3672" s="6" t="s">
        <v>3894</v>
      </c>
      <c r="E3672" s="8" t="s">
        <v>4536</v>
      </c>
      <c r="F3672" s="6" t="s">
        <v>698</v>
      </c>
      <c r="G3672" t="s">
        <v>114</v>
      </c>
      <c r="M3672">
        <v>2</v>
      </c>
      <c r="Q3672" t="s">
        <v>10468</v>
      </c>
    </row>
    <row r="3673" spans="1:17" x14ac:dyDescent="0.2">
      <c r="A3673" t="s">
        <v>3914</v>
      </c>
      <c r="B3673" t="s">
        <v>3912</v>
      </c>
      <c r="C3673">
        <v>6</v>
      </c>
      <c r="D3673" s="6" t="s">
        <v>3894</v>
      </c>
      <c r="E3673" s="8" t="s">
        <v>4537</v>
      </c>
      <c r="F3673" s="6" t="s">
        <v>1389</v>
      </c>
      <c r="G3673">
        <v>17</v>
      </c>
      <c r="Q3673" t="s">
        <v>10463</v>
      </c>
    </row>
    <row r="3674" spans="1:17" x14ac:dyDescent="0.2">
      <c r="A3674" t="s">
        <v>3914</v>
      </c>
      <c r="B3674" t="s">
        <v>3912</v>
      </c>
      <c r="C3674">
        <v>6</v>
      </c>
      <c r="D3674" s="6" t="s">
        <v>3894</v>
      </c>
      <c r="E3674" s="8" t="s">
        <v>4538</v>
      </c>
      <c r="F3674" s="6" t="s">
        <v>1389</v>
      </c>
      <c r="G3674">
        <v>8</v>
      </c>
      <c r="Q3674" t="s">
        <v>10464</v>
      </c>
    </row>
    <row r="3675" spans="1:17" x14ac:dyDescent="0.2">
      <c r="A3675" t="s">
        <v>3914</v>
      </c>
      <c r="B3675" t="s">
        <v>3912</v>
      </c>
      <c r="C3675">
        <v>6</v>
      </c>
      <c r="D3675" s="6" t="s">
        <v>3894</v>
      </c>
      <c r="E3675" s="8" t="s">
        <v>4539</v>
      </c>
      <c r="F3675" s="6" t="s">
        <v>1389</v>
      </c>
      <c r="G3675">
        <v>1</v>
      </c>
      <c r="Q3675" t="s">
        <v>10465</v>
      </c>
    </row>
    <row r="3676" spans="1:17" x14ac:dyDescent="0.2">
      <c r="A3676" t="s">
        <v>3914</v>
      </c>
      <c r="B3676" t="s">
        <v>3912</v>
      </c>
      <c r="C3676">
        <v>6</v>
      </c>
      <c r="D3676" s="6" t="s">
        <v>3894</v>
      </c>
      <c r="E3676" s="8" t="s">
        <v>4540</v>
      </c>
      <c r="F3676" s="6" t="s">
        <v>7845</v>
      </c>
      <c r="G3676" t="s">
        <v>114</v>
      </c>
      <c r="Q3676" t="s">
        <v>10466</v>
      </c>
    </row>
    <row r="3677" spans="1:17" x14ac:dyDescent="0.2">
      <c r="A3677" t="s">
        <v>3914</v>
      </c>
      <c r="B3677" t="s">
        <v>3912</v>
      </c>
      <c r="C3677">
        <v>6</v>
      </c>
      <c r="D3677" s="6" t="s">
        <v>3894</v>
      </c>
      <c r="E3677" s="8" t="s">
        <v>4541</v>
      </c>
      <c r="F3677" s="6" t="s">
        <v>1389</v>
      </c>
      <c r="G3677" t="s">
        <v>114</v>
      </c>
      <c r="Q3677" t="s">
        <v>10467</v>
      </c>
    </row>
    <row r="3678" spans="1:17" x14ac:dyDescent="0.2">
      <c r="A3678" t="s">
        <v>3914</v>
      </c>
      <c r="B3678" t="s">
        <v>3912</v>
      </c>
      <c r="C3678">
        <v>6</v>
      </c>
      <c r="D3678" s="6" t="s">
        <v>3894</v>
      </c>
      <c r="E3678" s="8" t="s">
        <v>4542</v>
      </c>
      <c r="F3678" s="6" t="s">
        <v>1389</v>
      </c>
      <c r="G3678">
        <v>2</v>
      </c>
      <c r="M3678">
        <v>10</v>
      </c>
      <c r="O3678" t="s">
        <v>3922</v>
      </c>
    </row>
    <row r="3679" spans="1:17" x14ac:dyDescent="0.2">
      <c r="A3679" t="s">
        <v>3914</v>
      </c>
      <c r="B3679" t="s">
        <v>3912</v>
      </c>
      <c r="C3679">
        <v>6</v>
      </c>
      <c r="D3679" s="6" t="s">
        <v>3894</v>
      </c>
      <c r="E3679" t="s">
        <v>4532</v>
      </c>
      <c r="F3679" s="6" t="s">
        <v>1389</v>
      </c>
      <c r="G3679">
        <v>3</v>
      </c>
    </row>
    <row r="3680" spans="1:17" x14ac:dyDescent="0.2">
      <c r="A3680" t="s">
        <v>3914</v>
      </c>
      <c r="B3680" t="s">
        <v>3912</v>
      </c>
      <c r="C3680">
        <v>6</v>
      </c>
      <c r="D3680" s="6" t="s">
        <v>3894</v>
      </c>
      <c r="E3680" s="8" t="s">
        <v>4543</v>
      </c>
      <c r="F3680" s="6" t="s">
        <v>5995</v>
      </c>
      <c r="G3680">
        <v>3</v>
      </c>
      <c r="Q3680" t="s">
        <v>6160</v>
      </c>
    </row>
    <row r="3681" spans="1:17" x14ac:dyDescent="0.2">
      <c r="A3681" t="s">
        <v>3914</v>
      </c>
      <c r="B3681" t="s">
        <v>3912</v>
      </c>
      <c r="C3681">
        <v>6</v>
      </c>
      <c r="D3681" s="6" t="s">
        <v>3894</v>
      </c>
      <c r="E3681" s="8" t="s">
        <v>4544</v>
      </c>
      <c r="F3681" s="6" t="s">
        <v>5995</v>
      </c>
      <c r="G3681">
        <v>2</v>
      </c>
      <c r="Q3681" t="s">
        <v>6161</v>
      </c>
    </row>
    <row r="3682" spans="1:17" x14ac:dyDescent="0.2">
      <c r="A3682" t="s">
        <v>3914</v>
      </c>
      <c r="B3682" t="s">
        <v>3912</v>
      </c>
      <c r="C3682">
        <v>6</v>
      </c>
      <c r="D3682" s="6" t="s">
        <v>3894</v>
      </c>
      <c r="E3682" s="8" t="s">
        <v>4545</v>
      </c>
      <c r="F3682" s="6" t="s">
        <v>5995</v>
      </c>
      <c r="G3682">
        <v>1</v>
      </c>
      <c r="Q3682" t="s">
        <v>6162</v>
      </c>
    </row>
    <row r="3683" spans="1:17" x14ac:dyDescent="0.2">
      <c r="A3683" t="s">
        <v>3914</v>
      </c>
      <c r="B3683" t="s">
        <v>3912</v>
      </c>
      <c r="C3683">
        <v>6</v>
      </c>
      <c r="D3683" s="6" t="s">
        <v>3894</v>
      </c>
      <c r="E3683" s="8" t="s">
        <v>4546</v>
      </c>
      <c r="F3683" s="6" t="s">
        <v>5995</v>
      </c>
      <c r="G3683" t="s">
        <v>114</v>
      </c>
      <c r="Q3683" t="s">
        <v>6163</v>
      </c>
    </row>
    <row r="3684" spans="1:17" x14ac:dyDescent="0.2">
      <c r="A3684" t="s">
        <v>3914</v>
      </c>
      <c r="B3684" t="s">
        <v>3912</v>
      </c>
      <c r="C3684">
        <v>6</v>
      </c>
      <c r="D3684" s="6" t="s">
        <v>3894</v>
      </c>
      <c r="E3684" s="8" t="s">
        <v>4547</v>
      </c>
      <c r="F3684" s="6" t="s">
        <v>5995</v>
      </c>
      <c r="G3684" t="s">
        <v>114</v>
      </c>
      <c r="Q3684" t="s">
        <v>6164</v>
      </c>
    </row>
    <row r="3685" spans="1:17" x14ac:dyDescent="0.2">
      <c r="A3685" t="s">
        <v>3914</v>
      </c>
      <c r="B3685" t="s">
        <v>3912</v>
      </c>
      <c r="C3685">
        <v>6</v>
      </c>
      <c r="D3685" s="6" t="s">
        <v>3894</v>
      </c>
      <c r="E3685" s="8" t="s">
        <v>4548</v>
      </c>
      <c r="F3685" s="6" t="s">
        <v>5995</v>
      </c>
      <c r="G3685">
        <v>6</v>
      </c>
      <c r="M3685">
        <v>5</v>
      </c>
    </row>
    <row r="3686" spans="1:17" x14ac:dyDescent="0.2">
      <c r="A3686" t="s">
        <v>3914</v>
      </c>
      <c r="B3686" t="s">
        <v>3912</v>
      </c>
      <c r="C3686">
        <v>6</v>
      </c>
      <c r="D3686" s="6" t="s">
        <v>3894</v>
      </c>
      <c r="E3686" t="s">
        <v>4532</v>
      </c>
      <c r="F3686" s="6" t="s">
        <v>5995</v>
      </c>
      <c r="G3686">
        <v>8</v>
      </c>
    </row>
    <row r="3687" spans="1:17" x14ac:dyDescent="0.2">
      <c r="A3687" t="s">
        <v>3914</v>
      </c>
      <c r="B3687" t="s">
        <v>3912</v>
      </c>
      <c r="C3687">
        <v>1</v>
      </c>
      <c r="D3687" s="6" t="s">
        <v>3894</v>
      </c>
      <c r="E3687" t="s">
        <v>4549</v>
      </c>
      <c r="F3687" s="6" t="s">
        <v>998</v>
      </c>
      <c r="H3687">
        <f>2.7-0.427</f>
        <v>2.2730000000000001</v>
      </c>
      <c r="O3687" t="s">
        <v>875</v>
      </c>
    </row>
    <row r="3688" spans="1:17" x14ac:dyDescent="0.2">
      <c r="A3688" t="s">
        <v>3914</v>
      </c>
      <c r="B3688" t="s">
        <v>3912</v>
      </c>
      <c r="C3688">
        <v>1</v>
      </c>
      <c r="D3688" s="6" t="s">
        <v>3894</v>
      </c>
      <c r="E3688" t="s">
        <v>4549</v>
      </c>
      <c r="F3688" s="6" t="s">
        <v>1264</v>
      </c>
      <c r="H3688">
        <f>6.8-0.285+7.1-0.261</f>
        <v>13.353999999999999</v>
      </c>
    </row>
    <row r="3689" spans="1:17" x14ac:dyDescent="0.2">
      <c r="A3689" t="s">
        <v>3914</v>
      </c>
      <c r="B3689" t="s">
        <v>3912</v>
      </c>
      <c r="C3689">
        <v>1</v>
      </c>
      <c r="D3689" s="6" t="s">
        <v>3894</v>
      </c>
      <c r="E3689" s="8" t="s">
        <v>4550</v>
      </c>
      <c r="F3689" s="6" t="s">
        <v>112</v>
      </c>
      <c r="G3689">
        <v>141</v>
      </c>
    </row>
    <row r="3690" spans="1:17" x14ac:dyDescent="0.2">
      <c r="A3690" t="s">
        <v>3914</v>
      </c>
      <c r="B3690" t="s">
        <v>3912</v>
      </c>
      <c r="C3690">
        <v>1</v>
      </c>
      <c r="D3690" s="6" t="s">
        <v>3894</v>
      </c>
      <c r="E3690" s="8" t="s">
        <v>4551</v>
      </c>
      <c r="F3690" s="6" t="s">
        <v>3940</v>
      </c>
      <c r="G3690">
        <f>613-4</f>
        <v>609</v>
      </c>
    </row>
    <row r="3691" spans="1:17" x14ac:dyDescent="0.2">
      <c r="A3691" t="s">
        <v>3914</v>
      </c>
      <c r="B3691" t="s">
        <v>3912</v>
      </c>
      <c r="C3691">
        <v>1</v>
      </c>
      <c r="D3691" s="6" t="s">
        <v>3894</v>
      </c>
      <c r="E3691" s="8" t="s">
        <v>4552</v>
      </c>
      <c r="F3691" s="13" t="s">
        <v>6196</v>
      </c>
      <c r="G3691">
        <v>291</v>
      </c>
      <c r="K3691">
        <v>402</v>
      </c>
      <c r="Q3691" t="s">
        <v>6195</v>
      </c>
    </row>
    <row r="3692" spans="1:17" x14ac:dyDescent="0.2">
      <c r="A3692" t="s">
        <v>3914</v>
      </c>
      <c r="B3692" t="s">
        <v>3912</v>
      </c>
      <c r="C3692">
        <v>1</v>
      </c>
      <c r="D3692" s="6" t="s">
        <v>3894</v>
      </c>
      <c r="E3692" t="s">
        <v>4549</v>
      </c>
      <c r="F3692" s="6" t="s">
        <v>3941</v>
      </c>
      <c r="G3692">
        <v>214</v>
      </c>
    </row>
    <row r="3693" spans="1:17" x14ac:dyDescent="0.2">
      <c r="A3693" t="s">
        <v>3915</v>
      </c>
      <c r="B3693" t="s">
        <v>3916</v>
      </c>
      <c r="C3693">
        <v>2</v>
      </c>
      <c r="D3693" s="6" t="s">
        <v>3942</v>
      </c>
      <c r="E3693" s="8" t="s">
        <v>4553</v>
      </c>
      <c r="F3693" s="6" t="s">
        <v>1264</v>
      </c>
      <c r="H3693">
        <f>4.7-0.345+3.4-0.295</f>
        <v>7.4600000000000009</v>
      </c>
      <c r="O3693" t="s">
        <v>3947</v>
      </c>
    </row>
    <row r="3694" spans="1:17" x14ac:dyDescent="0.2">
      <c r="A3694" t="s">
        <v>3915</v>
      </c>
      <c r="B3694" t="s">
        <v>3916</v>
      </c>
      <c r="C3694">
        <v>2</v>
      </c>
      <c r="D3694" s="6" t="s">
        <v>3942</v>
      </c>
      <c r="E3694" s="8" t="s">
        <v>4554</v>
      </c>
      <c r="F3694" s="6" t="s">
        <v>5936</v>
      </c>
      <c r="G3694" t="s">
        <v>114</v>
      </c>
      <c r="O3694" t="s">
        <v>6169</v>
      </c>
      <c r="Q3694" t="s">
        <v>6177</v>
      </c>
    </row>
    <row r="3695" spans="1:17" x14ac:dyDescent="0.2">
      <c r="A3695" t="s">
        <v>3915</v>
      </c>
      <c r="B3695" t="s">
        <v>3916</v>
      </c>
      <c r="C3695">
        <v>2</v>
      </c>
      <c r="D3695" s="6" t="s">
        <v>3942</v>
      </c>
      <c r="E3695" s="8" t="s">
        <v>4555</v>
      </c>
      <c r="F3695" s="6" t="s">
        <v>10550</v>
      </c>
      <c r="G3695">
        <v>16</v>
      </c>
      <c r="O3695" t="s">
        <v>6244</v>
      </c>
      <c r="Q3695" t="s">
        <v>10551</v>
      </c>
    </row>
    <row r="3696" spans="1:17" x14ac:dyDescent="0.2">
      <c r="A3696" t="s">
        <v>3915</v>
      </c>
      <c r="B3696" t="s">
        <v>3916</v>
      </c>
      <c r="C3696">
        <v>2</v>
      </c>
      <c r="D3696" s="6" t="s">
        <v>3942</v>
      </c>
      <c r="E3696" s="8" t="s">
        <v>4556</v>
      </c>
      <c r="F3696" s="6" t="s">
        <v>7337</v>
      </c>
      <c r="G3696">
        <v>84</v>
      </c>
      <c r="Q3696" t="s">
        <v>10552</v>
      </c>
    </row>
    <row r="3697" spans="1:17" x14ac:dyDescent="0.2">
      <c r="A3697" t="s">
        <v>3915</v>
      </c>
      <c r="B3697" t="s">
        <v>3916</v>
      </c>
      <c r="C3697">
        <v>2</v>
      </c>
      <c r="D3697" s="6" t="s">
        <v>3942</v>
      </c>
      <c r="E3697" s="8" t="s">
        <v>4557</v>
      </c>
      <c r="F3697" t="s">
        <v>5930</v>
      </c>
      <c r="G3697">
        <v>2</v>
      </c>
      <c r="P3697" t="s">
        <v>6178</v>
      </c>
      <c r="Q3697" t="s">
        <v>6181</v>
      </c>
    </row>
    <row r="3698" spans="1:17" x14ac:dyDescent="0.2">
      <c r="A3698" t="s">
        <v>3915</v>
      </c>
      <c r="B3698" t="s">
        <v>3916</v>
      </c>
      <c r="C3698">
        <v>2</v>
      </c>
      <c r="D3698" s="6" t="s">
        <v>3942</v>
      </c>
      <c r="E3698" s="8" t="s">
        <v>4558</v>
      </c>
      <c r="F3698" s="6" t="s">
        <v>5930</v>
      </c>
      <c r="G3698">
        <v>4</v>
      </c>
      <c r="Q3698" t="s">
        <v>6180</v>
      </c>
    </row>
    <row r="3699" spans="1:17" x14ac:dyDescent="0.2">
      <c r="A3699" t="s">
        <v>3915</v>
      </c>
      <c r="B3699" t="s">
        <v>3916</v>
      </c>
      <c r="C3699">
        <v>2</v>
      </c>
      <c r="D3699" s="6" t="s">
        <v>3942</v>
      </c>
      <c r="E3699" s="8" t="s">
        <v>4559</v>
      </c>
      <c r="F3699" s="6" t="s">
        <v>1311</v>
      </c>
      <c r="G3699">
        <v>3</v>
      </c>
      <c r="Q3699" t="s">
        <v>10553</v>
      </c>
    </row>
    <row r="3700" spans="1:17" x14ac:dyDescent="0.2">
      <c r="A3700" t="s">
        <v>3915</v>
      </c>
      <c r="B3700" t="s">
        <v>3916</v>
      </c>
      <c r="C3700">
        <v>2</v>
      </c>
      <c r="D3700" s="6" t="s">
        <v>3942</v>
      </c>
      <c r="E3700" s="8" t="s">
        <v>4560</v>
      </c>
      <c r="F3700" s="6" t="s">
        <v>6359</v>
      </c>
      <c r="G3700">
        <v>2</v>
      </c>
      <c r="O3700" t="s">
        <v>6315</v>
      </c>
      <c r="Q3700" t="s">
        <v>10557</v>
      </c>
    </row>
    <row r="3701" spans="1:17" x14ac:dyDescent="0.2">
      <c r="A3701" t="s">
        <v>3915</v>
      </c>
      <c r="B3701" t="s">
        <v>3916</v>
      </c>
      <c r="C3701">
        <v>2</v>
      </c>
      <c r="D3701" s="6" t="s">
        <v>3942</v>
      </c>
      <c r="E3701" s="8" t="s">
        <v>4561</v>
      </c>
      <c r="F3701" s="6" t="s">
        <v>1311</v>
      </c>
      <c r="G3701">
        <v>4</v>
      </c>
      <c r="Q3701" t="s">
        <v>10556</v>
      </c>
    </row>
    <row r="3702" spans="1:17" x14ac:dyDescent="0.2">
      <c r="A3702" t="s">
        <v>3915</v>
      </c>
      <c r="B3702" t="s">
        <v>3916</v>
      </c>
      <c r="C3702">
        <v>2</v>
      </c>
      <c r="D3702" s="6" t="s">
        <v>3942</v>
      </c>
      <c r="E3702" s="8" t="s">
        <v>4562</v>
      </c>
      <c r="F3702" s="6" t="s">
        <v>1311</v>
      </c>
      <c r="G3702">
        <v>4</v>
      </c>
      <c r="Q3702" t="s">
        <v>10555</v>
      </c>
    </row>
    <row r="3703" spans="1:17" x14ac:dyDescent="0.2">
      <c r="A3703" t="s">
        <v>3915</v>
      </c>
      <c r="B3703" t="s">
        <v>3916</v>
      </c>
      <c r="C3703">
        <v>2</v>
      </c>
      <c r="D3703" s="6" t="s">
        <v>3942</v>
      </c>
      <c r="E3703" s="8" t="s">
        <v>4563</v>
      </c>
      <c r="F3703" s="6" t="s">
        <v>1311</v>
      </c>
      <c r="G3703">
        <v>5</v>
      </c>
      <c r="Q3703" t="s">
        <v>10554</v>
      </c>
    </row>
    <row r="3704" spans="1:17" x14ac:dyDescent="0.2">
      <c r="A3704" t="s">
        <v>3915</v>
      </c>
      <c r="B3704" t="s">
        <v>3916</v>
      </c>
      <c r="C3704">
        <v>2</v>
      </c>
      <c r="D3704" s="6" t="s">
        <v>3942</v>
      </c>
      <c r="E3704" s="8" t="s">
        <v>4564</v>
      </c>
      <c r="F3704" s="6" t="s">
        <v>1311</v>
      </c>
      <c r="G3704">
        <v>20</v>
      </c>
      <c r="M3704">
        <v>5</v>
      </c>
    </row>
    <row r="3705" spans="1:17" x14ac:dyDescent="0.2">
      <c r="A3705" t="s">
        <v>3915</v>
      </c>
      <c r="B3705" t="s">
        <v>3916</v>
      </c>
      <c r="C3705">
        <v>2</v>
      </c>
      <c r="D3705" s="6" t="s">
        <v>3942</v>
      </c>
      <c r="E3705" t="s">
        <v>4565</v>
      </c>
      <c r="F3705" s="6" t="s">
        <v>1311</v>
      </c>
      <c r="G3705">
        <v>13</v>
      </c>
    </row>
    <row r="3706" spans="1:17" x14ac:dyDescent="0.2">
      <c r="A3706" t="s">
        <v>3915</v>
      </c>
      <c r="B3706" t="s">
        <v>3916</v>
      </c>
      <c r="C3706">
        <v>2</v>
      </c>
      <c r="D3706" s="6" t="s">
        <v>3942</v>
      </c>
      <c r="E3706" s="8" t="s">
        <v>4566</v>
      </c>
      <c r="F3706" s="6" t="s">
        <v>1425</v>
      </c>
      <c r="G3706">
        <v>15</v>
      </c>
      <c r="Q3706" t="s">
        <v>10558</v>
      </c>
    </row>
    <row r="3707" spans="1:17" x14ac:dyDescent="0.2">
      <c r="A3707" t="s">
        <v>3915</v>
      </c>
      <c r="B3707" t="s">
        <v>3916</v>
      </c>
      <c r="C3707">
        <v>2</v>
      </c>
      <c r="D3707" s="6" t="s">
        <v>3942</v>
      </c>
      <c r="E3707" s="8" t="s">
        <v>4567</v>
      </c>
      <c r="F3707" t="s">
        <v>5946</v>
      </c>
      <c r="G3707">
        <v>34</v>
      </c>
      <c r="P3707" t="s">
        <v>6178</v>
      </c>
      <c r="Q3707" t="s">
        <v>6179</v>
      </c>
    </row>
    <row r="3708" spans="1:17" x14ac:dyDescent="0.2">
      <c r="A3708" t="s">
        <v>3915</v>
      </c>
      <c r="B3708" t="s">
        <v>3916</v>
      </c>
      <c r="C3708">
        <v>2</v>
      </c>
      <c r="D3708" s="6" t="s">
        <v>3942</v>
      </c>
      <c r="E3708" s="8" t="s">
        <v>4568</v>
      </c>
      <c r="F3708" s="6" t="s">
        <v>665</v>
      </c>
      <c r="G3708">
        <f>77+51</f>
        <v>128</v>
      </c>
      <c r="M3708">
        <v>21</v>
      </c>
      <c r="O3708" t="s">
        <v>10560</v>
      </c>
      <c r="Q3708" t="s">
        <v>10559</v>
      </c>
    </row>
    <row r="3709" spans="1:17" x14ac:dyDescent="0.2">
      <c r="A3709" t="s">
        <v>3915</v>
      </c>
      <c r="B3709" t="s">
        <v>3916</v>
      </c>
      <c r="C3709">
        <v>2</v>
      </c>
      <c r="D3709" s="6" t="s">
        <v>3942</v>
      </c>
      <c r="E3709" s="8" t="s">
        <v>4569</v>
      </c>
      <c r="F3709" s="6" t="s">
        <v>106</v>
      </c>
      <c r="G3709">
        <v>3</v>
      </c>
    </row>
    <row r="3710" spans="1:17" x14ac:dyDescent="0.2">
      <c r="A3710" t="s">
        <v>3915</v>
      </c>
      <c r="B3710" t="s">
        <v>3916</v>
      </c>
      <c r="C3710">
        <v>2</v>
      </c>
      <c r="D3710" s="6" t="s">
        <v>3942</v>
      </c>
      <c r="E3710" s="8" t="s">
        <v>4570</v>
      </c>
      <c r="F3710" s="6" t="s">
        <v>121</v>
      </c>
      <c r="G3710">
        <v>32</v>
      </c>
    </row>
    <row r="3711" spans="1:17" x14ac:dyDescent="0.2">
      <c r="A3711" t="s">
        <v>3915</v>
      </c>
      <c r="B3711" t="s">
        <v>3916</v>
      </c>
      <c r="C3711">
        <v>2</v>
      </c>
      <c r="D3711" s="6" t="s">
        <v>3942</v>
      </c>
      <c r="E3711" s="8" t="s">
        <v>4571</v>
      </c>
      <c r="F3711" s="6" t="s">
        <v>810</v>
      </c>
      <c r="G3711">
        <v>4</v>
      </c>
    </row>
    <row r="3712" spans="1:17" x14ac:dyDescent="0.2">
      <c r="A3712" t="s">
        <v>3915</v>
      </c>
      <c r="B3712" t="s">
        <v>3916</v>
      </c>
      <c r="C3712">
        <v>2</v>
      </c>
      <c r="D3712" s="6" t="s">
        <v>3942</v>
      </c>
      <c r="E3712" s="8" t="s">
        <v>4572</v>
      </c>
      <c r="F3712" s="6" t="s">
        <v>3945</v>
      </c>
      <c r="G3712">
        <v>3</v>
      </c>
    </row>
    <row r="3713" spans="1:17" x14ac:dyDescent="0.2">
      <c r="A3713" t="s">
        <v>3915</v>
      </c>
      <c r="B3713" t="s">
        <v>3916</v>
      </c>
      <c r="C3713">
        <v>2</v>
      </c>
      <c r="D3713" s="6" t="s">
        <v>3942</v>
      </c>
      <c r="E3713" t="s">
        <v>4565</v>
      </c>
      <c r="F3713" s="6" t="s">
        <v>3946</v>
      </c>
      <c r="G3713">
        <v>118</v>
      </c>
      <c r="O3713" t="s">
        <v>3948</v>
      </c>
    </row>
    <row r="3714" spans="1:17" x14ac:dyDescent="0.2">
      <c r="A3714" t="s">
        <v>3915</v>
      </c>
      <c r="B3714" t="s">
        <v>3916</v>
      </c>
      <c r="C3714">
        <v>2</v>
      </c>
      <c r="D3714" s="6" t="s">
        <v>3942</v>
      </c>
      <c r="E3714" s="8" t="s">
        <v>4573</v>
      </c>
      <c r="F3714" s="6" t="s">
        <v>8498</v>
      </c>
      <c r="G3714">
        <v>67</v>
      </c>
      <c r="Q3714" t="s">
        <v>10566</v>
      </c>
    </row>
    <row r="3715" spans="1:17" x14ac:dyDescent="0.2">
      <c r="A3715" t="s">
        <v>3915</v>
      </c>
      <c r="B3715" t="s">
        <v>3916</v>
      </c>
      <c r="C3715">
        <v>2</v>
      </c>
      <c r="D3715" s="6" t="s">
        <v>3942</v>
      </c>
      <c r="E3715" s="8" t="s">
        <v>4574</v>
      </c>
      <c r="F3715" s="6" t="s">
        <v>8498</v>
      </c>
      <c r="G3715">
        <v>37</v>
      </c>
      <c r="Q3715" t="s">
        <v>10561</v>
      </c>
    </row>
    <row r="3716" spans="1:17" x14ac:dyDescent="0.2">
      <c r="A3716" t="s">
        <v>3915</v>
      </c>
      <c r="B3716" t="s">
        <v>3916</v>
      </c>
      <c r="C3716">
        <v>2</v>
      </c>
      <c r="D3716" s="6" t="s">
        <v>3942</v>
      </c>
      <c r="E3716" s="8" t="s">
        <v>4575</v>
      </c>
      <c r="F3716" s="6" t="s">
        <v>1538</v>
      </c>
      <c r="G3716">
        <v>4</v>
      </c>
      <c r="Q3716" t="s">
        <v>10562</v>
      </c>
    </row>
    <row r="3717" spans="1:17" x14ac:dyDescent="0.2">
      <c r="A3717" t="s">
        <v>3915</v>
      </c>
      <c r="B3717" t="s">
        <v>3916</v>
      </c>
      <c r="C3717">
        <v>2</v>
      </c>
      <c r="D3717" s="6" t="s">
        <v>3942</v>
      </c>
      <c r="E3717" s="8" t="s">
        <v>4576</v>
      </c>
      <c r="F3717" s="6" t="s">
        <v>8498</v>
      </c>
      <c r="G3717">
        <v>17</v>
      </c>
      <c r="Q3717" t="s">
        <v>10563</v>
      </c>
    </row>
    <row r="3718" spans="1:17" x14ac:dyDescent="0.2">
      <c r="A3718" t="s">
        <v>3915</v>
      </c>
      <c r="B3718" t="s">
        <v>3916</v>
      </c>
      <c r="C3718">
        <v>2</v>
      </c>
      <c r="D3718" s="6" t="s">
        <v>3942</v>
      </c>
      <c r="E3718" s="8" t="s">
        <v>4577</v>
      </c>
      <c r="F3718" s="6" t="s">
        <v>8498</v>
      </c>
      <c r="G3718">
        <v>28</v>
      </c>
      <c r="Q3718" t="s">
        <v>10564</v>
      </c>
    </row>
    <row r="3719" spans="1:17" x14ac:dyDescent="0.2">
      <c r="A3719" t="s">
        <v>3915</v>
      </c>
      <c r="B3719" t="s">
        <v>3916</v>
      </c>
      <c r="C3719">
        <v>2</v>
      </c>
      <c r="D3719" s="6" t="s">
        <v>3942</v>
      </c>
      <c r="E3719" s="8" t="s">
        <v>4578</v>
      </c>
      <c r="F3719" s="6" t="s">
        <v>8498</v>
      </c>
      <c r="G3719">
        <v>32</v>
      </c>
      <c r="Q3719" t="s">
        <v>10565</v>
      </c>
    </row>
    <row r="3720" spans="1:17" x14ac:dyDescent="0.2">
      <c r="A3720" t="s">
        <v>3915</v>
      </c>
      <c r="B3720" t="s">
        <v>3916</v>
      </c>
      <c r="C3720">
        <v>2</v>
      </c>
      <c r="D3720" s="6" t="s">
        <v>3942</v>
      </c>
      <c r="E3720" s="8" t="s">
        <v>4579</v>
      </c>
      <c r="F3720" s="6" t="s">
        <v>1538</v>
      </c>
      <c r="G3720">
        <v>4</v>
      </c>
      <c r="Q3720" t="s">
        <v>10567</v>
      </c>
    </row>
    <row r="3721" spans="1:17" x14ac:dyDescent="0.2">
      <c r="A3721" t="s">
        <v>3915</v>
      </c>
      <c r="B3721" t="s">
        <v>3916</v>
      </c>
      <c r="C3721">
        <v>2</v>
      </c>
      <c r="D3721" s="6" t="s">
        <v>3942</v>
      </c>
      <c r="E3721" s="8" t="s">
        <v>4580</v>
      </c>
      <c r="F3721" s="6" t="s">
        <v>1538</v>
      </c>
      <c r="G3721">
        <v>5</v>
      </c>
      <c r="Q3721" t="s">
        <v>10568</v>
      </c>
    </row>
    <row r="3722" spans="1:17" x14ac:dyDescent="0.2">
      <c r="A3722" t="s">
        <v>3915</v>
      </c>
      <c r="B3722" t="s">
        <v>3916</v>
      </c>
      <c r="C3722">
        <v>2</v>
      </c>
      <c r="D3722" s="6" t="s">
        <v>3942</v>
      </c>
      <c r="E3722" s="8" t="s">
        <v>4581</v>
      </c>
      <c r="F3722" s="6" t="s">
        <v>1538</v>
      </c>
      <c r="G3722">
        <v>2</v>
      </c>
      <c r="Q3722" t="s">
        <v>10571</v>
      </c>
    </row>
    <row r="3723" spans="1:17" x14ac:dyDescent="0.2">
      <c r="A3723" t="s">
        <v>3915</v>
      </c>
      <c r="B3723" t="s">
        <v>3916</v>
      </c>
      <c r="C3723">
        <v>2</v>
      </c>
      <c r="D3723" s="6" t="s">
        <v>3942</v>
      </c>
      <c r="E3723" s="8" t="s">
        <v>4582</v>
      </c>
      <c r="F3723" s="6" t="s">
        <v>1538</v>
      </c>
      <c r="G3723" t="s">
        <v>114</v>
      </c>
      <c r="Q3723" t="s">
        <v>10569</v>
      </c>
    </row>
    <row r="3724" spans="1:17" x14ac:dyDescent="0.2">
      <c r="A3724" t="s">
        <v>3915</v>
      </c>
      <c r="B3724" t="s">
        <v>3916</v>
      </c>
      <c r="C3724">
        <v>2</v>
      </c>
      <c r="D3724" s="6" t="s">
        <v>3942</v>
      </c>
      <c r="E3724" s="8" t="s">
        <v>4583</v>
      </c>
      <c r="F3724" s="6" t="s">
        <v>1538</v>
      </c>
      <c r="G3724" t="s">
        <v>114</v>
      </c>
      <c r="Q3724" t="s">
        <v>10570</v>
      </c>
    </row>
    <row r="3725" spans="1:17" x14ac:dyDescent="0.2">
      <c r="A3725" t="s">
        <v>3915</v>
      </c>
      <c r="B3725" t="s">
        <v>3916</v>
      </c>
      <c r="C3725">
        <v>2</v>
      </c>
      <c r="D3725" s="6" t="s">
        <v>3942</v>
      </c>
      <c r="E3725" s="8" t="s">
        <v>4584</v>
      </c>
      <c r="F3725" s="6" t="s">
        <v>1425</v>
      </c>
      <c r="G3725">
        <v>4</v>
      </c>
      <c r="Q3725" t="s">
        <v>10577</v>
      </c>
    </row>
    <row r="3726" spans="1:17" x14ac:dyDescent="0.2">
      <c r="A3726" t="s">
        <v>3915</v>
      </c>
      <c r="B3726" t="s">
        <v>3916</v>
      </c>
      <c r="C3726">
        <v>2</v>
      </c>
      <c r="D3726" s="6" t="s">
        <v>3942</v>
      </c>
      <c r="E3726" s="8" t="s">
        <v>4585</v>
      </c>
      <c r="F3726" s="6" t="s">
        <v>1389</v>
      </c>
      <c r="G3726" t="s">
        <v>114</v>
      </c>
      <c r="Q3726" t="s">
        <v>10578</v>
      </c>
    </row>
    <row r="3727" spans="1:17" x14ac:dyDescent="0.2">
      <c r="A3727" t="s">
        <v>3915</v>
      </c>
      <c r="B3727" t="s">
        <v>3916</v>
      </c>
      <c r="C3727">
        <v>2</v>
      </c>
      <c r="D3727" s="6" t="s">
        <v>3942</v>
      </c>
      <c r="E3727" s="8" t="s">
        <v>4586</v>
      </c>
      <c r="F3727" s="6" t="s">
        <v>6250</v>
      </c>
      <c r="G3727">
        <v>6</v>
      </c>
      <c r="O3727" t="s">
        <v>6316</v>
      </c>
      <c r="Q3727" t="s">
        <v>10572</v>
      </c>
    </row>
    <row r="3728" spans="1:17" x14ac:dyDescent="0.2">
      <c r="A3728" t="s">
        <v>3915</v>
      </c>
      <c r="B3728" t="s">
        <v>3916</v>
      </c>
      <c r="C3728">
        <v>2</v>
      </c>
      <c r="D3728" s="6" t="s">
        <v>3942</v>
      </c>
      <c r="E3728" s="8" t="s">
        <v>4587</v>
      </c>
      <c r="F3728" s="6" t="s">
        <v>6250</v>
      </c>
      <c r="G3728">
        <v>5</v>
      </c>
      <c r="O3728" t="s">
        <v>6316</v>
      </c>
      <c r="Q3728" t="s">
        <v>10573</v>
      </c>
    </row>
    <row r="3729" spans="1:17" x14ac:dyDescent="0.2">
      <c r="A3729" t="s">
        <v>3915</v>
      </c>
      <c r="B3729" t="s">
        <v>3916</v>
      </c>
      <c r="C3729">
        <v>2</v>
      </c>
      <c r="D3729" s="6" t="s">
        <v>3942</v>
      </c>
      <c r="E3729" s="8" t="s">
        <v>4588</v>
      </c>
      <c r="F3729" s="6" t="s">
        <v>6250</v>
      </c>
      <c r="G3729">
        <v>5</v>
      </c>
      <c r="O3729" t="s">
        <v>6316</v>
      </c>
      <c r="Q3729" t="s">
        <v>10574</v>
      </c>
    </row>
    <row r="3730" spans="1:17" x14ac:dyDescent="0.2">
      <c r="A3730" t="s">
        <v>3915</v>
      </c>
      <c r="B3730" t="s">
        <v>3916</v>
      </c>
      <c r="C3730">
        <v>2</v>
      </c>
      <c r="D3730" s="6" t="s">
        <v>3942</v>
      </c>
      <c r="E3730" s="8" t="s">
        <v>4589</v>
      </c>
      <c r="F3730" s="6" t="s">
        <v>6250</v>
      </c>
      <c r="G3730">
        <v>6</v>
      </c>
      <c r="O3730" t="s">
        <v>6316</v>
      </c>
      <c r="Q3730" t="s">
        <v>10575</v>
      </c>
    </row>
    <row r="3731" spans="1:17" x14ac:dyDescent="0.2">
      <c r="A3731" t="s">
        <v>3915</v>
      </c>
      <c r="B3731" t="s">
        <v>3916</v>
      </c>
      <c r="C3731">
        <v>2</v>
      </c>
      <c r="D3731" s="6" t="s">
        <v>3942</v>
      </c>
      <c r="E3731" s="8" t="s">
        <v>4590</v>
      </c>
      <c r="F3731" s="6" t="s">
        <v>1389</v>
      </c>
      <c r="G3731">
        <v>6</v>
      </c>
      <c r="Q3731" t="s">
        <v>10576</v>
      </c>
    </row>
    <row r="3732" spans="1:17" x14ac:dyDescent="0.2">
      <c r="A3732" t="s">
        <v>3915</v>
      </c>
      <c r="B3732" t="s">
        <v>3916</v>
      </c>
      <c r="C3732">
        <v>2</v>
      </c>
      <c r="D3732" s="6" t="s">
        <v>3942</v>
      </c>
      <c r="E3732" s="8" t="s">
        <v>4591</v>
      </c>
      <c r="F3732" s="6" t="s">
        <v>1389</v>
      </c>
      <c r="G3732">
        <v>25</v>
      </c>
      <c r="M3732">
        <v>4</v>
      </c>
    </row>
    <row r="3733" spans="1:17" x14ac:dyDescent="0.2">
      <c r="A3733" t="s">
        <v>3915</v>
      </c>
      <c r="B3733" t="s">
        <v>3916</v>
      </c>
      <c r="C3733">
        <v>3</v>
      </c>
      <c r="D3733" s="6" t="s">
        <v>3942</v>
      </c>
      <c r="E3733" s="8" t="s">
        <v>4592</v>
      </c>
      <c r="F3733" s="6" t="s">
        <v>8498</v>
      </c>
      <c r="G3733">
        <v>34</v>
      </c>
      <c r="Q3733" t="s">
        <v>10586</v>
      </c>
    </row>
    <row r="3734" spans="1:17" x14ac:dyDescent="0.2">
      <c r="A3734" t="s">
        <v>3915</v>
      </c>
      <c r="B3734" t="s">
        <v>3916</v>
      </c>
      <c r="C3734">
        <v>3</v>
      </c>
      <c r="D3734" s="6" t="s">
        <v>3942</v>
      </c>
      <c r="E3734" s="8" t="s">
        <v>4593</v>
      </c>
      <c r="F3734" s="6" t="s">
        <v>8498</v>
      </c>
      <c r="G3734">
        <v>64</v>
      </c>
      <c r="Q3734" t="s">
        <v>10585</v>
      </c>
    </row>
    <row r="3735" spans="1:17" x14ac:dyDescent="0.2">
      <c r="A3735" t="s">
        <v>3915</v>
      </c>
      <c r="B3735" t="s">
        <v>3916</v>
      </c>
      <c r="C3735">
        <v>3</v>
      </c>
      <c r="D3735" s="6" t="s">
        <v>3942</v>
      </c>
      <c r="E3735" s="8" t="s">
        <v>4594</v>
      </c>
      <c r="F3735" s="6" t="s">
        <v>8498</v>
      </c>
      <c r="G3735">
        <v>29</v>
      </c>
      <c r="Q3735" t="s">
        <v>10584</v>
      </c>
    </row>
    <row r="3736" spans="1:17" x14ac:dyDescent="0.2">
      <c r="A3736" t="s">
        <v>3915</v>
      </c>
      <c r="B3736" t="s">
        <v>3916</v>
      </c>
      <c r="C3736">
        <v>3</v>
      </c>
      <c r="D3736" s="6" t="s">
        <v>3942</v>
      </c>
      <c r="E3736" s="8" t="s">
        <v>4595</v>
      </c>
      <c r="F3736" s="6" t="s">
        <v>8498</v>
      </c>
      <c r="G3736">
        <v>34</v>
      </c>
      <c r="Q3736" t="s">
        <v>10583</v>
      </c>
    </row>
    <row r="3737" spans="1:17" x14ac:dyDescent="0.2">
      <c r="A3737" t="s">
        <v>3915</v>
      </c>
      <c r="B3737" t="s">
        <v>3916</v>
      </c>
      <c r="C3737">
        <v>3</v>
      </c>
      <c r="D3737" s="6" t="s">
        <v>3942</v>
      </c>
      <c r="E3737" s="8" t="s">
        <v>4596</v>
      </c>
      <c r="F3737" s="6" t="s">
        <v>8498</v>
      </c>
      <c r="G3737">
        <v>9</v>
      </c>
      <c r="Q3737" t="s">
        <v>10582</v>
      </c>
    </row>
    <row r="3738" spans="1:17" x14ac:dyDescent="0.2">
      <c r="A3738" t="s">
        <v>3915</v>
      </c>
      <c r="B3738" t="s">
        <v>3916</v>
      </c>
      <c r="C3738">
        <v>3</v>
      </c>
      <c r="D3738" s="6" t="s">
        <v>3942</v>
      </c>
      <c r="E3738" s="8" t="s">
        <v>4597</v>
      </c>
      <c r="F3738" s="6" t="s">
        <v>8498</v>
      </c>
      <c r="G3738">
        <v>9</v>
      </c>
      <c r="Q3738" t="s">
        <v>10581</v>
      </c>
    </row>
    <row r="3739" spans="1:17" x14ac:dyDescent="0.2">
      <c r="A3739" t="s">
        <v>3915</v>
      </c>
      <c r="B3739" t="s">
        <v>3916</v>
      </c>
      <c r="C3739">
        <v>3</v>
      </c>
      <c r="D3739" s="6" t="s">
        <v>3942</v>
      </c>
      <c r="E3739" s="8" t="s">
        <v>4598</v>
      </c>
      <c r="F3739" s="6" t="s">
        <v>1538</v>
      </c>
      <c r="G3739">
        <v>2</v>
      </c>
      <c r="Q3739" t="s">
        <v>10587</v>
      </c>
    </row>
    <row r="3740" spans="1:17" x14ac:dyDescent="0.2">
      <c r="A3740" t="s">
        <v>3915</v>
      </c>
      <c r="B3740" t="s">
        <v>3916</v>
      </c>
      <c r="C3740">
        <v>3</v>
      </c>
      <c r="D3740" s="6" t="s">
        <v>3942</v>
      </c>
      <c r="E3740" s="8" t="s">
        <v>4599</v>
      </c>
      <c r="F3740" s="6" t="s">
        <v>1538</v>
      </c>
      <c r="G3740">
        <v>5</v>
      </c>
      <c r="Q3740" t="s">
        <v>10588</v>
      </c>
    </row>
    <row r="3741" spans="1:17" x14ac:dyDescent="0.2">
      <c r="A3741" t="s">
        <v>3915</v>
      </c>
      <c r="B3741" t="s">
        <v>3916</v>
      </c>
      <c r="C3741">
        <v>3</v>
      </c>
      <c r="D3741" s="6" t="s">
        <v>3942</v>
      </c>
      <c r="E3741" s="8" t="s">
        <v>4600</v>
      </c>
      <c r="F3741" s="6" t="s">
        <v>1538</v>
      </c>
      <c r="G3741">
        <v>1</v>
      </c>
      <c r="Q3741" t="s">
        <v>10589</v>
      </c>
    </row>
    <row r="3742" spans="1:17" x14ac:dyDescent="0.2">
      <c r="A3742" t="s">
        <v>3915</v>
      </c>
      <c r="B3742" t="s">
        <v>3916</v>
      </c>
      <c r="C3742">
        <v>3</v>
      </c>
      <c r="D3742" s="6" t="s">
        <v>3942</v>
      </c>
      <c r="E3742" s="8" t="s">
        <v>4601</v>
      </c>
      <c r="F3742" s="6" t="s">
        <v>1538</v>
      </c>
      <c r="G3742">
        <v>4</v>
      </c>
      <c r="Q3742" t="s">
        <v>10590</v>
      </c>
    </row>
    <row r="3743" spans="1:17" x14ac:dyDescent="0.2">
      <c r="A3743" t="s">
        <v>3915</v>
      </c>
      <c r="B3743" t="s">
        <v>3916</v>
      </c>
      <c r="C3743">
        <v>3</v>
      </c>
      <c r="D3743" s="6" t="s">
        <v>3942</v>
      </c>
      <c r="E3743" s="8" t="s">
        <v>4602</v>
      </c>
      <c r="F3743" s="6" t="s">
        <v>1538</v>
      </c>
      <c r="G3743">
        <v>4</v>
      </c>
      <c r="Q3743" t="s">
        <v>10591</v>
      </c>
    </row>
    <row r="3744" spans="1:17" x14ac:dyDescent="0.2">
      <c r="A3744" t="s">
        <v>3915</v>
      </c>
      <c r="B3744" t="s">
        <v>3916</v>
      </c>
      <c r="C3744">
        <v>3</v>
      </c>
      <c r="D3744" s="6" t="s">
        <v>3942</v>
      </c>
      <c r="E3744" s="8" t="s">
        <v>4603</v>
      </c>
      <c r="F3744" s="6" t="s">
        <v>1538</v>
      </c>
      <c r="G3744">
        <v>6</v>
      </c>
      <c r="M3744">
        <v>4</v>
      </c>
    </row>
    <row r="3745" spans="1:17" x14ac:dyDescent="0.2">
      <c r="A3745" t="s">
        <v>3915</v>
      </c>
      <c r="B3745" t="s">
        <v>3916</v>
      </c>
      <c r="C3745">
        <v>3</v>
      </c>
      <c r="D3745" s="6" t="s">
        <v>3942</v>
      </c>
      <c r="E3745" s="8" t="s">
        <v>4604</v>
      </c>
      <c r="F3745" s="6" t="s">
        <v>1538</v>
      </c>
      <c r="G3745">
        <v>50</v>
      </c>
      <c r="M3745">
        <v>2</v>
      </c>
    </row>
    <row r="3746" spans="1:17" x14ac:dyDescent="0.2">
      <c r="A3746" t="s">
        <v>3915</v>
      </c>
      <c r="B3746" t="s">
        <v>3916</v>
      </c>
      <c r="C3746">
        <v>3</v>
      </c>
      <c r="D3746" s="6" t="s">
        <v>3942</v>
      </c>
      <c r="E3746" s="8" t="s">
        <v>4605</v>
      </c>
      <c r="F3746" s="6" t="s">
        <v>1264</v>
      </c>
      <c r="H3746">
        <f>5.1-0.323</f>
        <v>4.7769999999999992</v>
      </c>
      <c r="O3746" t="s">
        <v>3952</v>
      </c>
    </row>
    <row r="3747" spans="1:17" x14ac:dyDescent="0.2">
      <c r="A3747" t="s">
        <v>3915</v>
      </c>
      <c r="B3747" t="s">
        <v>3916</v>
      </c>
      <c r="C3747">
        <v>3</v>
      </c>
      <c r="D3747" s="6" t="s">
        <v>3942</v>
      </c>
      <c r="E3747" t="s">
        <v>4606</v>
      </c>
      <c r="F3747" s="6" t="s">
        <v>3951</v>
      </c>
      <c r="G3747">
        <f>391-344</f>
        <v>47</v>
      </c>
    </row>
    <row r="3748" spans="1:17" x14ac:dyDescent="0.2">
      <c r="A3748" t="s">
        <v>3915</v>
      </c>
      <c r="B3748" t="s">
        <v>3916</v>
      </c>
      <c r="C3748">
        <v>3</v>
      </c>
      <c r="D3748" s="6" t="s">
        <v>3942</v>
      </c>
      <c r="E3748" s="8" t="s">
        <v>4607</v>
      </c>
      <c r="F3748" s="6" t="s">
        <v>665</v>
      </c>
      <c r="G3748">
        <v>85</v>
      </c>
      <c r="M3748" t="s">
        <v>3955</v>
      </c>
      <c r="O3748" t="s">
        <v>3885</v>
      </c>
      <c r="Q3748" t="s">
        <v>10580</v>
      </c>
    </row>
    <row r="3749" spans="1:17" x14ac:dyDescent="0.2">
      <c r="A3749" t="s">
        <v>3915</v>
      </c>
      <c r="B3749" t="s">
        <v>3916</v>
      </c>
      <c r="C3749">
        <v>3</v>
      </c>
      <c r="D3749" s="6" t="s">
        <v>3942</v>
      </c>
      <c r="E3749" s="8" t="s">
        <v>4608</v>
      </c>
      <c r="F3749" s="6" t="s">
        <v>810</v>
      </c>
      <c r="G3749">
        <v>24</v>
      </c>
    </row>
    <row r="3750" spans="1:17" x14ac:dyDescent="0.2">
      <c r="A3750" t="s">
        <v>3915</v>
      </c>
      <c r="B3750" t="s">
        <v>3916</v>
      </c>
      <c r="C3750">
        <v>3</v>
      </c>
      <c r="D3750" s="6" t="s">
        <v>3942</v>
      </c>
      <c r="E3750" s="8" t="s">
        <v>3949</v>
      </c>
      <c r="F3750" s="6" t="s">
        <v>121</v>
      </c>
      <c r="G3750">
        <v>12</v>
      </c>
      <c r="M3750">
        <v>10</v>
      </c>
    </row>
    <row r="3751" spans="1:17" x14ac:dyDescent="0.2">
      <c r="A3751" t="s">
        <v>3915</v>
      </c>
      <c r="B3751" t="s">
        <v>3916</v>
      </c>
      <c r="C3751">
        <v>3</v>
      </c>
      <c r="D3751" s="6" t="s">
        <v>3942</v>
      </c>
      <c r="E3751" s="8" t="s">
        <v>4609</v>
      </c>
      <c r="F3751" s="6" t="s">
        <v>106</v>
      </c>
      <c r="G3751">
        <v>6</v>
      </c>
      <c r="O3751" t="s">
        <v>3953</v>
      </c>
    </row>
    <row r="3752" spans="1:17" x14ac:dyDescent="0.2">
      <c r="A3752" t="s">
        <v>3915</v>
      </c>
      <c r="B3752" t="s">
        <v>3916</v>
      </c>
      <c r="C3752">
        <v>3</v>
      </c>
      <c r="D3752" s="6" t="s">
        <v>3942</v>
      </c>
      <c r="E3752" s="8" t="s">
        <v>3949</v>
      </c>
      <c r="F3752" s="6" t="s">
        <v>2789</v>
      </c>
      <c r="G3752">
        <v>3</v>
      </c>
    </row>
    <row r="3753" spans="1:17" x14ac:dyDescent="0.2">
      <c r="A3753" t="s">
        <v>3915</v>
      </c>
      <c r="B3753" t="s">
        <v>3916</v>
      </c>
      <c r="C3753">
        <v>3</v>
      </c>
      <c r="D3753" s="6" t="s">
        <v>3942</v>
      </c>
      <c r="E3753" s="8" t="s">
        <v>4610</v>
      </c>
      <c r="F3753" s="6" t="s">
        <v>3875</v>
      </c>
      <c r="G3753">
        <v>6</v>
      </c>
    </row>
    <row r="3754" spans="1:17" x14ac:dyDescent="0.2">
      <c r="A3754" t="s">
        <v>3915</v>
      </c>
      <c r="B3754" t="s">
        <v>3916</v>
      </c>
      <c r="C3754">
        <v>3</v>
      </c>
      <c r="D3754" s="6" t="s">
        <v>3942</v>
      </c>
      <c r="E3754" s="8" t="s">
        <v>4611</v>
      </c>
      <c r="F3754" s="6" t="s">
        <v>10550</v>
      </c>
      <c r="G3754">
        <v>14</v>
      </c>
      <c r="O3754" t="s">
        <v>6244</v>
      </c>
      <c r="Q3754" t="s">
        <v>6378</v>
      </c>
    </row>
    <row r="3755" spans="1:17" x14ac:dyDescent="0.2">
      <c r="A3755" t="s">
        <v>3915</v>
      </c>
      <c r="B3755" t="s">
        <v>3916</v>
      </c>
      <c r="C3755">
        <v>3</v>
      </c>
      <c r="D3755" s="6" t="s">
        <v>3942</v>
      </c>
      <c r="E3755" s="8" t="s">
        <v>4612</v>
      </c>
      <c r="F3755" s="6" t="s">
        <v>1389</v>
      </c>
      <c r="G3755" t="s">
        <v>114</v>
      </c>
      <c r="O3755" t="s">
        <v>698</v>
      </c>
      <c r="Q3755" t="s">
        <v>6383</v>
      </c>
    </row>
    <row r="3756" spans="1:17" x14ac:dyDescent="0.2">
      <c r="A3756" t="s">
        <v>3915</v>
      </c>
      <c r="B3756" t="s">
        <v>3916</v>
      </c>
      <c r="C3756">
        <v>3</v>
      </c>
      <c r="D3756" s="6" t="s">
        <v>3942</v>
      </c>
      <c r="E3756" s="8" t="s">
        <v>4613</v>
      </c>
      <c r="F3756" s="6" t="s">
        <v>1389</v>
      </c>
      <c r="G3756">
        <v>7</v>
      </c>
      <c r="Q3756" t="s">
        <v>6392</v>
      </c>
    </row>
    <row r="3757" spans="1:17" x14ac:dyDescent="0.2">
      <c r="A3757" t="s">
        <v>3915</v>
      </c>
      <c r="B3757" t="s">
        <v>3916</v>
      </c>
      <c r="C3757">
        <v>3</v>
      </c>
      <c r="D3757" s="6" t="s">
        <v>3942</v>
      </c>
      <c r="E3757" s="8" t="s">
        <v>4614</v>
      </c>
      <c r="F3757" s="6" t="s">
        <v>1389</v>
      </c>
      <c r="G3757">
        <v>6</v>
      </c>
      <c r="Q3757" t="s">
        <v>6393</v>
      </c>
    </row>
    <row r="3758" spans="1:17" x14ac:dyDescent="0.2">
      <c r="A3758" t="s">
        <v>3915</v>
      </c>
      <c r="B3758" t="s">
        <v>3916</v>
      </c>
      <c r="C3758">
        <v>3</v>
      </c>
      <c r="D3758" s="6" t="s">
        <v>3942</v>
      </c>
      <c r="E3758" s="8" t="s">
        <v>4615</v>
      </c>
      <c r="F3758" s="6" t="s">
        <v>1389</v>
      </c>
      <c r="G3758">
        <v>11</v>
      </c>
      <c r="Q3758" t="s">
        <v>6394</v>
      </c>
    </row>
    <row r="3759" spans="1:17" x14ac:dyDescent="0.2">
      <c r="A3759" t="s">
        <v>3915</v>
      </c>
      <c r="B3759" t="s">
        <v>3916</v>
      </c>
      <c r="C3759">
        <v>3</v>
      </c>
      <c r="D3759" s="6" t="s">
        <v>3942</v>
      </c>
      <c r="E3759" s="8" t="s">
        <v>4616</v>
      </c>
      <c r="F3759" s="6" t="s">
        <v>1389</v>
      </c>
      <c r="G3759">
        <v>10</v>
      </c>
      <c r="Q3759" t="s">
        <v>6389</v>
      </c>
    </row>
    <row r="3760" spans="1:17" x14ac:dyDescent="0.2">
      <c r="A3760" t="s">
        <v>3915</v>
      </c>
      <c r="B3760" t="s">
        <v>3916</v>
      </c>
      <c r="C3760">
        <v>3</v>
      </c>
      <c r="D3760" s="6" t="s">
        <v>3942</v>
      </c>
      <c r="E3760" s="8" t="s">
        <v>4617</v>
      </c>
      <c r="F3760" s="6" t="s">
        <v>1425</v>
      </c>
      <c r="G3760">
        <v>4</v>
      </c>
      <c r="O3760" t="s">
        <v>3956</v>
      </c>
      <c r="Q3760" t="s">
        <v>6387</v>
      </c>
    </row>
    <row r="3761" spans="1:17" x14ac:dyDescent="0.2">
      <c r="A3761" t="s">
        <v>3915</v>
      </c>
      <c r="B3761" t="s">
        <v>3916</v>
      </c>
      <c r="C3761">
        <v>3</v>
      </c>
      <c r="D3761" s="6" t="s">
        <v>3942</v>
      </c>
      <c r="E3761" s="8" t="s">
        <v>4618</v>
      </c>
      <c r="F3761" s="6" t="s">
        <v>1425</v>
      </c>
      <c r="G3761">
        <v>5</v>
      </c>
      <c r="Q3761" t="s">
        <v>6388</v>
      </c>
    </row>
    <row r="3762" spans="1:17" x14ac:dyDescent="0.2">
      <c r="A3762" t="s">
        <v>3915</v>
      </c>
      <c r="B3762" t="s">
        <v>3916</v>
      </c>
      <c r="C3762">
        <v>3</v>
      </c>
      <c r="D3762" s="6" t="s">
        <v>3942</v>
      </c>
      <c r="E3762" s="8" t="s">
        <v>4619</v>
      </c>
      <c r="F3762" s="6" t="s">
        <v>1425</v>
      </c>
      <c r="G3762">
        <v>4</v>
      </c>
      <c r="O3762" t="s">
        <v>3957</v>
      </c>
      <c r="Q3762" t="s">
        <v>6386</v>
      </c>
    </row>
    <row r="3763" spans="1:17" x14ac:dyDescent="0.2">
      <c r="A3763" t="s">
        <v>3915</v>
      </c>
      <c r="B3763" t="s">
        <v>3916</v>
      </c>
      <c r="C3763">
        <v>3</v>
      </c>
      <c r="D3763" s="6" t="s">
        <v>3942</v>
      </c>
      <c r="E3763" s="8" t="s">
        <v>4620</v>
      </c>
      <c r="F3763" s="6" t="s">
        <v>6354</v>
      </c>
      <c r="G3763">
        <v>7</v>
      </c>
      <c r="Q3763" t="s">
        <v>6353</v>
      </c>
    </row>
    <row r="3764" spans="1:17" x14ac:dyDescent="0.2">
      <c r="A3764" t="s">
        <v>3915</v>
      </c>
      <c r="B3764" t="s">
        <v>3916</v>
      </c>
      <c r="C3764">
        <v>3</v>
      </c>
      <c r="D3764" s="6" t="s">
        <v>3942</v>
      </c>
      <c r="E3764" s="8" t="s">
        <v>4621</v>
      </c>
      <c r="F3764" s="6" t="s">
        <v>1389</v>
      </c>
      <c r="G3764">
        <v>9</v>
      </c>
      <c r="Q3764" t="s">
        <v>6381</v>
      </c>
    </row>
    <row r="3765" spans="1:17" x14ac:dyDescent="0.2">
      <c r="A3765" t="s">
        <v>3915</v>
      </c>
      <c r="B3765" t="s">
        <v>3916</v>
      </c>
      <c r="C3765">
        <v>3</v>
      </c>
      <c r="D3765" s="6" t="s">
        <v>3942</v>
      </c>
      <c r="E3765" s="8" t="s">
        <v>4622</v>
      </c>
      <c r="F3765" s="6" t="s">
        <v>1538</v>
      </c>
      <c r="G3765">
        <v>1</v>
      </c>
      <c r="M3765">
        <v>4</v>
      </c>
      <c r="Q3765" t="s">
        <v>6380</v>
      </c>
    </row>
    <row r="3766" spans="1:17" x14ac:dyDescent="0.2">
      <c r="A3766" t="s">
        <v>3915</v>
      </c>
      <c r="B3766" t="s">
        <v>3916</v>
      </c>
      <c r="C3766">
        <v>3</v>
      </c>
      <c r="D3766" s="6" t="s">
        <v>3942</v>
      </c>
      <c r="E3766" s="8" t="s">
        <v>4623</v>
      </c>
      <c r="F3766" s="6" t="s">
        <v>5930</v>
      </c>
      <c r="G3766">
        <v>1</v>
      </c>
      <c r="P3766" s="6" t="s">
        <v>5996</v>
      </c>
      <c r="Q3766" t="s">
        <v>6182</v>
      </c>
    </row>
    <row r="3767" spans="1:17" x14ac:dyDescent="0.2">
      <c r="A3767" t="s">
        <v>3915</v>
      </c>
      <c r="B3767" t="s">
        <v>3916</v>
      </c>
      <c r="C3767">
        <v>3</v>
      </c>
      <c r="D3767" s="6" t="s">
        <v>3942</v>
      </c>
      <c r="E3767" s="8" t="s">
        <v>4624</v>
      </c>
      <c r="F3767" s="6" t="s">
        <v>1311</v>
      </c>
      <c r="G3767">
        <v>2</v>
      </c>
      <c r="Q3767" t="s">
        <v>6390</v>
      </c>
    </row>
    <row r="3768" spans="1:17" x14ac:dyDescent="0.2">
      <c r="A3768" t="s">
        <v>3915</v>
      </c>
      <c r="B3768" t="s">
        <v>3916</v>
      </c>
      <c r="C3768">
        <v>3</v>
      </c>
      <c r="D3768" s="6" t="s">
        <v>3942</v>
      </c>
      <c r="E3768" s="8" t="s">
        <v>4625</v>
      </c>
      <c r="F3768" s="6" t="s">
        <v>1311</v>
      </c>
      <c r="G3768">
        <v>6</v>
      </c>
      <c r="Q3768" t="s">
        <v>6391</v>
      </c>
    </row>
    <row r="3769" spans="1:17" x14ac:dyDescent="0.2">
      <c r="A3769" t="s">
        <v>3915</v>
      </c>
      <c r="B3769" t="s">
        <v>3916</v>
      </c>
      <c r="C3769">
        <v>3</v>
      </c>
      <c r="D3769" s="6" t="s">
        <v>3942</v>
      </c>
      <c r="E3769" s="8" t="s">
        <v>4626</v>
      </c>
      <c r="F3769" s="6" t="s">
        <v>1311</v>
      </c>
      <c r="G3769">
        <v>2</v>
      </c>
      <c r="Q3769" t="s">
        <v>6384</v>
      </c>
    </row>
    <row r="3770" spans="1:17" x14ac:dyDescent="0.2">
      <c r="A3770" t="s">
        <v>3915</v>
      </c>
      <c r="B3770" t="s">
        <v>3916</v>
      </c>
      <c r="C3770">
        <v>3</v>
      </c>
      <c r="D3770" s="6" t="s">
        <v>3942</v>
      </c>
      <c r="E3770" s="8" t="s">
        <v>4627</v>
      </c>
      <c r="F3770" s="6" t="s">
        <v>1311</v>
      </c>
      <c r="G3770">
        <v>6</v>
      </c>
      <c r="Q3770" t="s">
        <v>6382</v>
      </c>
    </row>
    <row r="3771" spans="1:17" x14ac:dyDescent="0.2">
      <c r="A3771" t="s">
        <v>3915</v>
      </c>
      <c r="B3771" t="s">
        <v>3916</v>
      </c>
      <c r="C3771">
        <v>3</v>
      </c>
      <c r="D3771" s="6" t="s">
        <v>3942</v>
      </c>
      <c r="E3771" s="8" t="s">
        <v>4628</v>
      </c>
      <c r="F3771" s="6" t="s">
        <v>1311</v>
      </c>
      <c r="G3771">
        <v>4</v>
      </c>
      <c r="Q3771" t="s">
        <v>6385</v>
      </c>
    </row>
    <row r="3772" spans="1:17" x14ac:dyDescent="0.2">
      <c r="A3772" t="s">
        <v>3915</v>
      </c>
      <c r="B3772" t="s">
        <v>3916</v>
      </c>
      <c r="C3772">
        <v>3</v>
      </c>
      <c r="D3772" s="6" t="s">
        <v>3942</v>
      </c>
      <c r="E3772" s="8" t="s">
        <v>4629</v>
      </c>
      <c r="F3772" s="6" t="s">
        <v>1311</v>
      </c>
      <c r="G3772">
        <v>19</v>
      </c>
      <c r="M3772">
        <v>5</v>
      </c>
      <c r="O3772" t="s">
        <v>3958</v>
      </c>
    </row>
    <row r="3773" spans="1:17" x14ac:dyDescent="0.2">
      <c r="A3773" t="s">
        <v>3915</v>
      </c>
      <c r="B3773" t="s">
        <v>3916</v>
      </c>
      <c r="C3773">
        <v>3</v>
      </c>
      <c r="D3773" s="6" t="s">
        <v>3942</v>
      </c>
      <c r="E3773" t="s">
        <v>4606</v>
      </c>
      <c r="F3773" s="6" t="s">
        <v>1311</v>
      </c>
      <c r="G3773">
        <v>93</v>
      </c>
      <c r="M3773">
        <v>24</v>
      </c>
    </row>
    <row r="3774" spans="1:17" x14ac:dyDescent="0.2">
      <c r="A3774" t="s">
        <v>3915</v>
      </c>
      <c r="B3774" t="s">
        <v>3916</v>
      </c>
      <c r="C3774">
        <v>4</v>
      </c>
      <c r="D3774" s="6" t="s">
        <v>3942</v>
      </c>
      <c r="E3774" s="8" t="s">
        <v>4630</v>
      </c>
      <c r="F3774" s="6" t="s">
        <v>1264</v>
      </c>
      <c r="H3774">
        <f>8-0.357</f>
        <v>7.6429999999999998</v>
      </c>
      <c r="O3774" t="s">
        <v>3959</v>
      </c>
    </row>
    <row r="3775" spans="1:17" x14ac:dyDescent="0.2">
      <c r="A3775" t="s">
        <v>3915</v>
      </c>
      <c r="B3775" t="s">
        <v>3916</v>
      </c>
      <c r="C3775">
        <v>4</v>
      </c>
      <c r="D3775" s="6" t="s">
        <v>3942</v>
      </c>
      <c r="E3775" s="8" t="s">
        <v>4631</v>
      </c>
      <c r="F3775" s="6" t="s">
        <v>1538</v>
      </c>
      <c r="G3775">
        <v>43</v>
      </c>
      <c r="Q3775" t="s">
        <v>6397</v>
      </c>
    </row>
    <row r="3776" spans="1:17" x14ac:dyDescent="0.2">
      <c r="A3776" t="s">
        <v>3915</v>
      </c>
      <c r="B3776" t="s">
        <v>3916</v>
      </c>
      <c r="C3776">
        <v>4</v>
      </c>
      <c r="D3776" s="6" t="s">
        <v>3942</v>
      </c>
      <c r="E3776" s="8" t="s">
        <v>4632</v>
      </c>
      <c r="F3776" s="6" t="s">
        <v>1538</v>
      </c>
      <c r="G3776">
        <v>26</v>
      </c>
      <c r="Q3776" t="s">
        <v>6396</v>
      </c>
    </row>
    <row r="3777" spans="1:17" x14ac:dyDescent="0.2">
      <c r="A3777" t="s">
        <v>3915</v>
      </c>
      <c r="B3777" t="s">
        <v>3916</v>
      </c>
      <c r="C3777">
        <v>4</v>
      </c>
      <c r="D3777" s="6" t="s">
        <v>3942</v>
      </c>
      <c r="E3777" s="8" t="s">
        <v>4633</v>
      </c>
      <c r="F3777" s="6" t="s">
        <v>1538</v>
      </c>
      <c r="G3777">
        <v>24</v>
      </c>
      <c r="Q3777" t="s">
        <v>6395</v>
      </c>
    </row>
    <row r="3778" spans="1:17" x14ac:dyDescent="0.2">
      <c r="A3778" t="s">
        <v>3915</v>
      </c>
      <c r="B3778" t="s">
        <v>3916</v>
      </c>
      <c r="C3778">
        <v>4</v>
      </c>
      <c r="D3778" s="6" t="s">
        <v>3942</v>
      </c>
      <c r="E3778" s="8" t="s">
        <v>4634</v>
      </c>
      <c r="F3778" s="6" t="s">
        <v>1538</v>
      </c>
      <c r="G3778">
        <v>11</v>
      </c>
    </row>
    <row r="3779" spans="1:17" x14ac:dyDescent="0.2">
      <c r="A3779" t="s">
        <v>3915</v>
      </c>
      <c r="B3779" t="s">
        <v>3916</v>
      </c>
      <c r="C3779">
        <v>4</v>
      </c>
      <c r="D3779" s="6" t="s">
        <v>3942</v>
      </c>
      <c r="E3779" s="8" t="s">
        <v>4635</v>
      </c>
      <c r="F3779" s="6" t="s">
        <v>1538</v>
      </c>
      <c r="G3779">
        <v>7</v>
      </c>
    </row>
    <row r="3780" spans="1:17" x14ac:dyDescent="0.2">
      <c r="A3780" t="s">
        <v>3915</v>
      </c>
      <c r="B3780" t="s">
        <v>3916</v>
      </c>
      <c r="C3780">
        <v>4</v>
      </c>
      <c r="D3780" s="6" t="s">
        <v>3942</v>
      </c>
      <c r="E3780" s="8" t="s">
        <v>4636</v>
      </c>
      <c r="F3780" s="6" t="s">
        <v>1538</v>
      </c>
      <c r="G3780">
        <v>90</v>
      </c>
      <c r="M3780">
        <v>5</v>
      </c>
    </row>
    <row r="3781" spans="1:17" x14ac:dyDescent="0.2">
      <c r="A3781" t="s">
        <v>3915</v>
      </c>
      <c r="B3781" t="s">
        <v>3916</v>
      </c>
      <c r="C3781">
        <v>4</v>
      </c>
      <c r="D3781" s="6" t="s">
        <v>3942</v>
      </c>
      <c r="E3781" t="s">
        <v>4637</v>
      </c>
      <c r="F3781" s="6" t="s">
        <v>1538</v>
      </c>
      <c r="G3781">
        <f>331+5</f>
        <v>336</v>
      </c>
    </row>
    <row r="3782" spans="1:17" x14ac:dyDescent="0.2">
      <c r="A3782" t="s">
        <v>3915</v>
      </c>
      <c r="B3782" t="s">
        <v>3916</v>
      </c>
      <c r="C3782">
        <v>4</v>
      </c>
      <c r="D3782" s="6" t="s">
        <v>3942</v>
      </c>
      <c r="E3782" s="8" t="s">
        <v>4638</v>
      </c>
      <c r="F3782" s="6" t="s">
        <v>2588</v>
      </c>
      <c r="G3782">
        <v>8</v>
      </c>
    </row>
    <row r="3783" spans="1:17" x14ac:dyDescent="0.2">
      <c r="A3783" t="s">
        <v>3915</v>
      </c>
      <c r="B3783" t="s">
        <v>3916</v>
      </c>
      <c r="C3783">
        <v>4</v>
      </c>
      <c r="D3783" s="6" t="s">
        <v>3942</v>
      </c>
      <c r="E3783" s="8" t="s">
        <v>4639</v>
      </c>
      <c r="F3783" s="6" t="s">
        <v>2588</v>
      </c>
      <c r="G3783">
        <v>5</v>
      </c>
    </row>
    <row r="3784" spans="1:17" x14ac:dyDescent="0.2">
      <c r="A3784" t="s">
        <v>3915</v>
      </c>
      <c r="B3784" t="s">
        <v>3916</v>
      </c>
      <c r="C3784">
        <v>4</v>
      </c>
      <c r="D3784" s="6" t="s">
        <v>3942</v>
      </c>
      <c r="E3784" s="8" t="s">
        <v>4640</v>
      </c>
      <c r="F3784" s="6" t="s">
        <v>2588</v>
      </c>
      <c r="G3784">
        <v>3</v>
      </c>
    </row>
    <row r="3785" spans="1:17" x14ac:dyDescent="0.2">
      <c r="A3785" t="s">
        <v>3915</v>
      </c>
      <c r="B3785" t="s">
        <v>3916</v>
      </c>
      <c r="C3785">
        <v>4</v>
      </c>
      <c r="D3785" s="6" t="s">
        <v>3942</v>
      </c>
      <c r="E3785" s="8" t="s">
        <v>4641</v>
      </c>
      <c r="F3785" s="6" t="s">
        <v>2588</v>
      </c>
      <c r="G3785" t="s">
        <v>114</v>
      </c>
    </row>
    <row r="3786" spans="1:17" x14ac:dyDescent="0.2">
      <c r="A3786" t="s">
        <v>3915</v>
      </c>
      <c r="B3786" t="s">
        <v>3916</v>
      </c>
      <c r="C3786">
        <v>4</v>
      </c>
      <c r="D3786" s="6" t="s">
        <v>3942</v>
      </c>
      <c r="E3786" s="8" t="s">
        <v>4642</v>
      </c>
      <c r="F3786" s="6" t="s">
        <v>2588</v>
      </c>
      <c r="G3786" t="s">
        <v>114</v>
      </c>
    </row>
    <row r="3787" spans="1:17" x14ac:dyDescent="0.2">
      <c r="A3787" t="s">
        <v>3915</v>
      </c>
      <c r="B3787" t="s">
        <v>3916</v>
      </c>
      <c r="C3787">
        <v>4</v>
      </c>
      <c r="D3787" s="6" t="s">
        <v>3942</v>
      </c>
      <c r="E3787" s="8" t="s">
        <v>4643</v>
      </c>
      <c r="F3787" s="6" t="s">
        <v>2588</v>
      </c>
      <c r="G3787">
        <v>13</v>
      </c>
    </row>
    <row r="3788" spans="1:17" x14ac:dyDescent="0.2">
      <c r="A3788" t="s">
        <v>3915</v>
      </c>
      <c r="B3788" t="s">
        <v>3916</v>
      </c>
      <c r="C3788">
        <v>4</v>
      </c>
      <c r="D3788" s="6" t="s">
        <v>3942</v>
      </c>
      <c r="E3788" s="8" t="s">
        <v>4644</v>
      </c>
      <c r="F3788" s="6" t="s">
        <v>1426</v>
      </c>
      <c r="G3788">
        <v>1</v>
      </c>
    </row>
    <row r="3789" spans="1:17" x14ac:dyDescent="0.2">
      <c r="A3789" t="s">
        <v>3915</v>
      </c>
      <c r="B3789" t="s">
        <v>3916</v>
      </c>
      <c r="C3789">
        <v>4</v>
      </c>
      <c r="D3789" s="6" t="s">
        <v>3942</v>
      </c>
      <c r="E3789" s="8" t="s">
        <v>4645</v>
      </c>
      <c r="F3789" s="6" t="s">
        <v>1389</v>
      </c>
      <c r="G3789">
        <v>16</v>
      </c>
      <c r="Q3789" t="s">
        <v>6399</v>
      </c>
    </row>
    <row r="3790" spans="1:17" x14ac:dyDescent="0.2">
      <c r="A3790" t="s">
        <v>3915</v>
      </c>
      <c r="B3790" t="s">
        <v>3916</v>
      </c>
      <c r="C3790">
        <v>4</v>
      </c>
      <c r="D3790" s="6" t="s">
        <v>3942</v>
      </c>
      <c r="E3790" s="8" t="s">
        <v>4646</v>
      </c>
      <c r="F3790" s="6" t="s">
        <v>1389</v>
      </c>
      <c r="G3790">
        <v>25</v>
      </c>
      <c r="M3790">
        <v>5</v>
      </c>
      <c r="O3790" t="s">
        <v>3960</v>
      </c>
      <c r="Q3790" t="s">
        <v>6403</v>
      </c>
    </row>
    <row r="3791" spans="1:17" x14ac:dyDescent="0.2">
      <c r="A3791" t="s">
        <v>3915</v>
      </c>
      <c r="B3791" t="s">
        <v>3916</v>
      </c>
      <c r="C3791">
        <v>4</v>
      </c>
      <c r="D3791" s="6" t="s">
        <v>3942</v>
      </c>
      <c r="E3791" s="8" t="s">
        <v>4647</v>
      </c>
      <c r="F3791" s="6" t="s">
        <v>1389</v>
      </c>
      <c r="G3791">
        <v>4</v>
      </c>
      <c r="Q3791" t="s">
        <v>6401</v>
      </c>
    </row>
    <row r="3792" spans="1:17" x14ac:dyDescent="0.2">
      <c r="A3792" t="s">
        <v>3915</v>
      </c>
      <c r="B3792" t="s">
        <v>3916</v>
      </c>
      <c r="C3792">
        <v>4</v>
      </c>
      <c r="D3792" s="6" t="s">
        <v>3942</v>
      </c>
      <c r="E3792" s="8" t="s">
        <v>4648</v>
      </c>
      <c r="F3792" s="6" t="s">
        <v>1389</v>
      </c>
      <c r="G3792">
        <v>11</v>
      </c>
      <c r="Q3792" t="s">
        <v>6398</v>
      </c>
    </row>
    <row r="3793" spans="1:17" x14ac:dyDescent="0.2">
      <c r="A3793" t="s">
        <v>3915</v>
      </c>
      <c r="B3793" t="s">
        <v>3916</v>
      </c>
      <c r="C3793">
        <v>4</v>
      </c>
      <c r="D3793" s="6" t="s">
        <v>3942</v>
      </c>
      <c r="E3793" s="8" t="s">
        <v>4649</v>
      </c>
      <c r="F3793" s="6" t="s">
        <v>1389</v>
      </c>
      <c r="G3793">
        <v>5</v>
      </c>
      <c r="Q3793" t="s">
        <v>6402</v>
      </c>
    </row>
    <row r="3794" spans="1:17" x14ac:dyDescent="0.2">
      <c r="A3794" t="s">
        <v>3915</v>
      </c>
      <c r="B3794" t="s">
        <v>3916</v>
      </c>
      <c r="C3794">
        <v>4</v>
      </c>
      <c r="D3794" s="6" t="s">
        <v>3942</v>
      </c>
      <c r="E3794" s="8" t="s">
        <v>4650</v>
      </c>
      <c r="F3794" s="6" t="s">
        <v>1389</v>
      </c>
      <c r="G3794">
        <v>6</v>
      </c>
      <c r="Q3794" t="s">
        <v>6400</v>
      </c>
    </row>
    <row r="3795" spans="1:17" x14ac:dyDescent="0.2">
      <c r="A3795" t="s">
        <v>3915</v>
      </c>
      <c r="B3795" t="s">
        <v>3916</v>
      </c>
      <c r="C3795">
        <v>4</v>
      </c>
      <c r="D3795" s="6" t="s">
        <v>3942</v>
      </c>
      <c r="E3795" t="s">
        <v>4637</v>
      </c>
      <c r="F3795" s="6" t="s">
        <v>1389</v>
      </c>
      <c r="G3795">
        <v>36</v>
      </c>
    </row>
    <row r="3796" spans="1:17" x14ac:dyDescent="0.2">
      <c r="A3796" t="s">
        <v>3915</v>
      </c>
      <c r="B3796" t="s">
        <v>3916</v>
      </c>
      <c r="C3796">
        <v>4</v>
      </c>
      <c r="D3796" s="6" t="s">
        <v>3942</v>
      </c>
      <c r="E3796" s="8" t="s">
        <v>4651</v>
      </c>
      <c r="F3796" s="6" t="s">
        <v>1311</v>
      </c>
      <c r="G3796">
        <v>4</v>
      </c>
      <c r="Q3796" t="s">
        <v>6405</v>
      </c>
    </row>
    <row r="3797" spans="1:17" x14ac:dyDescent="0.2">
      <c r="A3797" t="s">
        <v>3915</v>
      </c>
      <c r="B3797" t="s">
        <v>3916</v>
      </c>
      <c r="C3797">
        <v>4</v>
      </c>
      <c r="D3797" s="6" t="s">
        <v>3942</v>
      </c>
      <c r="E3797" s="8" t="s">
        <v>4652</v>
      </c>
      <c r="F3797" s="6" t="s">
        <v>1311</v>
      </c>
      <c r="G3797">
        <v>2</v>
      </c>
      <c r="Q3797" t="s">
        <v>6406</v>
      </c>
    </row>
    <row r="3798" spans="1:17" x14ac:dyDescent="0.2">
      <c r="A3798" t="s">
        <v>3915</v>
      </c>
      <c r="B3798" t="s">
        <v>3916</v>
      </c>
      <c r="C3798">
        <v>4</v>
      </c>
      <c r="D3798" s="6" t="s">
        <v>3942</v>
      </c>
      <c r="E3798" s="8" t="s">
        <v>4653</v>
      </c>
      <c r="F3798" s="6" t="s">
        <v>1311</v>
      </c>
      <c r="G3798">
        <v>5</v>
      </c>
      <c r="Q3798" t="s">
        <v>6404</v>
      </c>
    </row>
    <row r="3799" spans="1:17" x14ac:dyDescent="0.2">
      <c r="A3799" t="s">
        <v>3915</v>
      </c>
      <c r="B3799" t="s">
        <v>3916</v>
      </c>
      <c r="C3799">
        <v>4</v>
      </c>
      <c r="D3799" s="6" t="s">
        <v>3942</v>
      </c>
      <c r="E3799" s="8" t="s">
        <v>4654</v>
      </c>
      <c r="F3799" s="6" t="s">
        <v>1311</v>
      </c>
      <c r="G3799">
        <v>2</v>
      </c>
      <c r="Q3799" t="s">
        <v>6407</v>
      </c>
    </row>
    <row r="3800" spans="1:17" x14ac:dyDescent="0.2">
      <c r="A3800" t="s">
        <v>3915</v>
      </c>
      <c r="B3800" t="s">
        <v>3916</v>
      </c>
      <c r="C3800">
        <v>4</v>
      </c>
      <c r="D3800" s="6" t="s">
        <v>3942</v>
      </c>
      <c r="E3800" s="8" t="s">
        <v>4655</v>
      </c>
      <c r="F3800" s="6" t="s">
        <v>1311</v>
      </c>
      <c r="G3800">
        <v>14</v>
      </c>
      <c r="M3800">
        <v>5</v>
      </c>
    </row>
    <row r="3801" spans="1:17" x14ac:dyDescent="0.2">
      <c r="A3801" t="s">
        <v>3915</v>
      </c>
      <c r="B3801" t="s">
        <v>3916</v>
      </c>
      <c r="C3801">
        <v>4</v>
      </c>
      <c r="D3801" s="6" t="s">
        <v>3942</v>
      </c>
      <c r="E3801" t="s">
        <v>4637</v>
      </c>
      <c r="F3801" s="6" t="s">
        <v>1311</v>
      </c>
      <c r="G3801">
        <v>43</v>
      </c>
    </row>
    <row r="3802" spans="1:17" x14ac:dyDescent="0.2">
      <c r="A3802" t="s">
        <v>3915</v>
      </c>
      <c r="B3802" t="s">
        <v>3916</v>
      </c>
      <c r="C3802">
        <v>4</v>
      </c>
      <c r="D3802" s="6" t="s">
        <v>3942</v>
      </c>
      <c r="E3802" s="8" t="s">
        <v>4656</v>
      </c>
      <c r="F3802" s="6" t="s">
        <v>1559</v>
      </c>
      <c r="G3802" t="s">
        <v>114</v>
      </c>
    </row>
    <row r="3803" spans="1:17" x14ac:dyDescent="0.2">
      <c r="A3803" t="s">
        <v>3915</v>
      </c>
      <c r="B3803" t="s">
        <v>3916</v>
      </c>
      <c r="C3803">
        <v>4</v>
      </c>
      <c r="D3803" s="6" t="s">
        <v>3942</v>
      </c>
      <c r="E3803" s="8" t="s">
        <v>4657</v>
      </c>
      <c r="F3803" s="6" t="s">
        <v>1559</v>
      </c>
      <c r="G3803">
        <v>1</v>
      </c>
    </row>
    <row r="3804" spans="1:17" x14ac:dyDescent="0.2">
      <c r="A3804" t="s">
        <v>3915</v>
      </c>
      <c r="B3804" t="s">
        <v>3916</v>
      </c>
      <c r="C3804">
        <v>4</v>
      </c>
      <c r="D3804" s="6" t="s">
        <v>3942</v>
      </c>
      <c r="E3804" s="8" t="s">
        <v>4658</v>
      </c>
      <c r="F3804" t="s">
        <v>6355</v>
      </c>
      <c r="G3804">
        <v>93</v>
      </c>
      <c r="I3804">
        <v>253</v>
      </c>
      <c r="K3804">
        <v>228</v>
      </c>
      <c r="Q3804" t="s">
        <v>6356</v>
      </c>
    </row>
    <row r="3805" spans="1:17" x14ac:dyDescent="0.2">
      <c r="A3805" t="s">
        <v>3915</v>
      </c>
      <c r="B3805" t="s">
        <v>3916</v>
      </c>
      <c r="C3805">
        <v>4</v>
      </c>
      <c r="D3805" s="6" t="s">
        <v>3942</v>
      </c>
      <c r="E3805" s="8" t="s">
        <v>4659</v>
      </c>
      <c r="F3805" s="6" t="s">
        <v>6377</v>
      </c>
      <c r="G3805">
        <v>35</v>
      </c>
      <c r="I3805">
        <v>262</v>
      </c>
      <c r="Q3805" t="s">
        <v>6357</v>
      </c>
    </row>
    <row r="3806" spans="1:17" x14ac:dyDescent="0.2">
      <c r="A3806" t="s">
        <v>3915</v>
      </c>
      <c r="B3806" t="s">
        <v>3916</v>
      </c>
      <c r="C3806">
        <v>4</v>
      </c>
      <c r="D3806" s="6" t="s">
        <v>3942</v>
      </c>
      <c r="E3806" s="8" t="s">
        <v>4660</v>
      </c>
      <c r="F3806" s="6" t="s">
        <v>5869</v>
      </c>
      <c r="G3806">
        <v>187</v>
      </c>
      <c r="I3806">
        <v>498</v>
      </c>
      <c r="K3806">
        <v>465</v>
      </c>
      <c r="Q3806" t="s">
        <v>5877</v>
      </c>
    </row>
    <row r="3807" spans="1:17" x14ac:dyDescent="0.2">
      <c r="A3807" t="s">
        <v>3915</v>
      </c>
      <c r="B3807" t="s">
        <v>3916</v>
      </c>
      <c r="C3807">
        <v>4</v>
      </c>
      <c r="D3807" s="6" t="s">
        <v>3942</v>
      </c>
      <c r="E3807" s="8" t="s">
        <v>4661</v>
      </c>
      <c r="F3807" s="6" t="s">
        <v>5869</v>
      </c>
      <c r="G3807">
        <v>32</v>
      </c>
      <c r="I3807">
        <v>337</v>
      </c>
      <c r="K3807">
        <v>310</v>
      </c>
      <c r="Q3807" t="s">
        <v>5878</v>
      </c>
    </row>
    <row r="3808" spans="1:17" x14ac:dyDescent="0.2">
      <c r="A3808" t="s">
        <v>3915</v>
      </c>
      <c r="B3808" t="s">
        <v>3916</v>
      </c>
      <c r="C3808">
        <v>4</v>
      </c>
      <c r="D3808" s="6" t="s">
        <v>3942</v>
      </c>
      <c r="E3808" s="8" t="s">
        <v>4662</v>
      </c>
      <c r="F3808" s="6" t="s">
        <v>5629</v>
      </c>
      <c r="G3808">
        <v>44</v>
      </c>
      <c r="Q3808" t="s">
        <v>6358</v>
      </c>
    </row>
    <row r="3809" spans="1:17" x14ac:dyDescent="0.2">
      <c r="A3809" t="s">
        <v>3915</v>
      </c>
      <c r="B3809" t="s">
        <v>3916</v>
      </c>
      <c r="C3809">
        <v>4</v>
      </c>
      <c r="D3809" s="6" t="s">
        <v>3942</v>
      </c>
      <c r="E3809" s="8" t="s">
        <v>4663</v>
      </c>
      <c r="F3809" s="6" t="s">
        <v>6369</v>
      </c>
      <c r="G3809">
        <v>28</v>
      </c>
      <c r="Q3809" t="s">
        <v>6372</v>
      </c>
    </row>
    <row r="3810" spans="1:17" x14ac:dyDescent="0.2">
      <c r="A3810" t="s">
        <v>3915</v>
      </c>
      <c r="B3810" t="s">
        <v>3916</v>
      </c>
      <c r="C3810">
        <v>4</v>
      </c>
      <c r="D3810" s="6" t="s">
        <v>3942</v>
      </c>
      <c r="E3810" s="8" t="s">
        <v>4664</v>
      </c>
      <c r="F3810" t="s">
        <v>6371</v>
      </c>
      <c r="G3810">
        <v>18</v>
      </c>
      <c r="Q3810" t="s">
        <v>6370</v>
      </c>
    </row>
    <row r="3811" spans="1:17" x14ac:dyDescent="0.2">
      <c r="A3811" t="s">
        <v>3915</v>
      </c>
      <c r="B3811" t="s">
        <v>3916</v>
      </c>
      <c r="C3811">
        <v>4</v>
      </c>
      <c r="D3811" s="6" t="s">
        <v>3942</v>
      </c>
      <c r="E3811" s="8" t="s">
        <v>4665</v>
      </c>
      <c r="F3811" t="s">
        <v>6369</v>
      </c>
      <c r="G3811">
        <v>31</v>
      </c>
      <c r="O3811" t="s">
        <v>3963</v>
      </c>
      <c r="Q3811" t="s">
        <v>6368</v>
      </c>
    </row>
    <row r="3812" spans="1:17" x14ac:dyDescent="0.2">
      <c r="A3812" t="s">
        <v>3915</v>
      </c>
      <c r="B3812" t="s">
        <v>3916</v>
      </c>
      <c r="C3812">
        <v>4</v>
      </c>
      <c r="D3812" s="6" t="s">
        <v>3942</v>
      </c>
      <c r="E3812" s="8" t="s">
        <v>4666</v>
      </c>
      <c r="F3812" t="s">
        <v>6367</v>
      </c>
      <c r="G3812">
        <v>12</v>
      </c>
      <c r="Q3812" t="s">
        <v>6366</v>
      </c>
    </row>
    <row r="3813" spans="1:17" x14ac:dyDescent="0.2">
      <c r="A3813" t="s">
        <v>3915</v>
      </c>
      <c r="B3813" t="s">
        <v>3916</v>
      </c>
      <c r="C3813">
        <v>4</v>
      </c>
      <c r="D3813" s="6" t="s">
        <v>3942</v>
      </c>
      <c r="E3813" s="8" t="s">
        <v>4667</v>
      </c>
      <c r="F3813" s="6" t="s">
        <v>6374</v>
      </c>
      <c r="G3813">
        <v>3</v>
      </c>
      <c r="Q3813" t="s">
        <v>6375</v>
      </c>
    </row>
    <row r="3814" spans="1:17" x14ac:dyDescent="0.2">
      <c r="A3814" t="s">
        <v>3915</v>
      </c>
      <c r="B3814" t="s">
        <v>3916</v>
      </c>
      <c r="C3814">
        <v>4</v>
      </c>
      <c r="D3814" s="6" t="s">
        <v>3942</v>
      </c>
      <c r="E3814" s="8" t="s">
        <v>4668</v>
      </c>
      <c r="F3814" s="6" t="s">
        <v>6374</v>
      </c>
      <c r="G3814">
        <v>4</v>
      </c>
      <c r="Q3814" t="s">
        <v>6376</v>
      </c>
    </row>
    <row r="3815" spans="1:17" x14ac:dyDescent="0.2">
      <c r="A3815" t="s">
        <v>3915</v>
      </c>
      <c r="B3815" t="s">
        <v>3916</v>
      </c>
      <c r="C3815">
        <v>4</v>
      </c>
      <c r="D3815" s="6" t="s">
        <v>3942</v>
      </c>
      <c r="E3815" s="8" t="s">
        <v>4669</v>
      </c>
      <c r="F3815" s="6" t="s">
        <v>5995</v>
      </c>
      <c r="G3815">
        <v>3</v>
      </c>
      <c r="Q3815" t="s">
        <v>6183</v>
      </c>
    </row>
    <row r="3816" spans="1:17" x14ac:dyDescent="0.2">
      <c r="A3816" t="s">
        <v>3915</v>
      </c>
      <c r="B3816" t="s">
        <v>3916</v>
      </c>
      <c r="C3816">
        <v>4</v>
      </c>
      <c r="D3816" s="6" t="s">
        <v>3942</v>
      </c>
      <c r="E3816" s="8" t="s">
        <v>4670</v>
      </c>
      <c r="F3816" s="6" t="s">
        <v>5995</v>
      </c>
      <c r="G3816">
        <v>3</v>
      </c>
      <c r="Q3816" t="s">
        <v>6184</v>
      </c>
    </row>
    <row r="3817" spans="1:17" x14ac:dyDescent="0.2">
      <c r="A3817" t="s">
        <v>3915</v>
      </c>
      <c r="B3817" t="s">
        <v>3916</v>
      </c>
      <c r="C3817">
        <v>4</v>
      </c>
      <c r="D3817" s="6" t="s">
        <v>3942</v>
      </c>
      <c r="E3817" s="8" t="s">
        <v>4671</v>
      </c>
      <c r="F3817" s="6" t="s">
        <v>5995</v>
      </c>
      <c r="G3817">
        <v>1</v>
      </c>
      <c r="Q3817" t="s">
        <v>6185</v>
      </c>
    </row>
    <row r="3818" spans="1:17" x14ac:dyDescent="0.2">
      <c r="A3818" t="s">
        <v>3915</v>
      </c>
      <c r="B3818" t="s">
        <v>3916</v>
      </c>
      <c r="C3818">
        <v>4</v>
      </c>
      <c r="D3818" s="6" t="s">
        <v>3942</v>
      </c>
      <c r="E3818" s="8" t="s">
        <v>4672</v>
      </c>
      <c r="F3818" s="6" t="s">
        <v>5995</v>
      </c>
      <c r="G3818">
        <v>1</v>
      </c>
      <c r="Q3818" t="s">
        <v>6186</v>
      </c>
    </row>
    <row r="3819" spans="1:17" x14ac:dyDescent="0.2">
      <c r="A3819" t="s">
        <v>3915</v>
      </c>
      <c r="B3819" t="s">
        <v>3916</v>
      </c>
      <c r="C3819">
        <v>4</v>
      </c>
      <c r="D3819" s="6" t="s">
        <v>3942</v>
      </c>
      <c r="E3819" s="8" t="s">
        <v>4673</v>
      </c>
      <c r="F3819" s="6" t="s">
        <v>5995</v>
      </c>
      <c r="G3819" t="s">
        <v>114</v>
      </c>
      <c r="Q3819" t="s">
        <v>6187</v>
      </c>
    </row>
    <row r="3820" spans="1:17" x14ac:dyDescent="0.2">
      <c r="A3820" t="s">
        <v>3915</v>
      </c>
      <c r="B3820" t="s">
        <v>3916</v>
      </c>
      <c r="C3820">
        <v>4</v>
      </c>
      <c r="D3820" s="6" t="s">
        <v>3942</v>
      </c>
      <c r="E3820" s="8" t="s">
        <v>4674</v>
      </c>
      <c r="F3820" s="6" t="s">
        <v>5995</v>
      </c>
      <c r="G3820">
        <v>1</v>
      </c>
    </row>
    <row r="3821" spans="1:17" x14ac:dyDescent="0.2">
      <c r="A3821" t="s">
        <v>3915</v>
      </c>
      <c r="B3821" t="s">
        <v>3916</v>
      </c>
      <c r="C3821">
        <v>4</v>
      </c>
      <c r="D3821" s="6" t="s">
        <v>3942</v>
      </c>
      <c r="E3821" s="8" t="s">
        <v>4675</v>
      </c>
      <c r="F3821" s="6" t="s">
        <v>1425</v>
      </c>
      <c r="G3821">
        <v>13</v>
      </c>
      <c r="P3821" t="s">
        <v>6424</v>
      </c>
      <c r="Q3821" t="s">
        <v>6373</v>
      </c>
    </row>
    <row r="3822" spans="1:17" x14ac:dyDescent="0.2">
      <c r="A3822" t="s">
        <v>3915</v>
      </c>
      <c r="B3822" t="s">
        <v>3916</v>
      </c>
      <c r="C3822">
        <v>4</v>
      </c>
      <c r="D3822" s="6" t="s">
        <v>3942</v>
      </c>
      <c r="E3822" s="8" t="s">
        <v>4676</v>
      </c>
      <c r="F3822" t="s">
        <v>6364</v>
      </c>
      <c r="G3822">
        <v>20</v>
      </c>
      <c r="Q3822" t="s">
        <v>6365</v>
      </c>
    </row>
    <row r="3823" spans="1:17" x14ac:dyDescent="0.2">
      <c r="A3823" t="s">
        <v>3915</v>
      </c>
      <c r="B3823" t="s">
        <v>3916</v>
      </c>
      <c r="C3823">
        <v>4</v>
      </c>
      <c r="D3823" s="6" t="s">
        <v>3942</v>
      </c>
      <c r="E3823" s="8" t="s">
        <v>4677</v>
      </c>
      <c r="F3823" s="6" t="s">
        <v>7138</v>
      </c>
      <c r="G3823">
        <v>23</v>
      </c>
      <c r="M3823">
        <v>4</v>
      </c>
      <c r="Q3823" t="s">
        <v>10579</v>
      </c>
    </row>
    <row r="3824" spans="1:17" x14ac:dyDescent="0.2">
      <c r="A3824" t="s">
        <v>3915</v>
      </c>
      <c r="B3824" t="s">
        <v>3916</v>
      </c>
      <c r="C3824">
        <v>4</v>
      </c>
      <c r="D3824" s="6" t="s">
        <v>3942</v>
      </c>
      <c r="E3824" s="8" t="s">
        <v>4678</v>
      </c>
      <c r="F3824" s="6" t="s">
        <v>121</v>
      </c>
      <c r="G3824">
        <v>21</v>
      </c>
    </row>
    <row r="3825" spans="1:21" x14ac:dyDescent="0.2">
      <c r="A3825" t="s">
        <v>3915</v>
      </c>
      <c r="B3825" t="s">
        <v>3916</v>
      </c>
      <c r="C3825">
        <v>4</v>
      </c>
      <c r="D3825" s="6" t="s">
        <v>3942</v>
      </c>
      <c r="E3825" s="8" t="s">
        <v>4679</v>
      </c>
      <c r="F3825" s="6" t="s">
        <v>106</v>
      </c>
      <c r="G3825">
        <v>3</v>
      </c>
      <c r="U3825" s="6"/>
    </row>
    <row r="3826" spans="1:21" x14ac:dyDescent="0.2">
      <c r="A3826" t="s">
        <v>3915</v>
      </c>
      <c r="B3826" t="s">
        <v>3916</v>
      </c>
      <c r="C3826">
        <v>4</v>
      </c>
      <c r="D3826" s="6" t="s">
        <v>3942</v>
      </c>
      <c r="E3826" s="8" t="s">
        <v>4680</v>
      </c>
      <c r="F3826" s="6" t="s">
        <v>3875</v>
      </c>
      <c r="G3826">
        <v>47</v>
      </c>
      <c r="U3826" s="6"/>
    </row>
    <row r="3827" spans="1:21" x14ac:dyDescent="0.2">
      <c r="A3827" t="s">
        <v>3915</v>
      </c>
      <c r="B3827" t="s">
        <v>3916</v>
      </c>
      <c r="C3827">
        <v>4</v>
      </c>
      <c r="D3827" s="6" t="s">
        <v>3942</v>
      </c>
      <c r="E3827" s="8" t="s">
        <v>4681</v>
      </c>
      <c r="F3827" s="6" t="s">
        <v>810</v>
      </c>
      <c r="G3827">
        <v>32</v>
      </c>
      <c r="U3827" s="6"/>
    </row>
    <row r="3828" spans="1:21" x14ac:dyDescent="0.2">
      <c r="A3828" t="s">
        <v>3915</v>
      </c>
      <c r="B3828" t="s">
        <v>3916</v>
      </c>
      <c r="C3828">
        <v>4</v>
      </c>
      <c r="D3828" s="6" t="s">
        <v>3942</v>
      </c>
      <c r="E3828" s="8" t="s">
        <v>4682</v>
      </c>
      <c r="F3828" s="6" t="s">
        <v>3945</v>
      </c>
      <c r="G3828">
        <v>8</v>
      </c>
      <c r="U3828" s="6"/>
    </row>
    <row r="3829" spans="1:21" x14ac:dyDescent="0.2">
      <c r="A3829" t="s">
        <v>3915</v>
      </c>
      <c r="B3829" t="s">
        <v>3916</v>
      </c>
      <c r="C3829">
        <v>4</v>
      </c>
      <c r="D3829" s="6" t="s">
        <v>3942</v>
      </c>
      <c r="E3829" s="8" t="s">
        <v>4683</v>
      </c>
      <c r="F3829" s="6" t="s">
        <v>871</v>
      </c>
      <c r="G3829">
        <v>4</v>
      </c>
      <c r="O3829" t="s">
        <v>3431</v>
      </c>
    </row>
    <row r="3830" spans="1:21" x14ac:dyDescent="0.2">
      <c r="A3830" t="s">
        <v>3915</v>
      </c>
      <c r="B3830" t="s">
        <v>3916</v>
      </c>
      <c r="C3830">
        <v>4</v>
      </c>
      <c r="D3830" s="6" t="s">
        <v>3942</v>
      </c>
      <c r="E3830" t="s">
        <v>4637</v>
      </c>
      <c r="F3830" s="6" t="s">
        <v>3964</v>
      </c>
      <c r="G3830">
        <v>65</v>
      </c>
    </row>
    <row r="3831" spans="1:21" x14ac:dyDescent="0.2">
      <c r="A3831" t="s">
        <v>3915</v>
      </c>
      <c r="B3831" t="s">
        <v>3916</v>
      </c>
      <c r="C3831">
        <v>5</v>
      </c>
      <c r="D3831" s="6" t="s">
        <v>3942</v>
      </c>
      <c r="E3831" s="8" t="s">
        <v>4684</v>
      </c>
      <c r="F3831" s="6" t="s">
        <v>1389</v>
      </c>
      <c r="G3831">
        <v>14</v>
      </c>
      <c r="Q3831" t="s">
        <v>6413</v>
      </c>
    </row>
    <row r="3832" spans="1:21" x14ac:dyDescent="0.2">
      <c r="A3832" t="s">
        <v>3915</v>
      </c>
      <c r="B3832" t="s">
        <v>3916</v>
      </c>
      <c r="C3832">
        <v>5</v>
      </c>
      <c r="D3832" s="6" t="s">
        <v>3942</v>
      </c>
      <c r="E3832" s="8" t="s">
        <v>3965</v>
      </c>
      <c r="F3832" s="6" t="s">
        <v>483</v>
      </c>
      <c r="G3832">
        <v>97</v>
      </c>
    </row>
    <row r="3833" spans="1:21" x14ac:dyDescent="0.2">
      <c r="A3833" t="s">
        <v>3915</v>
      </c>
      <c r="B3833" t="s">
        <v>3916</v>
      </c>
      <c r="C3833">
        <v>5</v>
      </c>
      <c r="D3833" s="6" t="s">
        <v>3942</v>
      </c>
      <c r="E3833" s="8" t="s">
        <v>4685</v>
      </c>
      <c r="F3833" t="s">
        <v>1389</v>
      </c>
      <c r="G3833">
        <v>9</v>
      </c>
      <c r="Q3833" t="s">
        <v>6412</v>
      </c>
    </row>
    <row r="3834" spans="1:21" x14ac:dyDescent="0.2">
      <c r="A3834" t="s">
        <v>3915</v>
      </c>
      <c r="B3834" t="s">
        <v>3916</v>
      </c>
      <c r="C3834">
        <v>5</v>
      </c>
      <c r="D3834" s="6" t="s">
        <v>3942</v>
      </c>
      <c r="E3834" s="8" t="s">
        <v>4686</v>
      </c>
      <c r="F3834" t="s">
        <v>1389</v>
      </c>
      <c r="G3834">
        <v>5</v>
      </c>
      <c r="Q3834" t="s">
        <v>6411</v>
      </c>
    </row>
    <row r="3835" spans="1:21" x14ac:dyDescent="0.2">
      <c r="A3835" t="s">
        <v>3915</v>
      </c>
      <c r="B3835" t="s">
        <v>3916</v>
      </c>
      <c r="C3835">
        <v>5</v>
      </c>
      <c r="D3835" s="6" t="s">
        <v>3942</v>
      </c>
      <c r="E3835" s="8" t="s">
        <v>4687</v>
      </c>
      <c r="F3835" t="s">
        <v>1389</v>
      </c>
      <c r="G3835">
        <v>2</v>
      </c>
      <c r="Q3835" t="s">
        <v>6414</v>
      </c>
    </row>
    <row r="3836" spans="1:21" x14ac:dyDescent="0.2">
      <c r="A3836" t="s">
        <v>3915</v>
      </c>
      <c r="B3836" t="s">
        <v>3916</v>
      </c>
      <c r="C3836">
        <v>5</v>
      </c>
      <c r="D3836" s="6" t="s">
        <v>3942</v>
      </c>
      <c r="E3836" s="8" t="s">
        <v>4688</v>
      </c>
      <c r="F3836" t="s">
        <v>1389</v>
      </c>
      <c r="G3836" t="s">
        <v>114</v>
      </c>
      <c r="M3836">
        <v>2</v>
      </c>
      <c r="O3836" t="s">
        <v>698</v>
      </c>
      <c r="Q3836" t="s">
        <v>6415</v>
      </c>
    </row>
    <row r="3837" spans="1:21" x14ac:dyDescent="0.2">
      <c r="A3837" t="s">
        <v>3915</v>
      </c>
      <c r="B3837" t="s">
        <v>3916</v>
      </c>
      <c r="C3837">
        <v>5</v>
      </c>
      <c r="D3837" s="6" t="s">
        <v>3942</v>
      </c>
      <c r="E3837" s="8" t="s">
        <v>4689</v>
      </c>
      <c r="F3837" t="s">
        <v>1389</v>
      </c>
      <c r="G3837">
        <v>34</v>
      </c>
      <c r="M3837">
        <v>5</v>
      </c>
    </row>
    <row r="3838" spans="1:21" x14ac:dyDescent="0.2">
      <c r="A3838" t="s">
        <v>3915</v>
      </c>
      <c r="B3838" t="s">
        <v>3916</v>
      </c>
      <c r="C3838">
        <v>5</v>
      </c>
      <c r="D3838" s="6" t="s">
        <v>3942</v>
      </c>
      <c r="E3838" t="s">
        <v>4690</v>
      </c>
      <c r="F3838" t="s">
        <v>1389</v>
      </c>
      <c r="G3838">
        <v>80</v>
      </c>
    </row>
    <row r="3839" spans="1:21" x14ac:dyDescent="0.2">
      <c r="A3839" t="s">
        <v>3915</v>
      </c>
      <c r="B3839" t="s">
        <v>3916</v>
      </c>
      <c r="C3839">
        <v>5</v>
      </c>
      <c r="D3839" s="6" t="s">
        <v>3942</v>
      </c>
      <c r="E3839" s="8" t="s">
        <v>4691</v>
      </c>
      <c r="F3839" t="s">
        <v>1311</v>
      </c>
      <c r="G3839">
        <v>2</v>
      </c>
      <c r="Q3839" t="s">
        <v>6408</v>
      </c>
    </row>
    <row r="3840" spans="1:21" x14ac:dyDescent="0.2">
      <c r="A3840" t="s">
        <v>3915</v>
      </c>
      <c r="B3840" t="s">
        <v>3916</v>
      </c>
      <c r="C3840">
        <v>5</v>
      </c>
      <c r="D3840" s="6" t="s">
        <v>3942</v>
      </c>
      <c r="E3840" s="8" t="s">
        <v>4692</v>
      </c>
      <c r="F3840" t="s">
        <v>1311</v>
      </c>
      <c r="G3840">
        <v>1</v>
      </c>
      <c r="Q3840" t="s">
        <v>6409</v>
      </c>
    </row>
    <row r="3841" spans="1:17" x14ac:dyDescent="0.2">
      <c r="A3841" t="s">
        <v>3915</v>
      </c>
      <c r="B3841" t="s">
        <v>3916</v>
      </c>
      <c r="C3841">
        <v>5</v>
      </c>
      <c r="D3841" s="6" t="s">
        <v>3942</v>
      </c>
      <c r="E3841" s="8" t="s">
        <v>4693</v>
      </c>
      <c r="F3841" t="s">
        <v>1311</v>
      </c>
      <c r="G3841">
        <v>2</v>
      </c>
      <c r="Q3841" t="s">
        <v>6410</v>
      </c>
    </row>
    <row r="3842" spans="1:17" x14ac:dyDescent="0.2">
      <c r="A3842" t="s">
        <v>3915</v>
      </c>
      <c r="B3842" t="s">
        <v>3916</v>
      </c>
      <c r="C3842">
        <v>5</v>
      </c>
      <c r="D3842" s="6" t="s">
        <v>3942</v>
      </c>
      <c r="E3842" s="8" t="s">
        <v>4694</v>
      </c>
      <c r="F3842" t="s">
        <v>6359</v>
      </c>
      <c r="G3842">
        <v>1</v>
      </c>
      <c r="Q3842" s="42" t="s">
        <v>6360</v>
      </c>
    </row>
    <row r="3843" spans="1:17" x14ac:dyDescent="0.2">
      <c r="A3843" t="s">
        <v>3915</v>
      </c>
      <c r="B3843" t="s">
        <v>3916</v>
      </c>
      <c r="C3843">
        <v>5</v>
      </c>
      <c r="D3843" s="6" t="s">
        <v>3942</v>
      </c>
      <c r="E3843" s="8" t="s">
        <v>4695</v>
      </c>
      <c r="F3843" t="s">
        <v>6359</v>
      </c>
      <c r="G3843">
        <v>2</v>
      </c>
      <c r="O3843" t="s">
        <v>6315</v>
      </c>
      <c r="Q3843" s="42" t="s">
        <v>6361</v>
      </c>
    </row>
    <row r="3844" spans="1:17" x14ac:dyDescent="0.2">
      <c r="A3844" t="s">
        <v>3915</v>
      </c>
      <c r="B3844" t="s">
        <v>3916</v>
      </c>
      <c r="C3844">
        <v>5</v>
      </c>
      <c r="D3844" s="6" t="s">
        <v>3942</v>
      </c>
      <c r="E3844" s="8" t="s">
        <v>4696</v>
      </c>
      <c r="F3844" t="s">
        <v>6359</v>
      </c>
      <c r="G3844">
        <v>1</v>
      </c>
      <c r="Q3844" s="42" t="s">
        <v>6362</v>
      </c>
    </row>
    <row r="3845" spans="1:17" x14ac:dyDescent="0.2">
      <c r="A3845" t="s">
        <v>3915</v>
      </c>
      <c r="B3845" t="s">
        <v>3916</v>
      </c>
      <c r="C3845">
        <v>5</v>
      </c>
      <c r="D3845" s="6" t="s">
        <v>3942</v>
      </c>
      <c r="E3845" s="8" t="s">
        <v>4697</v>
      </c>
      <c r="F3845" t="s">
        <v>6359</v>
      </c>
      <c r="G3845">
        <v>2</v>
      </c>
      <c r="Q3845" s="42" t="s">
        <v>6363</v>
      </c>
    </row>
    <row r="3846" spans="1:17" x14ac:dyDescent="0.2">
      <c r="A3846" t="s">
        <v>3915</v>
      </c>
      <c r="B3846" t="s">
        <v>3916</v>
      </c>
      <c r="C3846">
        <v>5</v>
      </c>
      <c r="D3846" s="6" t="s">
        <v>3942</v>
      </c>
      <c r="E3846" s="8" t="s">
        <v>4698</v>
      </c>
      <c r="F3846" t="s">
        <v>1559</v>
      </c>
      <c r="G3846">
        <v>1</v>
      </c>
    </row>
    <row r="3847" spans="1:17" x14ac:dyDescent="0.2">
      <c r="A3847" t="s">
        <v>3915</v>
      </c>
      <c r="B3847" t="s">
        <v>3916</v>
      </c>
      <c r="C3847">
        <v>5</v>
      </c>
      <c r="D3847" s="6" t="s">
        <v>3942</v>
      </c>
      <c r="E3847" s="8" t="s">
        <v>3965</v>
      </c>
      <c r="F3847" t="s">
        <v>1559</v>
      </c>
      <c r="G3847">
        <v>9</v>
      </c>
      <c r="M3847">
        <v>5</v>
      </c>
    </row>
    <row r="3848" spans="1:17" x14ac:dyDescent="0.2">
      <c r="A3848" t="s">
        <v>3915</v>
      </c>
      <c r="B3848" t="s">
        <v>3916</v>
      </c>
      <c r="C3848">
        <v>1</v>
      </c>
      <c r="D3848" s="6" t="s">
        <v>3942</v>
      </c>
      <c r="E3848" t="s">
        <v>4699</v>
      </c>
      <c r="F3848" t="s">
        <v>1264</v>
      </c>
      <c r="H3848">
        <f>28.2-1.8</f>
        <v>26.4</v>
      </c>
    </row>
    <row r="3849" spans="1:17" x14ac:dyDescent="0.2">
      <c r="A3849" t="s">
        <v>3915</v>
      </c>
      <c r="B3849" t="s">
        <v>3916</v>
      </c>
      <c r="C3849">
        <v>5</v>
      </c>
      <c r="D3849" s="6" t="s">
        <v>3942</v>
      </c>
      <c r="E3849" s="8" t="s">
        <v>4700</v>
      </c>
      <c r="F3849" t="s">
        <v>1538</v>
      </c>
      <c r="G3849">
        <v>34</v>
      </c>
      <c r="Q3849" t="s">
        <v>6419</v>
      </c>
    </row>
    <row r="3850" spans="1:17" x14ac:dyDescent="0.2">
      <c r="A3850" t="s">
        <v>3915</v>
      </c>
      <c r="B3850" t="s">
        <v>3916</v>
      </c>
      <c r="C3850">
        <v>5</v>
      </c>
      <c r="D3850" s="6" t="s">
        <v>3942</v>
      </c>
      <c r="E3850" s="8" t="s">
        <v>4701</v>
      </c>
      <c r="F3850" t="s">
        <v>1538</v>
      </c>
      <c r="G3850">
        <v>14</v>
      </c>
      <c r="Q3850" t="s">
        <v>6418</v>
      </c>
    </row>
    <row r="3851" spans="1:17" x14ac:dyDescent="0.2">
      <c r="A3851" t="s">
        <v>3915</v>
      </c>
      <c r="B3851" t="s">
        <v>3916</v>
      </c>
      <c r="C3851">
        <v>5</v>
      </c>
      <c r="D3851" s="6" t="s">
        <v>3942</v>
      </c>
      <c r="E3851" s="8" t="s">
        <v>4702</v>
      </c>
      <c r="F3851" t="s">
        <v>1538</v>
      </c>
      <c r="G3851">
        <v>3</v>
      </c>
      <c r="Q3851" t="s">
        <v>6416</v>
      </c>
    </row>
    <row r="3852" spans="1:17" x14ac:dyDescent="0.2">
      <c r="A3852" t="s">
        <v>3915</v>
      </c>
      <c r="B3852" t="s">
        <v>3916</v>
      </c>
      <c r="C3852">
        <v>5</v>
      </c>
      <c r="D3852" s="6" t="s">
        <v>3942</v>
      </c>
      <c r="E3852" s="8" t="s">
        <v>4703</v>
      </c>
      <c r="F3852" t="s">
        <v>1538</v>
      </c>
      <c r="G3852">
        <v>6</v>
      </c>
      <c r="Q3852" t="s">
        <v>6417</v>
      </c>
    </row>
    <row r="3853" spans="1:17" x14ac:dyDescent="0.2">
      <c r="A3853" t="s">
        <v>3915</v>
      </c>
      <c r="B3853" t="s">
        <v>3916</v>
      </c>
      <c r="C3853">
        <v>5</v>
      </c>
      <c r="D3853" s="6" t="s">
        <v>3942</v>
      </c>
      <c r="E3853" s="8" t="s">
        <v>4704</v>
      </c>
      <c r="F3853" t="s">
        <v>1538</v>
      </c>
      <c r="G3853">
        <v>4</v>
      </c>
      <c r="Q3853" t="s">
        <v>6420</v>
      </c>
    </row>
    <row r="3854" spans="1:17" x14ac:dyDescent="0.2">
      <c r="A3854" t="s">
        <v>3915</v>
      </c>
      <c r="B3854" t="s">
        <v>3916</v>
      </c>
      <c r="C3854">
        <v>5</v>
      </c>
      <c r="D3854" s="6" t="s">
        <v>3942</v>
      </c>
      <c r="E3854" s="8" t="s">
        <v>4705</v>
      </c>
      <c r="F3854" t="s">
        <v>1538</v>
      </c>
      <c r="G3854">
        <v>72</v>
      </c>
      <c r="M3854">
        <v>5</v>
      </c>
    </row>
    <row r="3855" spans="1:17" x14ac:dyDescent="0.2">
      <c r="A3855" t="s">
        <v>3915</v>
      </c>
      <c r="B3855" t="s">
        <v>3916</v>
      </c>
      <c r="C3855">
        <v>5</v>
      </c>
      <c r="D3855" s="6" t="s">
        <v>3942</v>
      </c>
      <c r="E3855" s="8" t="s">
        <v>4706</v>
      </c>
      <c r="F3855" t="s">
        <v>1538</v>
      </c>
      <c r="G3855">
        <v>4</v>
      </c>
      <c r="Q3855" t="s">
        <v>6422</v>
      </c>
    </row>
    <row r="3856" spans="1:17" x14ac:dyDescent="0.2">
      <c r="A3856" t="s">
        <v>3915</v>
      </c>
      <c r="B3856" t="s">
        <v>3916</v>
      </c>
      <c r="C3856">
        <v>5</v>
      </c>
      <c r="D3856" s="6" t="s">
        <v>3942</v>
      </c>
      <c r="E3856" s="8" t="s">
        <v>4707</v>
      </c>
      <c r="F3856" t="s">
        <v>1538</v>
      </c>
      <c r="G3856">
        <v>2</v>
      </c>
      <c r="Q3856" t="s">
        <v>6421</v>
      </c>
    </row>
    <row r="3857" spans="1:17" x14ac:dyDescent="0.2">
      <c r="A3857" t="s">
        <v>3915</v>
      </c>
      <c r="B3857" t="s">
        <v>3916</v>
      </c>
      <c r="C3857">
        <v>5</v>
      </c>
      <c r="D3857" s="6" t="s">
        <v>3942</v>
      </c>
      <c r="E3857" s="8" t="s">
        <v>4708</v>
      </c>
      <c r="F3857" t="s">
        <v>1538</v>
      </c>
      <c r="G3857">
        <v>1</v>
      </c>
      <c r="Q3857" t="s">
        <v>6423</v>
      </c>
    </row>
    <row r="3858" spans="1:17" x14ac:dyDescent="0.2">
      <c r="A3858" t="s">
        <v>3915</v>
      </c>
      <c r="B3858" t="s">
        <v>3916</v>
      </c>
      <c r="C3858">
        <v>5</v>
      </c>
      <c r="D3858" s="6" t="s">
        <v>3942</v>
      </c>
      <c r="E3858" t="s">
        <v>4690</v>
      </c>
      <c r="F3858" t="s">
        <v>1538</v>
      </c>
      <c r="G3858">
        <v>79</v>
      </c>
    </row>
    <row r="3859" spans="1:17" x14ac:dyDescent="0.2">
      <c r="A3859" t="s">
        <v>3915</v>
      </c>
      <c r="B3859" t="s">
        <v>3916</v>
      </c>
      <c r="C3859">
        <v>5</v>
      </c>
      <c r="D3859" s="6" t="s">
        <v>3942</v>
      </c>
      <c r="E3859" s="8" t="s">
        <v>4709</v>
      </c>
      <c r="F3859" t="s">
        <v>6282</v>
      </c>
      <c r="G3859">
        <v>27</v>
      </c>
      <c r="Q3859" t="s">
        <v>6427</v>
      </c>
    </row>
    <row r="3860" spans="1:17" x14ac:dyDescent="0.2">
      <c r="A3860" t="s">
        <v>3915</v>
      </c>
      <c r="B3860" t="s">
        <v>3916</v>
      </c>
      <c r="C3860">
        <v>5</v>
      </c>
      <c r="D3860" s="6" t="s">
        <v>3942</v>
      </c>
      <c r="E3860" s="8" t="s">
        <v>4710</v>
      </c>
      <c r="F3860" t="s">
        <v>1425</v>
      </c>
      <c r="G3860">
        <v>6</v>
      </c>
      <c r="Q3860" t="s">
        <v>6430</v>
      </c>
    </row>
    <row r="3861" spans="1:17" x14ac:dyDescent="0.2">
      <c r="A3861" t="s">
        <v>3915</v>
      </c>
      <c r="B3861" t="s">
        <v>3916</v>
      </c>
      <c r="C3861">
        <v>5</v>
      </c>
      <c r="D3861" s="6" t="s">
        <v>3942</v>
      </c>
      <c r="E3861" s="8" t="s">
        <v>4711</v>
      </c>
      <c r="F3861" t="s">
        <v>1425</v>
      </c>
      <c r="G3861">
        <v>10</v>
      </c>
      <c r="Q3861" t="s">
        <v>6431</v>
      </c>
    </row>
    <row r="3862" spans="1:17" x14ac:dyDescent="0.2">
      <c r="A3862" t="s">
        <v>3915</v>
      </c>
      <c r="B3862" t="s">
        <v>3916</v>
      </c>
      <c r="C3862">
        <v>5</v>
      </c>
      <c r="D3862" s="6" t="s">
        <v>3942</v>
      </c>
      <c r="E3862" s="8" t="s">
        <v>4712</v>
      </c>
      <c r="F3862" t="s">
        <v>1425</v>
      </c>
      <c r="G3862">
        <v>3</v>
      </c>
      <c r="Q3862" t="s">
        <v>6428</v>
      </c>
    </row>
    <row r="3863" spans="1:17" x14ac:dyDescent="0.2">
      <c r="A3863" t="s">
        <v>3915</v>
      </c>
      <c r="B3863" t="s">
        <v>3916</v>
      </c>
      <c r="C3863">
        <v>5</v>
      </c>
      <c r="D3863" s="6" t="s">
        <v>3942</v>
      </c>
      <c r="E3863" s="8" t="s">
        <v>4713</v>
      </c>
      <c r="F3863" t="s">
        <v>1425</v>
      </c>
      <c r="G3863">
        <v>10</v>
      </c>
      <c r="Q3863" t="s">
        <v>6429</v>
      </c>
    </row>
    <row r="3864" spans="1:17" x14ac:dyDescent="0.2">
      <c r="A3864" t="s">
        <v>3915</v>
      </c>
      <c r="B3864" t="s">
        <v>3916</v>
      </c>
      <c r="C3864">
        <v>5</v>
      </c>
      <c r="D3864" s="6" t="s">
        <v>3942</v>
      </c>
      <c r="E3864" s="8" t="s">
        <v>4714</v>
      </c>
      <c r="F3864" t="s">
        <v>1425</v>
      </c>
      <c r="G3864">
        <v>32</v>
      </c>
      <c r="M3864">
        <v>5</v>
      </c>
    </row>
    <row r="3865" spans="1:17" x14ac:dyDescent="0.2">
      <c r="A3865" t="s">
        <v>3915</v>
      </c>
      <c r="B3865" t="s">
        <v>3916</v>
      </c>
      <c r="C3865">
        <v>5</v>
      </c>
      <c r="D3865" s="6" t="s">
        <v>3942</v>
      </c>
      <c r="E3865" t="s">
        <v>4690</v>
      </c>
      <c r="F3865" t="s">
        <v>1425</v>
      </c>
      <c r="G3865">
        <v>41</v>
      </c>
    </row>
    <row r="3866" spans="1:17" x14ac:dyDescent="0.2">
      <c r="A3866" t="s">
        <v>3915</v>
      </c>
      <c r="B3866" t="s">
        <v>3916</v>
      </c>
      <c r="C3866">
        <v>5</v>
      </c>
      <c r="D3866" s="6" t="s">
        <v>3942</v>
      </c>
      <c r="E3866" s="8" t="s">
        <v>4715</v>
      </c>
      <c r="F3866" t="s">
        <v>6434</v>
      </c>
      <c r="G3866">
        <v>17</v>
      </c>
      <c r="P3866" t="s">
        <v>6424</v>
      </c>
      <c r="Q3866" t="s">
        <v>6432</v>
      </c>
    </row>
    <row r="3867" spans="1:17" x14ac:dyDescent="0.2">
      <c r="A3867" t="s">
        <v>3915</v>
      </c>
      <c r="B3867" t="s">
        <v>3916</v>
      </c>
      <c r="C3867">
        <v>5</v>
      </c>
      <c r="D3867" s="6" t="s">
        <v>3942</v>
      </c>
      <c r="E3867" s="8" t="s">
        <v>4716</v>
      </c>
      <c r="F3867" t="s">
        <v>1425</v>
      </c>
      <c r="G3867">
        <v>22</v>
      </c>
      <c r="P3867" t="s">
        <v>6424</v>
      </c>
      <c r="Q3867" t="s">
        <v>6433</v>
      </c>
    </row>
    <row r="3868" spans="1:17" x14ac:dyDescent="0.2">
      <c r="A3868" t="s">
        <v>3915</v>
      </c>
      <c r="B3868" t="s">
        <v>3916</v>
      </c>
      <c r="C3868">
        <v>5</v>
      </c>
      <c r="D3868" s="6" t="s">
        <v>3942</v>
      </c>
      <c r="E3868" s="8" t="s">
        <v>4717</v>
      </c>
      <c r="F3868" t="s">
        <v>106</v>
      </c>
      <c r="G3868">
        <v>2</v>
      </c>
    </row>
    <row r="3869" spans="1:17" x14ac:dyDescent="0.2">
      <c r="A3869" t="s">
        <v>3915</v>
      </c>
      <c r="B3869" t="s">
        <v>3916</v>
      </c>
      <c r="C3869">
        <v>1</v>
      </c>
      <c r="D3869" s="6" t="s">
        <v>3942</v>
      </c>
      <c r="E3869" t="s">
        <v>4718</v>
      </c>
      <c r="F3869" t="s">
        <v>3973</v>
      </c>
      <c r="G3869">
        <f>405-285</f>
        <v>120</v>
      </c>
      <c r="O3869" t="s">
        <v>3970</v>
      </c>
    </row>
    <row r="3870" spans="1:17" x14ac:dyDescent="0.2">
      <c r="A3870" t="s">
        <v>3915</v>
      </c>
      <c r="B3870" t="s">
        <v>3916</v>
      </c>
      <c r="C3870">
        <v>5</v>
      </c>
      <c r="D3870" s="6" t="s">
        <v>3942</v>
      </c>
      <c r="E3870" s="8" t="s">
        <v>4719</v>
      </c>
      <c r="F3870" t="s">
        <v>7622</v>
      </c>
      <c r="G3870">
        <v>32</v>
      </c>
      <c r="M3870">
        <v>3</v>
      </c>
      <c r="O3870" t="s">
        <v>7662</v>
      </c>
      <c r="Q3870" t="s">
        <v>6435</v>
      </c>
    </row>
    <row r="3871" spans="1:17" x14ac:dyDescent="0.2">
      <c r="A3871" t="s">
        <v>3915</v>
      </c>
      <c r="B3871" t="s">
        <v>3916</v>
      </c>
      <c r="C3871">
        <v>5</v>
      </c>
      <c r="D3871" s="6" t="s">
        <v>3942</v>
      </c>
      <c r="E3871" s="8" t="s">
        <v>4720</v>
      </c>
      <c r="F3871" s="6" t="s">
        <v>5869</v>
      </c>
      <c r="G3871">
        <v>39</v>
      </c>
      <c r="I3871">
        <v>350</v>
      </c>
      <c r="K3871">
        <v>330</v>
      </c>
      <c r="Q3871" t="s">
        <v>6188</v>
      </c>
    </row>
    <row r="3872" spans="1:17" x14ac:dyDescent="0.2">
      <c r="A3872" t="s">
        <v>3915</v>
      </c>
      <c r="B3872" t="s">
        <v>3916</v>
      </c>
      <c r="C3872">
        <v>5</v>
      </c>
      <c r="D3872" s="6" t="s">
        <v>3942</v>
      </c>
      <c r="E3872" s="8" t="s">
        <v>4721</v>
      </c>
      <c r="F3872" t="s">
        <v>5995</v>
      </c>
      <c r="G3872" t="s">
        <v>114</v>
      </c>
      <c r="O3872" t="s">
        <v>6169</v>
      </c>
      <c r="Q3872" t="s">
        <v>6189</v>
      </c>
    </row>
    <row r="3873" spans="1:17" x14ac:dyDescent="0.2">
      <c r="A3873" t="s">
        <v>3915</v>
      </c>
      <c r="B3873" t="s">
        <v>3916</v>
      </c>
      <c r="C3873">
        <v>5</v>
      </c>
      <c r="D3873" s="6" t="s">
        <v>3942</v>
      </c>
      <c r="E3873" s="8" t="s">
        <v>4722</v>
      </c>
      <c r="F3873" t="s">
        <v>3945</v>
      </c>
      <c r="G3873">
        <v>15</v>
      </c>
    </row>
    <row r="3874" spans="1:17" x14ac:dyDescent="0.2">
      <c r="A3874" t="s">
        <v>3915</v>
      </c>
      <c r="B3874" t="s">
        <v>3916</v>
      </c>
      <c r="C3874">
        <v>5</v>
      </c>
      <c r="D3874" s="6" t="s">
        <v>3942</v>
      </c>
      <c r="E3874" s="8" t="s">
        <v>4723</v>
      </c>
      <c r="F3874" t="s">
        <v>3875</v>
      </c>
      <c r="G3874">
        <v>54</v>
      </c>
    </row>
    <row r="3875" spans="1:17" x14ac:dyDescent="0.2">
      <c r="A3875" t="s">
        <v>3915</v>
      </c>
      <c r="B3875" t="s">
        <v>3916</v>
      </c>
      <c r="C3875">
        <v>5</v>
      </c>
      <c r="D3875" s="6" t="s">
        <v>3942</v>
      </c>
      <c r="E3875" t="s">
        <v>4690</v>
      </c>
      <c r="F3875" t="s">
        <v>3923</v>
      </c>
      <c r="G3875">
        <v>62</v>
      </c>
      <c r="O3875" t="s">
        <v>3968</v>
      </c>
    </row>
    <row r="3876" spans="1:17" x14ac:dyDescent="0.2">
      <c r="A3876" t="s">
        <v>3915</v>
      </c>
      <c r="B3876" t="s">
        <v>3916</v>
      </c>
      <c r="C3876" t="s">
        <v>462</v>
      </c>
      <c r="D3876" s="6" t="s">
        <v>3942</v>
      </c>
      <c r="E3876" t="s">
        <v>4724</v>
      </c>
      <c r="F3876" s="6" t="s">
        <v>5869</v>
      </c>
      <c r="G3876">
        <v>134</v>
      </c>
      <c r="I3876">
        <v>437</v>
      </c>
      <c r="K3876">
        <v>419</v>
      </c>
      <c r="O3876" t="s">
        <v>3969</v>
      </c>
    </row>
    <row r="3877" spans="1:17" x14ac:dyDescent="0.2">
      <c r="A3877" t="s">
        <v>3915</v>
      </c>
      <c r="B3877" t="s">
        <v>3916</v>
      </c>
      <c r="C3877" t="s">
        <v>462</v>
      </c>
      <c r="D3877" s="6" t="s">
        <v>3942</v>
      </c>
      <c r="E3877" t="s">
        <v>4724</v>
      </c>
      <c r="F3877" t="s">
        <v>3975</v>
      </c>
      <c r="G3877">
        <f>486-261</f>
        <v>225</v>
      </c>
    </row>
    <row r="3878" spans="1:17" x14ac:dyDescent="0.2">
      <c r="A3878" t="s">
        <v>3915</v>
      </c>
      <c r="B3878" t="s">
        <v>3916</v>
      </c>
      <c r="C3878">
        <v>1</v>
      </c>
      <c r="D3878" s="6" t="s">
        <v>3942</v>
      </c>
      <c r="E3878" t="s">
        <v>4718</v>
      </c>
      <c r="F3878" t="s">
        <v>998</v>
      </c>
      <c r="H3878">
        <f>2.21-0.424</f>
        <v>1.786</v>
      </c>
    </row>
    <row r="3879" spans="1:17" x14ac:dyDescent="0.2">
      <c r="A3879" t="s">
        <v>3915</v>
      </c>
      <c r="B3879" t="s">
        <v>3916</v>
      </c>
      <c r="C3879">
        <v>1</v>
      </c>
      <c r="D3879" s="6" t="s">
        <v>3942</v>
      </c>
      <c r="E3879" s="8" t="s">
        <v>4725</v>
      </c>
      <c r="F3879" t="s">
        <v>6355</v>
      </c>
      <c r="G3879">
        <v>92</v>
      </c>
      <c r="I3879">
        <v>252</v>
      </c>
      <c r="K3879">
        <v>240</v>
      </c>
    </row>
    <row r="3880" spans="1:17" x14ac:dyDescent="0.2">
      <c r="A3880" t="s">
        <v>3915</v>
      </c>
      <c r="B3880" t="s">
        <v>3916</v>
      </c>
      <c r="C3880">
        <v>1</v>
      </c>
      <c r="D3880" s="6" t="s">
        <v>3942</v>
      </c>
      <c r="E3880" s="8" t="s">
        <v>4726</v>
      </c>
      <c r="F3880" t="s">
        <v>10396</v>
      </c>
      <c r="G3880">
        <v>69</v>
      </c>
      <c r="I3880">
        <v>209</v>
      </c>
      <c r="O3880" t="s">
        <v>3966</v>
      </c>
    </row>
    <row r="3881" spans="1:17" x14ac:dyDescent="0.2">
      <c r="A3881" t="s">
        <v>3915</v>
      </c>
      <c r="B3881" t="s">
        <v>3916</v>
      </c>
      <c r="C3881">
        <v>1</v>
      </c>
      <c r="D3881" s="6" t="s">
        <v>3942</v>
      </c>
      <c r="E3881" s="8" t="s">
        <v>4727</v>
      </c>
      <c r="F3881" t="s">
        <v>10592</v>
      </c>
      <c r="G3881">
        <v>34</v>
      </c>
      <c r="I3881">
        <v>136</v>
      </c>
      <c r="K3881">
        <v>115</v>
      </c>
    </row>
    <row r="3882" spans="1:17" x14ac:dyDescent="0.2">
      <c r="A3882" t="s">
        <v>3915</v>
      </c>
      <c r="B3882" t="s">
        <v>3916</v>
      </c>
      <c r="C3882">
        <v>1</v>
      </c>
      <c r="D3882" s="6" t="s">
        <v>3942</v>
      </c>
      <c r="E3882" s="8" t="s">
        <v>4728</v>
      </c>
      <c r="F3882" t="s">
        <v>112</v>
      </c>
      <c r="G3882">
        <v>184</v>
      </c>
      <c r="M3882">
        <v>22</v>
      </c>
      <c r="N3882" t="s">
        <v>10593</v>
      </c>
    </row>
    <row r="3883" spans="1:17" x14ac:dyDescent="0.2">
      <c r="A3883" t="s">
        <v>3915</v>
      </c>
      <c r="B3883" t="s">
        <v>3916</v>
      </c>
      <c r="C3883">
        <v>1</v>
      </c>
      <c r="D3883" s="6" t="s">
        <v>3942</v>
      </c>
      <c r="E3883" s="8" t="s">
        <v>4729</v>
      </c>
      <c r="F3883" t="s">
        <v>3932</v>
      </c>
      <c r="G3883">
        <v>120</v>
      </c>
      <c r="O3883" t="s">
        <v>3976</v>
      </c>
    </row>
    <row r="3884" spans="1:17" x14ac:dyDescent="0.2">
      <c r="A3884" t="s">
        <v>3915</v>
      </c>
      <c r="B3884" t="s">
        <v>3916</v>
      </c>
      <c r="C3884">
        <v>6</v>
      </c>
      <c r="D3884" s="6" t="s">
        <v>3942</v>
      </c>
      <c r="E3884" s="8" t="s">
        <v>4730</v>
      </c>
      <c r="F3884" t="s">
        <v>1425</v>
      </c>
      <c r="G3884">
        <v>40</v>
      </c>
      <c r="Q3884" t="s">
        <v>6436</v>
      </c>
    </row>
    <row r="3885" spans="1:17" x14ac:dyDescent="0.2">
      <c r="A3885" t="s">
        <v>3915</v>
      </c>
      <c r="B3885" t="s">
        <v>3916</v>
      </c>
      <c r="C3885">
        <v>6</v>
      </c>
      <c r="D3885" s="6" t="s">
        <v>3942</v>
      </c>
      <c r="E3885" s="8" t="s">
        <v>4731</v>
      </c>
      <c r="F3885" t="s">
        <v>1425</v>
      </c>
      <c r="G3885">
        <v>16</v>
      </c>
      <c r="Q3885" t="s">
        <v>6437</v>
      </c>
    </row>
    <row r="3886" spans="1:17" x14ac:dyDescent="0.2">
      <c r="A3886" t="s">
        <v>3915</v>
      </c>
      <c r="B3886" t="s">
        <v>3916</v>
      </c>
      <c r="C3886">
        <v>6</v>
      </c>
      <c r="D3886" s="6" t="s">
        <v>3942</v>
      </c>
      <c r="E3886" s="8" t="s">
        <v>4732</v>
      </c>
      <c r="F3886" t="s">
        <v>1425</v>
      </c>
      <c r="G3886">
        <v>9</v>
      </c>
      <c r="Q3886" t="s">
        <v>6438</v>
      </c>
    </row>
    <row r="3887" spans="1:17" x14ac:dyDescent="0.2">
      <c r="A3887" t="s">
        <v>3915</v>
      </c>
      <c r="B3887" t="s">
        <v>3916</v>
      </c>
      <c r="C3887">
        <v>6</v>
      </c>
      <c r="D3887" s="6" t="s">
        <v>3942</v>
      </c>
      <c r="E3887" s="8" t="s">
        <v>4733</v>
      </c>
      <c r="F3887" t="s">
        <v>1425</v>
      </c>
      <c r="G3887">
        <v>5</v>
      </c>
      <c r="Q3887" t="s">
        <v>6439</v>
      </c>
    </row>
    <row r="3888" spans="1:17" x14ac:dyDescent="0.2">
      <c r="A3888" t="s">
        <v>3915</v>
      </c>
      <c r="B3888" t="s">
        <v>3916</v>
      </c>
      <c r="C3888">
        <v>6</v>
      </c>
      <c r="D3888" s="6" t="s">
        <v>3942</v>
      </c>
      <c r="E3888" s="8" t="s">
        <v>4734</v>
      </c>
      <c r="F3888" t="s">
        <v>1425</v>
      </c>
      <c r="G3888">
        <v>2</v>
      </c>
      <c r="Q3888" t="s">
        <v>6440</v>
      </c>
    </row>
    <row r="3889" spans="1:17" x14ac:dyDescent="0.2">
      <c r="A3889" t="s">
        <v>3915</v>
      </c>
      <c r="B3889" t="s">
        <v>3916</v>
      </c>
      <c r="C3889">
        <v>6</v>
      </c>
      <c r="D3889" s="6" t="s">
        <v>3942</v>
      </c>
      <c r="E3889" s="8" t="s">
        <v>4735</v>
      </c>
      <c r="F3889" t="s">
        <v>1425</v>
      </c>
      <c r="G3889">
        <v>73</v>
      </c>
      <c r="M3889">
        <v>5</v>
      </c>
    </row>
    <row r="3890" spans="1:17" x14ac:dyDescent="0.2">
      <c r="A3890" t="s">
        <v>3915</v>
      </c>
      <c r="B3890" t="s">
        <v>3916</v>
      </c>
      <c r="C3890">
        <v>6</v>
      </c>
      <c r="D3890" s="6" t="s">
        <v>3942</v>
      </c>
      <c r="E3890" t="s">
        <v>4736</v>
      </c>
      <c r="F3890" t="s">
        <v>1425</v>
      </c>
      <c r="H3890">
        <v>1.4159999999999999</v>
      </c>
    </row>
    <row r="3891" spans="1:17" x14ac:dyDescent="0.2">
      <c r="A3891" t="s">
        <v>3915</v>
      </c>
      <c r="B3891" t="s">
        <v>3916</v>
      </c>
      <c r="C3891">
        <v>6</v>
      </c>
      <c r="D3891" s="6" t="s">
        <v>3942</v>
      </c>
      <c r="E3891" s="8" t="s">
        <v>4737</v>
      </c>
      <c r="F3891" t="s">
        <v>1389</v>
      </c>
      <c r="G3891">
        <v>14</v>
      </c>
      <c r="Q3891" t="s">
        <v>6425</v>
      </c>
    </row>
    <row r="3892" spans="1:17" x14ac:dyDescent="0.2">
      <c r="A3892" t="s">
        <v>3915</v>
      </c>
      <c r="B3892" t="s">
        <v>3916</v>
      </c>
      <c r="C3892">
        <v>6</v>
      </c>
      <c r="D3892" s="6" t="s">
        <v>3942</v>
      </c>
      <c r="E3892" s="8" t="s">
        <v>4738</v>
      </c>
      <c r="F3892" t="s">
        <v>1389</v>
      </c>
      <c r="G3892">
        <v>10</v>
      </c>
      <c r="Q3892" t="s">
        <v>6426</v>
      </c>
    </row>
    <row r="3893" spans="1:17" x14ac:dyDescent="0.2">
      <c r="A3893" t="s">
        <v>3915</v>
      </c>
      <c r="B3893" t="s">
        <v>3916</v>
      </c>
      <c r="C3893">
        <v>6</v>
      </c>
      <c r="D3893" s="6" t="s">
        <v>3942</v>
      </c>
      <c r="E3893" s="8" t="s">
        <v>4739</v>
      </c>
      <c r="F3893" t="s">
        <v>1389</v>
      </c>
      <c r="G3893">
        <v>5</v>
      </c>
      <c r="Q3893" t="s">
        <v>6441</v>
      </c>
    </row>
    <row r="3894" spans="1:17" x14ac:dyDescent="0.2">
      <c r="A3894" t="s">
        <v>3915</v>
      </c>
      <c r="B3894" t="s">
        <v>3916</v>
      </c>
      <c r="C3894">
        <v>6</v>
      </c>
      <c r="D3894" s="6" t="s">
        <v>3942</v>
      </c>
      <c r="E3894" s="8" t="s">
        <v>4740</v>
      </c>
      <c r="F3894" t="s">
        <v>1389</v>
      </c>
      <c r="G3894">
        <v>1</v>
      </c>
      <c r="Q3894" t="s">
        <v>6448</v>
      </c>
    </row>
    <row r="3895" spans="1:17" x14ac:dyDescent="0.2">
      <c r="A3895" t="s">
        <v>3915</v>
      </c>
      <c r="B3895" t="s">
        <v>3916</v>
      </c>
      <c r="C3895">
        <v>6</v>
      </c>
      <c r="D3895" s="6" t="s">
        <v>3942</v>
      </c>
      <c r="E3895" s="8" t="s">
        <v>4741</v>
      </c>
      <c r="F3895" t="s">
        <v>1389</v>
      </c>
      <c r="G3895">
        <v>1</v>
      </c>
      <c r="M3895">
        <v>5</v>
      </c>
      <c r="O3895" t="s">
        <v>698</v>
      </c>
      <c r="Q3895" t="s">
        <v>6449</v>
      </c>
    </row>
    <row r="3896" spans="1:17" x14ac:dyDescent="0.2">
      <c r="A3896" t="s">
        <v>3915</v>
      </c>
      <c r="B3896" t="s">
        <v>3916</v>
      </c>
      <c r="C3896">
        <v>6</v>
      </c>
      <c r="D3896" s="6" t="s">
        <v>3942</v>
      </c>
      <c r="E3896" s="8" t="s">
        <v>4742</v>
      </c>
      <c r="F3896" t="s">
        <v>1389</v>
      </c>
      <c r="G3896">
        <v>35</v>
      </c>
      <c r="M3896">
        <v>5</v>
      </c>
    </row>
    <row r="3897" spans="1:17" x14ac:dyDescent="0.2">
      <c r="A3897" t="s">
        <v>3915</v>
      </c>
      <c r="B3897" t="s">
        <v>3916</v>
      </c>
      <c r="C3897">
        <v>6</v>
      </c>
      <c r="D3897" s="6" t="s">
        <v>3942</v>
      </c>
      <c r="E3897" s="8" t="s">
        <v>4743</v>
      </c>
      <c r="F3897" t="s">
        <v>1311</v>
      </c>
      <c r="G3897">
        <v>4</v>
      </c>
      <c r="Q3897" t="s">
        <v>6442</v>
      </c>
    </row>
    <row r="3898" spans="1:17" x14ac:dyDescent="0.2">
      <c r="A3898" t="s">
        <v>3915</v>
      </c>
      <c r="B3898" t="s">
        <v>3916</v>
      </c>
      <c r="C3898">
        <v>6</v>
      </c>
      <c r="D3898" s="6" t="s">
        <v>3942</v>
      </c>
      <c r="E3898" s="8" t="s">
        <v>4744</v>
      </c>
      <c r="F3898" t="s">
        <v>1311</v>
      </c>
      <c r="G3898">
        <v>2</v>
      </c>
      <c r="Q3898" t="s">
        <v>6443</v>
      </c>
    </row>
    <row r="3899" spans="1:17" x14ac:dyDescent="0.2">
      <c r="A3899" t="s">
        <v>3915</v>
      </c>
      <c r="B3899" t="s">
        <v>3916</v>
      </c>
      <c r="C3899">
        <v>6</v>
      </c>
      <c r="D3899" s="6" t="s">
        <v>3942</v>
      </c>
      <c r="E3899" s="8" t="s">
        <v>4745</v>
      </c>
      <c r="F3899" t="s">
        <v>1311</v>
      </c>
      <c r="G3899">
        <v>3</v>
      </c>
      <c r="Q3899" t="s">
        <v>6444</v>
      </c>
    </row>
    <row r="3900" spans="1:17" x14ac:dyDescent="0.2">
      <c r="A3900" t="s">
        <v>3915</v>
      </c>
      <c r="B3900" t="s">
        <v>3916</v>
      </c>
      <c r="C3900">
        <v>6</v>
      </c>
      <c r="D3900" s="6" t="s">
        <v>3942</v>
      </c>
      <c r="E3900" s="8" t="s">
        <v>4746</v>
      </c>
      <c r="F3900" t="s">
        <v>1311</v>
      </c>
      <c r="G3900">
        <v>3</v>
      </c>
      <c r="Q3900" t="s">
        <v>6445</v>
      </c>
    </row>
    <row r="3901" spans="1:17" x14ac:dyDescent="0.2">
      <c r="A3901" t="s">
        <v>3915</v>
      </c>
      <c r="B3901" t="s">
        <v>3916</v>
      </c>
      <c r="C3901">
        <v>6</v>
      </c>
      <c r="D3901" s="6" t="s">
        <v>3942</v>
      </c>
      <c r="E3901" s="8" t="s">
        <v>4747</v>
      </c>
      <c r="F3901" t="s">
        <v>1311</v>
      </c>
      <c r="G3901">
        <v>4</v>
      </c>
      <c r="Q3901" t="s">
        <v>6446</v>
      </c>
    </row>
    <row r="3902" spans="1:17" x14ac:dyDescent="0.2">
      <c r="A3902" t="s">
        <v>3915</v>
      </c>
      <c r="B3902" t="s">
        <v>3916</v>
      </c>
      <c r="C3902">
        <v>6</v>
      </c>
      <c r="D3902" s="6" t="s">
        <v>3942</v>
      </c>
      <c r="E3902" s="8" t="s">
        <v>4748</v>
      </c>
      <c r="F3902" t="s">
        <v>1311</v>
      </c>
      <c r="G3902">
        <v>5</v>
      </c>
      <c r="Q3902" t="s">
        <v>6447</v>
      </c>
    </row>
    <row r="3903" spans="1:17" x14ac:dyDescent="0.2">
      <c r="A3903" t="s">
        <v>3915</v>
      </c>
      <c r="B3903" t="s">
        <v>3916</v>
      </c>
      <c r="C3903">
        <v>6</v>
      </c>
      <c r="D3903" s="6" t="s">
        <v>3942</v>
      </c>
      <c r="E3903" s="8" t="s">
        <v>4749</v>
      </c>
      <c r="F3903" t="s">
        <v>1559</v>
      </c>
      <c r="G3903">
        <v>2</v>
      </c>
      <c r="Q3903" t="s">
        <v>6450</v>
      </c>
    </row>
    <row r="3904" spans="1:17" x14ac:dyDescent="0.2">
      <c r="A3904" t="s">
        <v>3915</v>
      </c>
      <c r="B3904" t="s">
        <v>3916</v>
      </c>
      <c r="C3904">
        <v>6</v>
      </c>
      <c r="D3904" s="6" t="s">
        <v>3942</v>
      </c>
      <c r="E3904" s="8" t="s">
        <v>4750</v>
      </c>
      <c r="F3904" t="s">
        <v>1559</v>
      </c>
      <c r="G3904">
        <v>1</v>
      </c>
      <c r="Q3904" t="s">
        <v>6451</v>
      </c>
    </row>
    <row r="3905" spans="1:17" x14ac:dyDescent="0.2">
      <c r="A3905" t="s">
        <v>3915</v>
      </c>
      <c r="B3905" t="s">
        <v>3916</v>
      </c>
      <c r="C3905">
        <v>6</v>
      </c>
      <c r="D3905" s="6" t="s">
        <v>3942</v>
      </c>
      <c r="E3905" s="8" t="s">
        <v>4751</v>
      </c>
      <c r="F3905" t="s">
        <v>1559</v>
      </c>
      <c r="G3905">
        <v>1</v>
      </c>
      <c r="Q3905" t="s">
        <v>6452</v>
      </c>
    </row>
    <row r="3906" spans="1:17" x14ac:dyDescent="0.2">
      <c r="A3906" t="s">
        <v>3915</v>
      </c>
      <c r="B3906" t="s">
        <v>3916</v>
      </c>
      <c r="C3906">
        <v>6</v>
      </c>
      <c r="D3906" s="6" t="s">
        <v>3942</v>
      </c>
      <c r="E3906" s="8" t="s">
        <v>4752</v>
      </c>
      <c r="F3906" t="s">
        <v>1559</v>
      </c>
      <c r="G3906">
        <v>2</v>
      </c>
      <c r="Q3906" t="s">
        <v>6453</v>
      </c>
    </row>
    <row r="3907" spans="1:17" x14ac:dyDescent="0.2">
      <c r="A3907" t="s">
        <v>3915</v>
      </c>
      <c r="B3907" t="s">
        <v>3916</v>
      </c>
      <c r="C3907">
        <v>6</v>
      </c>
      <c r="D3907" s="6" t="s">
        <v>3942</v>
      </c>
      <c r="E3907" s="8" t="s">
        <v>4753</v>
      </c>
      <c r="F3907" t="s">
        <v>1559</v>
      </c>
      <c r="G3907">
        <v>2</v>
      </c>
      <c r="Q3907" t="s">
        <v>6454</v>
      </c>
    </row>
    <row r="3908" spans="1:17" x14ac:dyDescent="0.2">
      <c r="A3908" t="s">
        <v>3915</v>
      </c>
      <c r="B3908" t="s">
        <v>3916</v>
      </c>
      <c r="C3908">
        <v>6</v>
      </c>
      <c r="D3908" s="6" t="s">
        <v>3942</v>
      </c>
      <c r="E3908" s="8" t="s">
        <v>4754</v>
      </c>
      <c r="F3908" t="s">
        <v>1559</v>
      </c>
      <c r="G3908">
        <v>5</v>
      </c>
      <c r="M3908">
        <v>3</v>
      </c>
    </row>
    <row r="3909" spans="1:17" x14ac:dyDescent="0.2">
      <c r="A3909" t="s">
        <v>3915</v>
      </c>
      <c r="B3909" t="s">
        <v>3916</v>
      </c>
      <c r="C3909">
        <v>6</v>
      </c>
      <c r="D3909" s="6" t="s">
        <v>3942</v>
      </c>
      <c r="E3909" t="s">
        <v>4736</v>
      </c>
      <c r="F3909" t="s">
        <v>1389</v>
      </c>
      <c r="G3909">
        <v>370</v>
      </c>
    </row>
    <row r="3910" spans="1:17" x14ac:dyDescent="0.2">
      <c r="A3910" t="s">
        <v>3915</v>
      </c>
      <c r="B3910" t="s">
        <v>3916</v>
      </c>
      <c r="C3910">
        <v>6</v>
      </c>
      <c r="D3910" s="6" t="s">
        <v>3942</v>
      </c>
      <c r="E3910" s="8" t="s">
        <v>4755</v>
      </c>
      <c r="F3910" t="s">
        <v>1264</v>
      </c>
      <c r="G3910">
        <v>800</v>
      </c>
      <c r="O3910" t="s">
        <v>3978</v>
      </c>
    </row>
    <row r="3911" spans="1:17" x14ac:dyDescent="0.2">
      <c r="A3911" t="s">
        <v>3915</v>
      </c>
      <c r="B3911" t="s">
        <v>3916</v>
      </c>
      <c r="C3911">
        <v>6</v>
      </c>
      <c r="D3911" s="6" t="s">
        <v>3942</v>
      </c>
      <c r="E3911" s="8" t="s">
        <v>4756</v>
      </c>
      <c r="F3911" t="s">
        <v>3459</v>
      </c>
      <c r="G3911">
        <v>501</v>
      </c>
      <c r="O3911" t="s">
        <v>3977</v>
      </c>
    </row>
    <row r="3912" spans="1:17" x14ac:dyDescent="0.2">
      <c r="A3912" t="s">
        <v>3915</v>
      </c>
      <c r="B3912" t="s">
        <v>3916</v>
      </c>
      <c r="C3912">
        <v>6</v>
      </c>
      <c r="D3912" s="6" t="s">
        <v>3942</v>
      </c>
      <c r="E3912" s="8" t="s">
        <v>4757</v>
      </c>
      <c r="F3912" t="s">
        <v>5995</v>
      </c>
      <c r="G3912">
        <v>7</v>
      </c>
      <c r="Q3912" t="s">
        <v>6194</v>
      </c>
    </row>
    <row r="3913" spans="1:17" x14ac:dyDescent="0.2">
      <c r="A3913" t="s">
        <v>3915</v>
      </c>
      <c r="B3913" t="s">
        <v>3916</v>
      </c>
      <c r="C3913">
        <v>6</v>
      </c>
      <c r="D3913" s="6" t="s">
        <v>3942</v>
      </c>
      <c r="E3913" s="8" t="s">
        <v>4758</v>
      </c>
      <c r="F3913" t="s">
        <v>5995</v>
      </c>
      <c r="G3913">
        <v>4</v>
      </c>
      <c r="Q3913" t="s">
        <v>6193</v>
      </c>
    </row>
    <row r="3914" spans="1:17" x14ac:dyDescent="0.2">
      <c r="A3914" t="s">
        <v>3915</v>
      </c>
      <c r="B3914" t="s">
        <v>3916</v>
      </c>
      <c r="C3914">
        <v>6</v>
      </c>
      <c r="D3914" s="6" t="s">
        <v>3942</v>
      </c>
      <c r="E3914" s="8" t="s">
        <v>4759</v>
      </c>
      <c r="F3914" t="s">
        <v>5995</v>
      </c>
      <c r="G3914">
        <v>2</v>
      </c>
      <c r="Q3914" t="s">
        <v>6192</v>
      </c>
    </row>
    <row r="3915" spans="1:17" x14ac:dyDescent="0.2">
      <c r="A3915" t="s">
        <v>3915</v>
      </c>
      <c r="B3915" t="s">
        <v>3916</v>
      </c>
      <c r="C3915">
        <v>6</v>
      </c>
      <c r="D3915" s="6" t="s">
        <v>3942</v>
      </c>
      <c r="E3915" s="8" t="s">
        <v>4760</v>
      </c>
      <c r="F3915" t="s">
        <v>5995</v>
      </c>
      <c r="G3915">
        <v>1</v>
      </c>
      <c r="Q3915" t="s">
        <v>6191</v>
      </c>
    </row>
    <row r="3916" spans="1:17" x14ac:dyDescent="0.2">
      <c r="A3916" t="s">
        <v>3915</v>
      </c>
      <c r="B3916" t="s">
        <v>3916</v>
      </c>
      <c r="C3916">
        <v>6</v>
      </c>
      <c r="D3916" s="6" t="s">
        <v>3942</v>
      </c>
      <c r="E3916" s="8" t="s">
        <v>4761</v>
      </c>
      <c r="F3916" t="s">
        <v>5995</v>
      </c>
      <c r="G3916">
        <v>2</v>
      </c>
      <c r="Q3916" t="s">
        <v>6190</v>
      </c>
    </row>
    <row r="3917" spans="1:17" x14ac:dyDescent="0.2">
      <c r="A3917" t="s">
        <v>3915</v>
      </c>
      <c r="B3917" t="s">
        <v>3916</v>
      </c>
      <c r="C3917">
        <v>6</v>
      </c>
      <c r="D3917" s="6" t="s">
        <v>3942</v>
      </c>
      <c r="E3917" s="8" t="s">
        <v>4762</v>
      </c>
      <c r="F3917" t="s">
        <v>5995</v>
      </c>
      <c r="G3917">
        <v>9</v>
      </c>
      <c r="M3917">
        <v>5</v>
      </c>
    </row>
    <row r="3918" spans="1:17" x14ac:dyDescent="0.2">
      <c r="A3918" t="s">
        <v>3915</v>
      </c>
      <c r="B3918" t="s">
        <v>3916</v>
      </c>
      <c r="C3918">
        <v>6</v>
      </c>
      <c r="D3918" s="6" t="s">
        <v>3942</v>
      </c>
      <c r="E3918" t="s">
        <v>4736</v>
      </c>
      <c r="F3918" t="s">
        <v>5995</v>
      </c>
      <c r="G3918">
        <v>11</v>
      </c>
    </row>
    <row r="3919" spans="1:17" x14ac:dyDescent="0.2">
      <c r="A3919" t="s">
        <v>3915</v>
      </c>
      <c r="B3919" t="s">
        <v>3916</v>
      </c>
      <c r="C3919">
        <v>6</v>
      </c>
      <c r="D3919" s="6" t="s">
        <v>3942</v>
      </c>
      <c r="E3919" s="8" t="s">
        <v>4763</v>
      </c>
      <c r="F3919" t="s">
        <v>2818</v>
      </c>
      <c r="G3919">
        <v>66</v>
      </c>
      <c r="M3919">
        <v>9</v>
      </c>
      <c r="O3919" t="s">
        <v>3979</v>
      </c>
    </row>
    <row r="3920" spans="1:17" x14ac:dyDescent="0.2">
      <c r="A3920" t="s">
        <v>3915</v>
      </c>
      <c r="B3920" t="s">
        <v>3916</v>
      </c>
      <c r="C3920">
        <v>6</v>
      </c>
      <c r="D3920" s="6" t="s">
        <v>3942</v>
      </c>
      <c r="E3920" s="8" t="s">
        <v>4764</v>
      </c>
      <c r="F3920" t="s">
        <v>121</v>
      </c>
      <c r="G3920">
        <v>36</v>
      </c>
    </row>
    <row r="3921" spans="1:17" x14ac:dyDescent="0.2">
      <c r="A3921" t="s">
        <v>3915</v>
      </c>
      <c r="B3921" t="s">
        <v>3916</v>
      </c>
      <c r="C3921">
        <v>6</v>
      </c>
      <c r="D3921" s="6" t="s">
        <v>3942</v>
      </c>
      <c r="E3921" s="8" t="s">
        <v>4765</v>
      </c>
      <c r="F3921" t="s">
        <v>871</v>
      </c>
      <c r="G3921">
        <v>4</v>
      </c>
      <c r="O3921" t="s">
        <v>3980</v>
      </c>
    </row>
    <row r="3922" spans="1:17" x14ac:dyDescent="0.2">
      <c r="A3922" t="s">
        <v>3915</v>
      </c>
      <c r="B3922" t="s">
        <v>3916</v>
      </c>
      <c r="C3922">
        <v>6</v>
      </c>
      <c r="D3922" s="6" t="s">
        <v>3942</v>
      </c>
      <c r="E3922" s="8" t="s">
        <v>4766</v>
      </c>
      <c r="F3922" t="s">
        <v>3875</v>
      </c>
      <c r="G3922">
        <v>7</v>
      </c>
    </row>
    <row r="3923" spans="1:17" x14ac:dyDescent="0.2">
      <c r="A3923" t="s">
        <v>3915</v>
      </c>
      <c r="B3923" t="s">
        <v>3916</v>
      </c>
      <c r="C3923">
        <v>6</v>
      </c>
      <c r="D3923" s="6" t="s">
        <v>3942</v>
      </c>
      <c r="E3923" s="8" t="s">
        <v>4767</v>
      </c>
      <c r="F3923" t="s">
        <v>3982</v>
      </c>
      <c r="G3923">
        <v>2</v>
      </c>
    </row>
    <row r="3924" spans="1:17" x14ac:dyDescent="0.2">
      <c r="A3924" t="s">
        <v>3915</v>
      </c>
      <c r="B3924" t="s">
        <v>3916</v>
      </c>
      <c r="C3924">
        <v>6</v>
      </c>
      <c r="D3924" s="6" t="s">
        <v>3942</v>
      </c>
      <c r="E3924" s="8" t="s">
        <v>4768</v>
      </c>
      <c r="F3924" t="s">
        <v>106</v>
      </c>
      <c r="G3924">
        <v>15</v>
      </c>
    </row>
    <row r="3925" spans="1:17" x14ac:dyDescent="0.2">
      <c r="A3925" t="s">
        <v>3915</v>
      </c>
      <c r="B3925" t="s">
        <v>3916</v>
      </c>
      <c r="C3925">
        <v>6</v>
      </c>
      <c r="D3925" s="6" t="s">
        <v>3942</v>
      </c>
      <c r="E3925" s="8" t="s">
        <v>4769</v>
      </c>
      <c r="F3925" t="s">
        <v>3983</v>
      </c>
      <c r="G3925">
        <v>17</v>
      </c>
      <c r="O3925" t="s">
        <v>3981</v>
      </c>
    </row>
    <row r="3926" spans="1:17" x14ac:dyDescent="0.2">
      <c r="A3926" t="s">
        <v>3915</v>
      </c>
      <c r="B3926" t="s">
        <v>3916</v>
      </c>
      <c r="C3926">
        <v>6</v>
      </c>
      <c r="D3926" s="6" t="s">
        <v>3942</v>
      </c>
      <c r="E3926" t="s">
        <v>4736</v>
      </c>
      <c r="F3926" t="s">
        <v>3215</v>
      </c>
      <c r="G3926">
        <v>4</v>
      </c>
    </row>
    <row r="3927" spans="1:17" x14ac:dyDescent="0.2">
      <c r="A3927" t="s">
        <v>3915</v>
      </c>
      <c r="B3927" t="s">
        <v>3916</v>
      </c>
      <c r="C3927">
        <v>6</v>
      </c>
      <c r="D3927" s="6" t="s">
        <v>3942</v>
      </c>
      <c r="E3927" s="8" t="s">
        <v>4770</v>
      </c>
      <c r="F3927" t="s">
        <v>1538</v>
      </c>
      <c r="G3927">
        <v>36</v>
      </c>
      <c r="Q3927" t="s">
        <v>6463</v>
      </c>
    </row>
    <row r="3928" spans="1:17" x14ac:dyDescent="0.2">
      <c r="A3928" t="s">
        <v>3915</v>
      </c>
      <c r="B3928" t="s">
        <v>3916</v>
      </c>
      <c r="C3928">
        <v>6</v>
      </c>
      <c r="D3928" s="6" t="s">
        <v>3942</v>
      </c>
      <c r="E3928" s="8" t="s">
        <v>4771</v>
      </c>
      <c r="F3928" t="s">
        <v>1538</v>
      </c>
      <c r="G3928">
        <v>10</v>
      </c>
      <c r="Q3928" t="s">
        <v>6462</v>
      </c>
    </row>
    <row r="3929" spans="1:17" x14ac:dyDescent="0.2">
      <c r="A3929" t="s">
        <v>3915</v>
      </c>
      <c r="B3929" t="s">
        <v>3916</v>
      </c>
      <c r="C3929">
        <v>6</v>
      </c>
      <c r="D3929" s="6" t="s">
        <v>3942</v>
      </c>
      <c r="E3929" s="8" t="s">
        <v>4772</v>
      </c>
      <c r="F3929" t="s">
        <v>1538</v>
      </c>
      <c r="G3929">
        <v>5</v>
      </c>
      <c r="Q3929" t="s">
        <v>6461</v>
      </c>
    </row>
    <row r="3930" spans="1:17" x14ac:dyDescent="0.2">
      <c r="A3930" t="s">
        <v>3915</v>
      </c>
      <c r="B3930" t="s">
        <v>3916</v>
      </c>
      <c r="C3930">
        <v>6</v>
      </c>
      <c r="D3930" s="6" t="s">
        <v>3942</v>
      </c>
      <c r="E3930" s="8" t="s">
        <v>4773</v>
      </c>
      <c r="F3930" t="s">
        <v>1538</v>
      </c>
      <c r="G3930">
        <v>2</v>
      </c>
      <c r="Q3930" t="s">
        <v>6460</v>
      </c>
    </row>
    <row r="3931" spans="1:17" x14ac:dyDescent="0.2">
      <c r="A3931" t="s">
        <v>3915</v>
      </c>
      <c r="B3931" t="s">
        <v>3916</v>
      </c>
      <c r="C3931">
        <v>6</v>
      </c>
      <c r="D3931" s="6" t="s">
        <v>3942</v>
      </c>
      <c r="E3931" s="8" t="s">
        <v>4774</v>
      </c>
      <c r="F3931" t="s">
        <v>6231</v>
      </c>
      <c r="G3931">
        <v>15</v>
      </c>
      <c r="Q3931" t="s">
        <v>6466</v>
      </c>
    </row>
    <row r="3932" spans="1:17" x14ac:dyDescent="0.2">
      <c r="A3932" t="s">
        <v>3915</v>
      </c>
      <c r="B3932" t="s">
        <v>3916</v>
      </c>
      <c r="C3932">
        <v>6</v>
      </c>
      <c r="D3932" s="6" t="s">
        <v>3942</v>
      </c>
      <c r="E3932" s="8" t="s">
        <v>4775</v>
      </c>
      <c r="F3932" t="s">
        <v>3930</v>
      </c>
      <c r="G3932">
        <v>20</v>
      </c>
      <c r="Q3932" t="s">
        <v>6467</v>
      </c>
    </row>
    <row r="3933" spans="1:17" x14ac:dyDescent="0.2">
      <c r="A3933" t="s">
        <v>3915</v>
      </c>
      <c r="B3933" t="s">
        <v>3916</v>
      </c>
      <c r="C3933">
        <v>6</v>
      </c>
      <c r="D3933" s="6" t="s">
        <v>3942</v>
      </c>
      <c r="E3933" s="8" t="s">
        <v>4776</v>
      </c>
      <c r="F3933" t="s">
        <v>3930</v>
      </c>
      <c r="G3933">
        <v>7</v>
      </c>
      <c r="Q3933" t="s">
        <v>6468</v>
      </c>
    </row>
    <row r="3934" spans="1:17" x14ac:dyDescent="0.2">
      <c r="A3934" t="s">
        <v>3915</v>
      </c>
      <c r="B3934" t="s">
        <v>3916</v>
      </c>
      <c r="C3934">
        <v>6</v>
      </c>
      <c r="D3934" s="6" t="s">
        <v>3942</v>
      </c>
      <c r="E3934" s="8" t="s">
        <v>4777</v>
      </c>
      <c r="F3934" t="s">
        <v>5053</v>
      </c>
      <c r="G3934">
        <v>1</v>
      </c>
      <c r="Q3934" t="s">
        <v>6464</v>
      </c>
    </row>
    <row r="3935" spans="1:17" x14ac:dyDescent="0.2">
      <c r="A3935" t="s">
        <v>3915</v>
      </c>
      <c r="B3935" t="s">
        <v>3916</v>
      </c>
      <c r="C3935">
        <v>6</v>
      </c>
      <c r="D3935" s="6" t="s">
        <v>3942</v>
      </c>
      <c r="E3935" s="8" t="s">
        <v>4778</v>
      </c>
      <c r="F3935" t="s">
        <v>5053</v>
      </c>
      <c r="G3935">
        <v>2</v>
      </c>
      <c r="Q3935" t="s">
        <v>6465</v>
      </c>
    </row>
    <row r="3936" spans="1:17" x14ac:dyDescent="0.2">
      <c r="A3936" t="s">
        <v>3915</v>
      </c>
      <c r="B3936" t="s">
        <v>3916</v>
      </c>
      <c r="C3936">
        <v>6</v>
      </c>
      <c r="D3936" s="6" t="s">
        <v>3942</v>
      </c>
      <c r="E3936" s="8" t="s">
        <v>4779</v>
      </c>
      <c r="F3936" t="s">
        <v>1538</v>
      </c>
      <c r="G3936">
        <v>5</v>
      </c>
      <c r="Q3936" t="s">
        <v>6459</v>
      </c>
    </row>
    <row r="3937" spans="1:17" x14ac:dyDescent="0.2">
      <c r="A3937" t="s">
        <v>3915</v>
      </c>
      <c r="B3937" t="s">
        <v>3916</v>
      </c>
      <c r="C3937">
        <v>6</v>
      </c>
      <c r="D3937" s="6" t="s">
        <v>3942</v>
      </c>
      <c r="E3937" s="8" t="s">
        <v>4780</v>
      </c>
      <c r="F3937" t="s">
        <v>1538</v>
      </c>
      <c r="G3937">
        <v>3</v>
      </c>
      <c r="Q3937" t="s">
        <v>6458</v>
      </c>
    </row>
    <row r="3938" spans="1:17" x14ac:dyDescent="0.2">
      <c r="A3938" t="s">
        <v>3915</v>
      </c>
      <c r="B3938" t="s">
        <v>3916</v>
      </c>
      <c r="C3938">
        <v>6</v>
      </c>
      <c r="D3938" s="6" t="s">
        <v>3942</v>
      </c>
      <c r="E3938" s="8" t="s">
        <v>4781</v>
      </c>
      <c r="F3938" t="s">
        <v>1538</v>
      </c>
      <c r="G3938" t="s">
        <v>114</v>
      </c>
      <c r="Q3938" t="s">
        <v>6456</v>
      </c>
    </row>
    <row r="3939" spans="1:17" x14ac:dyDescent="0.2">
      <c r="A3939" t="s">
        <v>3915</v>
      </c>
      <c r="B3939" t="s">
        <v>3916</v>
      </c>
      <c r="C3939">
        <v>6</v>
      </c>
      <c r="D3939" s="6" t="s">
        <v>3942</v>
      </c>
      <c r="E3939" s="8" t="s">
        <v>4782</v>
      </c>
      <c r="F3939" t="s">
        <v>1538</v>
      </c>
      <c r="G3939" t="s">
        <v>114</v>
      </c>
    </row>
    <row r="3940" spans="1:17" x14ac:dyDescent="0.2">
      <c r="A3940" t="s">
        <v>3915</v>
      </c>
      <c r="B3940" t="s">
        <v>3916</v>
      </c>
      <c r="C3940">
        <v>6</v>
      </c>
      <c r="D3940" s="6" t="s">
        <v>3942</v>
      </c>
      <c r="E3940" s="8" t="s">
        <v>4783</v>
      </c>
      <c r="F3940" t="s">
        <v>1538</v>
      </c>
      <c r="G3940" t="s">
        <v>114</v>
      </c>
      <c r="Q3940" t="s">
        <v>6457</v>
      </c>
    </row>
    <row r="3941" spans="1:17" x14ac:dyDescent="0.2">
      <c r="A3941" t="s">
        <v>3915</v>
      </c>
      <c r="B3941" t="s">
        <v>3916</v>
      </c>
      <c r="C3941">
        <v>6</v>
      </c>
      <c r="D3941" s="6" t="s">
        <v>3942</v>
      </c>
      <c r="E3941" s="8" t="s">
        <v>4784</v>
      </c>
      <c r="F3941" t="s">
        <v>1538</v>
      </c>
      <c r="G3941">
        <v>12</v>
      </c>
      <c r="M3941">
        <v>7</v>
      </c>
    </row>
    <row r="3942" spans="1:17" x14ac:dyDescent="0.2">
      <c r="A3942" t="s">
        <v>3915</v>
      </c>
      <c r="B3942" t="s">
        <v>3916</v>
      </c>
      <c r="C3942">
        <v>6</v>
      </c>
      <c r="D3942" s="6" t="s">
        <v>3942</v>
      </c>
      <c r="E3942" s="8" t="s">
        <v>4785</v>
      </c>
      <c r="F3942" t="s">
        <v>6239</v>
      </c>
      <c r="G3942">
        <v>1</v>
      </c>
      <c r="Q3942" t="s">
        <v>6469</v>
      </c>
    </row>
    <row r="3943" spans="1:17" x14ac:dyDescent="0.2">
      <c r="A3943" t="s">
        <v>3915</v>
      </c>
      <c r="B3943" t="s">
        <v>3916</v>
      </c>
      <c r="C3943">
        <v>6</v>
      </c>
      <c r="D3943" s="6" t="s">
        <v>3942</v>
      </c>
      <c r="E3943" s="8" t="s">
        <v>4786</v>
      </c>
      <c r="F3943" t="s">
        <v>6239</v>
      </c>
      <c r="G3943">
        <v>1</v>
      </c>
      <c r="Q3943" t="s">
        <v>6470</v>
      </c>
    </row>
    <row r="3944" spans="1:17" x14ac:dyDescent="0.2">
      <c r="A3944" t="s">
        <v>3915</v>
      </c>
      <c r="B3944" t="s">
        <v>3916</v>
      </c>
      <c r="C3944">
        <v>6</v>
      </c>
      <c r="D3944" s="6" t="s">
        <v>3942</v>
      </c>
      <c r="E3944" s="8" t="s">
        <v>4787</v>
      </c>
      <c r="F3944" t="s">
        <v>6239</v>
      </c>
      <c r="G3944">
        <v>1</v>
      </c>
      <c r="Q3944" t="s">
        <v>6471</v>
      </c>
    </row>
    <row r="3945" spans="1:17" x14ac:dyDescent="0.2">
      <c r="A3945" t="s">
        <v>3915</v>
      </c>
      <c r="B3945" t="s">
        <v>3916</v>
      </c>
      <c r="C3945">
        <v>6</v>
      </c>
      <c r="D3945" s="6" t="s">
        <v>3942</v>
      </c>
      <c r="E3945" s="8" t="s">
        <v>4788</v>
      </c>
      <c r="F3945" t="s">
        <v>3985</v>
      </c>
      <c r="G3945">
        <v>2</v>
      </c>
      <c r="M3945">
        <v>4</v>
      </c>
      <c r="Q3945" t="s">
        <v>6455</v>
      </c>
    </row>
    <row r="3946" spans="1:17" x14ac:dyDescent="0.2">
      <c r="A3946" t="s">
        <v>3915</v>
      </c>
      <c r="B3946" t="s">
        <v>3916</v>
      </c>
      <c r="C3946">
        <v>6</v>
      </c>
      <c r="D3946" s="6" t="s">
        <v>3942</v>
      </c>
      <c r="E3946" t="s">
        <v>4736</v>
      </c>
      <c r="F3946" t="s">
        <v>1311</v>
      </c>
      <c r="G3946">
        <v>2</v>
      </c>
    </row>
    <row r="3947" spans="1:17" x14ac:dyDescent="0.2">
      <c r="A3947" t="s">
        <v>3915</v>
      </c>
      <c r="B3947" t="s">
        <v>3916</v>
      </c>
      <c r="C3947">
        <v>6</v>
      </c>
      <c r="D3947" s="6" t="s">
        <v>3942</v>
      </c>
      <c r="E3947" t="s">
        <v>4736</v>
      </c>
      <c r="F3947" t="s">
        <v>1389</v>
      </c>
      <c r="G3947">
        <v>1</v>
      </c>
    </row>
    <row r="3948" spans="1:17" x14ac:dyDescent="0.2">
      <c r="A3948" t="s">
        <v>3915</v>
      </c>
      <c r="B3948" t="s">
        <v>3916</v>
      </c>
      <c r="C3948">
        <v>6</v>
      </c>
      <c r="D3948" s="6" t="s">
        <v>3942</v>
      </c>
      <c r="E3948" t="s">
        <v>4736</v>
      </c>
      <c r="F3948" t="s">
        <v>1559</v>
      </c>
      <c r="G3948">
        <v>1</v>
      </c>
    </row>
    <row r="3949" spans="1:17" x14ac:dyDescent="0.2">
      <c r="A3949" t="s">
        <v>3915</v>
      </c>
      <c r="B3949" t="s">
        <v>3916</v>
      </c>
      <c r="C3949">
        <v>6</v>
      </c>
      <c r="D3949" s="6" t="s">
        <v>3942</v>
      </c>
      <c r="E3949" s="8" t="s">
        <v>4789</v>
      </c>
      <c r="F3949" t="s">
        <v>5869</v>
      </c>
      <c r="G3949">
        <v>53</v>
      </c>
      <c r="I3949">
        <v>383</v>
      </c>
      <c r="K3949">
        <v>362</v>
      </c>
      <c r="Q3949" t="s">
        <v>5879</v>
      </c>
    </row>
    <row r="3950" spans="1:17" x14ac:dyDescent="0.2">
      <c r="A3950" t="s">
        <v>4820</v>
      </c>
      <c r="B3950" t="s">
        <v>4821</v>
      </c>
      <c r="C3950">
        <v>2</v>
      </c>
      <c r="D3950" s="6" t="s">
        <v>4822</v>
      </c>
      <c r="E3950" t="s">
        <v>4823</v>
      </c>
      <c r="F3950" t="s">
        <v>1538</v>
      </c>
      <c r="G3950">
        <f>56-8</f>
        <v>48</v>
      </c>
      <c r="Q3950" t="s">
        <v>6480</v>
      </c>
    </row>
    <row r="3951" spans="1:17" x14ac:dyDescent="0.2">
      <c r="A3951" t="s">
        <v>4820</v>
      </c>
      <c r="B3951" t="s">
        <v>4821</v>
      </c>
      <c r="C3951">
        <v>2</v>
      </c>
      <c r="D3951" s="6" t="s">
        <v>4822</v>
      </c>
      <c r="E3951" t="s">
        <v>4824</v>
      </c>
      <c r="F3951" t="s">
        <v>1538</v>
      </c>
      <c r="G3951">
        <v>25</v>
      </c>
      <c r="Q3951" t="s">
        <v>6475</v>
      </c>
    </row>
    <row r="3952" spans="1:17" x14ac:dyDescent="0.2">
      <c r="A3952" t="s">
        <v>4820</v>
      </c>
      <c r="B3952" t="s">
        <v>4821</v>
      </c>
      <c r="C3952">
        <v>2</v>
      </c>
      <c r="D3952" s="6" t="s">
        <v>4822</v>
      </c>
      <c r="E3952" t="s">
        <v>4825</v>
      </c>
      <c r="F3952" t="s">
        <v>1538</v>
      </c>
      <c r="G3952">
        <v>22</v>
      </c>
      <c r="Q3952" t="s">
        <v>6472</v>
      </c>
    </row>
    <row r="3953" spans="1:17" x14ac:dyDescent="0.2">
      <c r="A3953" t="s">
        <v>4820</v>
      </c>
      <c r="B3953" t="s">
        <v>4821</v>
      </c>
      <c r="C3953">
        <v>2</v>
      </c>
      <c r="D3953" s="6" t="s">
        <v>4822</v>
      </c>
      <c r="E3953" t="s">
        <v>4826</v>
      </c>
      <c r="F3953" t="s">
        <v>1538</v>
      </c>
      <c r="G3953">
        <v>13</v>
      </c>
      <c r="Q3953" t="s">
        <v>6473</v>
      </c>
    </row>
    <row r="3954" spans="1:17" x14ac:dyDescent="0.2">
      <c r="A3954" t="s">
        <v>4820</v>
      </c>
      <c r="B3954" t="s">
        <v>4821</v>
      </c>
      <c r="C3954">
        <v>2</v>
      </c>
      <c r="D3954" s="6" t="s">
        <v>4822</v>
      </c>
      <c r="E3954" t="s">
        <v>4828</v>
      </c>
      <c r="F3954" t="s">
        <v>1538</v>
      </c>
      <c r="G3954">
        <v>50</v>
      </c>
      <c r="Q3954" t="s">
        <v>6474</v>
      </c>
    </row>
    <row r="3955" spans="1:17" x14ac:dyDescent="0.2">
      <c r="A3955" t="s">
        <v>4820</v>
      </c>
      <c r="B3955" t="s">
        <v>4821</v>
      </c>
      <c r="C3955">
        <v>2</v>
      </c>
      <c r="D3955" s="6" t="s">
        <v>4822</v>
      </c>
      <c r="E3955" t="s">
        <v>4829</v>
      </c>
      <c r="F3955" t="s">
        <v>1538</v>
      </c>
      <c r="G3955">
        <v>10</v>
      </c>
      <c r="Q3955" t="s">
        <v>6482</v>
      </c>
    </row>
    <row r="3956" spans="1:17" x14ac:dyDescent="0.2">
      <c r="A3956" t="s">
        <v>4820</v>
      </c>
      <c r="B3956" t="s">
        <v>4821</v>
      </c>
      <c r="C3956">
        <v>2</v>
      </c>
      <c r="D3956" s="6" t="s">
        <v>4822</v>
      </c>
      <c r="E3956" t="s">
        <v>4830</v>
      </c>
      <c r="F3956" t="s">
        <v>1538</v>
      </c>
      <c r="G3956">
        <v>6</v>
      </c>
      <c r="Q3956" t="s">
        <v>6481</v>
      </c>
    </row>
    <row r="3957" spans="1:17" x14ac:dyDescent="0.2">
      <c r="A3957" t="s">
        <v>4820</v>
      </c>
      <c r="B3957" t="s">
        <v>4821</v>
      </c>
      <c r="C3957">
        <v>2</v>
      </c>
      <c r="D3957" s="6" t="s">
        <v>4822</v>
      </c>
      <c r="E3957" t="s">
        <v>4831</v>
      </c>
      <c r="F3957" t="s">
        <v>1538</v>
      </c>
      <c r="G3957">
        <v>2</v>
      </c>
      <c r="Q3957" t="s">
        <v>6477</v>
      </c>
    </row>
    <row r="3958" spans="1:17" x14ac:dyDescent="0.2">
      <c r="A3958" t="s">
        <v>4820</v>
      </c>
      <c r="B3958" t="s">
        <v>4821</v>
      </c>
      <c r="C3958">
        <v>2</v>
      </c>
      <c r="D3958" s="6" t="s">
        <v>4822</v>
      </c>
      <c r="E3958" t="s">
        <v>4832</v>
      </c>
      <c r="F3958" t="s">
        <v>1538</v>
      </c>
      <c r="G3958">
        <v>1</v>
      </c>
      <c r="Q3958" t="s">
        <v>6478</v>
      </c>
    </row>
    <row r="3959" spans="1:17" x14ac:dyDescent="0.2">
      <c r="A3959" t="s">
        <v>4820</v>
      </c>
      <c r="B3959" t="s">
        <v>4821</v>
      </c>
      <c r="C3959">
        <v>2</v>
      </c>
      <c r="D3959" s="6" t="s">
        <v>4822</v>
      </c>
      <c r="E3959" t="s">
        <v>4833</v>
      </c>
      <c r="F3959" t="s">
        <v>1538</v>
      </c>
      <c r="G3959">
        <v>3</v>
      </c>
      <c r="Q3959" t="s">
        <v>6479</v>
      </c>
    </row>
    <row r="3960" spans="1:17" x14ac:dyDescent="0.2">
      <c r="A3960" t="s">
        <v>4820</v>
      </c>
      <c r="B3960" t="s">
        <v>4821</v>
      </c>
      <c r="C3960">
        <v>2</v>
      </c>
      <c r="D3960" s="6" t="s">
        <v>4822</v>
      </c>
      <c r="E3960" t="s">
        <v>4834</v>
      </c>
      <c r="F3960" t="s">
        <v>1538</v>
      </c>
      <c r="G3960" t="s">
        <v>114</v>
      </c>
      <c r="Q3960" t="s">
        <v>6476</v>
      </c>
    </row>
    <row r="3961" spans="1:17" x14ac:dyDescent="0.2">
      <c r="A3961" t="s">
        <v>4820</v>
      </c>
      <c r="B3961" t="s">
        <v>4821</v>
      </c>
      <c r="C3961">
        <v>2</v>
      </c>
      <c r="D3961" s="6" t="s">
        <v>4822</v>
      </c>
      <c r="E3961" t="s">
        <v>4827</v>
      </c>
      <c r="F3961" t="s">
        <v>1538</v>
      </c>
      <c r="G3961">
        <v>104</v>
      </c>
      <c r="M3961">
        <v>4</v>
      </c>
    </row>
    <row r="3962" spans="1:17" x14ac:dyDescent="0.2">
      <c r="A3962" t="s">
        <v>4820</v>
      </c>
      <c r="B3962" t="s">
        <v>4821</v>
      </c>
      <c r="C3962">
        <v>2</v>
      </c>
      <c r="D3962" s="6" t="s">
        <v>4822</v>
      </c>
      <c r="E3962" t="s">
        <v>4835</v>
      </c>
      <c r="F3962" t="s">
        <v>2588</v>
      </c>
      <c r="G3962">
        <v>6</v>
      </c>
      <c r="M3962">
        <v>4</v>
      </c>
    </row>
    <row r="3963" spans="1:17" x14ac:dyDescent="0.2">
      <c r="A3963" t="s">
        <v>4820</v>
      </c>
      <c r="B3963" t="s">
        <v>4821</v>
      </c>
      <c r="C3963">
        <v>2</v>
      </c>
      <c r="D3963" s="6" t="s">
        <v>4822</v>
      </c>
      <c r="E3963" t="s">
        <v>4836</v>
      </c>
      <c r="F3963" t="s">
        <v>5629</v>
      </c>
      <c r="G3963">
        <v>45</v>
      </c>
      <c r="Q3963" t="s">
        <v>6483</v>
      </c>
    </row>
    <row r="3964" spans="1:17" x14ac:dyDescent="0.2">
      <c r="A3964" t="s">
        <v>4820</v>
      </c>
      <c r="B3964" t="s">
        <v>4821</v>
      </c>
      <c r="C3964">
        <v>2</v>
      </c>
      <c r="D3964" s="6" t="s">
        <v>4822</v>
      </c>
      <c r="E3964" t="s">
        <v>4837</v>
      </c>
      <c r="F3964" t="s">
        <v>1389</v>
      </c>
      <c r="G3964">
        <v>11</v>
      </c>
      <c r="Q3964" t="s">
        <v>6488</v>
      </c>
    </row>
    <row r="3965" spans="1:17" x14ac:dyDescent="0.2">
      <c r="A3965" t="s">
        <v>4820</v>
      </c>
      <c r="B3965" t="s">
        <v>4821</v>
      </c>
      <c r="C3965">
        <v>2</v>
      </c>
      <c r="D3965" s="6" t="s">
        <v>4822</v>
      </c>
      <c r="E3965" t="s">
        <v>4838</v>
      </c>
      <c r="F3965" t="s">
        <v>1389</v>
      </c>
      <c r="G3965">
        <v>3</v>
      </c>
      <c r="Q3965" t="s">
        <v>6487</v>
      </c>
    </row>
    <row r="3966" spans="1:17" x14ac:dyDescent="0.2">
      <c r="A3966" t="s">
        <v>4820</v>
      </c>
      <c r="B3966" t="s">
        <v>4821</v>
      </c>
      <c r="C3966">
        <v>2</v>
      </c>
      <c r="D3966" s="6" t="s">
        <v>4822</v>
      </c>
      <c r="E3966" t="s">
        <v>4839</v>
      </c>
      <c r="F3966" t="s">
        <v>1389</v>
      </c>
      <c r="G3966">
        <v>6</v>
      </c>
      <c r="Q3966" t="s">
        <v>6486</v>
      </c>
    </row>
    <row r="3967" spans="1:17" x14ac:dyDescent="0.2">
      <c r="A3967" t="s">
        <v>4820</v>
      </c>
      <c r="B3967" t="s">
        <v>4821</v>
      </c>
      <c r="C3967">
        <v>2</v>
      </c>
      <c r="D3967" s="6" t="s">
        <v>4822</v>
      </c>
      <c r="E3967" t="s">
        <v>4840</v>
      </c>
      <c r="F3967" t="s">
        <v>1389</v>
      </c>
      <c r="G3967">
        <v>1</v>
      </c>
      <c r="Q3967" t="s">
        <v>6485</v>
      </c>
    </row>
    <row r="3968" spans="1:17" x14ac:dyDescent="0.2">
      <c r="A3968" t="s">
        <v>4820</v>
      </c>
      <c r="B3968" t="s">
        <v>4821</v>
      </c>
      <c r="C3968">
        <v>2</v>
      </c>
      <c r="D3968" s="6" t="s">
        <v>4822</v>
      </c>
      <c r="E3968" t="s">
        <v>4841</v>
      </c>
      <c r="F3968" t="s">
        <v>1389</v>
      </c>
      <c r="G3968">
        <v>3</v>
      </c>
      <c r="Q3968" t="s">
        <v>6484</v>
      </c>
    </row>
    <row r="3969" spans="1:17" x14ac:dyDescent="0.2">
      <c r="A3969" t="s">
        <v>4820</v>
      </c>
      <c r="B3969" t="s">
        <v>4821</v>
      </c>
      <c r="C3969">
        <v>2</v>
      </c>
      <c r="D3969" s="6" t="s">
        <v>4822</v>
      </c>
      <c r="E3969" t="s">
        <v>4842</v>
      </c>
      <c r="F3969" t="s">
        <v>1389</v>
      </c>
      <c r="G3969">
        <v>30</v>
      </c>
    </row>
    <row r="3970" spans="1:17" x14ac:dyDescent="0.2">
      <c r="A3970" t="s">
        <v>4820</v>
      </c>
      <c r="B3970" t="s">
        <v>4821</v>
      </c>
      <c r="C3970">
        <v>2</v>
      </c>
      <c r="D3970" s="6" t="s">
        <v>4822</v>
      </c>
      <c r="E3970" t="s">
        <v>4843</v>
      </c>
      <c r="F3970" t="s">
        <v>1311</v>
      </c>
      <c r="G3970">
        <v>4</v>
      </c>
      <c r="Q3970" t="s">
        <v>6490</v>
      </c>
    </row>
    <row r="3971" spans="1:17" x14ac:dyDescent="0.2">
      <c r="A3971" t="s">
        <v>4820</v>
      </c>
      <c r="B3971" t="s">
        <v>4821</v>
      </c>
      <c r="C3971">
        <v>2</v>
      </c>
      <c r="D3971" s="6" t="s">
        <v>4822</v>
      </c>
      <c r="E3971" t="s">
        <v>4844</v>
      </c>
      <c r="F3971" t="s">
        <v>1311</v>
      </c>
      <c r="G3971">
        <v>4</v>
      </c>
      <c r="Q3971" t="s">
        <v>6489</v>
      </c>
    </row>
    <row r="3972" spans="1:17" x14ac:dyDescent="0.2">
      <c r="A3972" t="s">
        <v>4820</v>
      </c>
      <c r="B3972" t="s">
        <v>4821</v>
      </c>
      <c r="C3972">
        <v>2</v>
      </c>
      <c r="D3972" s="6" t="s">
        <v>4822</v>
      </c>
      <c r="E3972" t="s">
        <v>4845</v>
      </c>
      <c r="F3972" t="s">
        <v>1425</v>
      </c>
      <c r="G3972">
        <v>15</v>
      </c>
      <c r="Q3972" t="s">
        <v>6494</v>
      </c>
    </row>
    <row r="3973" spans="1:17" x14ac:dyDescent="0.2">
      <c r="A3973" t="s">
        <v>4820</v>
      </c>
      <c r="B3973" t="s">
        <v>4821</v>
      </c>
      <c r="C3973">
        <v>2</v>
      </c>
      <c r="D3973" s="6" t="s">
        <v>4822</v>
      </c>
      <c r="E3973" t="s">
        <v>4846</v>
      </c>
      <c r="F3973" t="s">
        <v>1425</v>
      </c>
      <c r="G3973">
        <v>4</v>
      </c>
      <c r="Q3973" t="s">
        <v>6493</v>
      </c>
    </row>
    <row r="3974" spans="1:17" x14ac:dyDescent="0.2">
      <c r="A3974" t="s">
        <v>4820</v>
      </c>
      <c r="B3974" t="s">
        <v>4821</v>
      </c>
      <c r="C3974">
        <v>2</v>
      </c>
      <c r="D3974" s="6" t="s">
        <v>4822</v>
      </c>
      <c r="E3974" t="s">
        <v>4847</v>
      </c>
      <c r="F3974" t="s">
        <v>1425</v>
      </c>
      <c r="G3974">
        <v>6</v>
      </c>
      <c r="Q3974" t="s">
        <v>6492</v>
      </c>
    </row>
    <row r="3975" spans="1:17" x14ac:dyDescent="0.2">
      <c r="A3975" t="s">
        <v>4820</v>
      </c>
      <c r="B3975" t="s">
        <v>4821</v>
      </c>
      <c r="C3975">
        <v>2</v>
      </c>
      <c r="D3975" s="6" t="s">
        <v>4822</v>
      </c>
      <c r="E3975" t="s">
        <v>4848</v>
      </c>
      <c r="F3975" t="s">
        <v>1425</v>
      </c>
      <c r="G3975">
        <v>4</v>
      </c>
      <c r="Q3975" t="s">
        <v>6491</v>
      </c>
    </row>
    <row r="3976" spans="1:17" x14ac:dyDescent="0.2">
      <c r="A3976" t="s">
        <v>4820</v>
      </c>
      <c r="B3976" t="s">
        <v>4821</v>
      </c>
      <c r="C3976">
        <v>2</v>
      </c>
      <c r="D3976" s="6" t="s">
        <v>4822</v>
      </c>
      <c r="E3976" t="s">
        <v>4849</v>
      </c>
      <c r="F3976" t="s">
        <v>1425</v>
      </c>
      <c r="G3976">
        <v>4</v>
      </c>
      <c r="Q3976" t="s">
        <v>6495</v>
      </c>
    </row>
    <row r="3977" spans="1:17" x14ac:dyDescent="0.2">
      <c r="A3977" t="s">
        <v>4820</v>
      </c>
      <c r="B3977" t="s">
        <v>4821</v>
      </c>
      <c r="C3977">
        <v>2</v>
      </c>
      <c r="D3977" s="6" t="s">
        <v>4822</v>
      </c>
      <c r="E3977" t="s">
        <v>4850</v>
      </c>
      <c r="F3977" t="s">
        <v>1425</v>
      </c>
      <c r="G3977">
        <v>25</v>
      </c>
    </row>
    <row r="3978" spans="1:17" x14ac:dyDescent="0.2">
      <c r="A3978" t="s">
        <v>4820</v>
      </c>
      <c r="B3978" t="s">
        <v>4821</v>
      </c>
      <c r="C3978">
        <v>2</v>
      </c>
      <c r="D3978" s="6" t="s">
        <v>4822</v>
      </c>
      <c r="E3978" t="s">
        <v>4852</v>
      </c>
      <c r="F3978" t="s">
        <v>397</v>
      </c>
      <c r="G3978" t="s">
        <v>114</v>
      </c>
      <c r="O3978" t="s">
        <v>4879</v>
      </c>
    </row>
    <row r="3979" spans="1:17" x14ac:dyDescent="0.2">
      <c r="A3979" t="s">
        <v>4820</v>
      </c>
      <c r="B3979" t="s">
        <v>4821</v>
      </c>
      <c r="C3979">
        <v>2</v>
      </c>
      <c r="D3979" s="6" t="s">
        <v>4822</v>
      </c>
      <c r="E3979" t="s">
        <v>4851</v>
      </c>
      <c r="F3979" t="s">
        <v>1264</v>
      </c>
      <c r="H3979">
        <f>1.323-0.295</f>
        <v>1.028</v>
      </c>
      <c r="O3979" t="s">
        <v>4883</v>
      </c>
    </row>
    <row r="3980" spans="1:17" x14ac:dyDescent="0.2">
      <c r="A3980" t="s">
        <v>4820</v>
      </c>
      <c r="B3980" t="s">
        <v>4821</v>
      </c>
      <c r="C3980">
        <v>2</v>
      </c>
      <c r="D3980" s="6" t="s">
        <v>4822</v>
      </c>
      <c r="E3980" t="s">
        <v>4853</v>
      </c>
      <c r="F3980" t="s">
        <v>113</v>
      </c>
      <c r="G3980">
        <v>12</v>
      </c>
      <c r="M3980">
        <v>3</v>
      </c>
      <c r="Q3980" t="s">
        <v>6496</v>
      </c>
    </row>
    <row r="3981" spans="1:17" x14ac:dyDescent="0.2">
      <c r="A3981" t="s">
        <v>4820</v>
      </c>
      <c r="B3981" t="s">
        <v>4821</v>
      </c>
      <c r="C3981">
        <v>2</v>
      </c>
      <c r="D3981" s="6" t="s">
        <v>4822</v>
      </c>
      <c r="E3981" t="s">
        <v>4854</v>
      </c>
      <c r="F3981" t="s">
        <v>3875</v>
      </c>
      <c r="G3981">
        <v>13</v>
      </c>
      <c r="M3981">
        <v>5</v>
      </c>
    </row>
    <row r="3982" spans="1:17" x14ac:dyDescent="0.2">
      <c r="A3982" t="s">
        <v>4820</v>
      </c>
      <c r="B3982" t="s">
        <v>4821</v>
      </c>
      <c r="C3982">
        <v>2</v>
      </c>
      <c r="D3982" s="6" t="s">
        <v>4822</v>
      </c>
      <c r="E3982" t="s">
        <v>4855</v>
      </c>
      <c r="F3982" t="s">
        <v>118</v>
      </c>
      <c r="G3982">
        <v>7</v>
      </c>
      <c r="O3982" t="s">
        <v>3504</v>
      </c>
    </row>
    <row r="3983" spans="1:17" x14ac:dyDescent="0.2">
      <c r="A3983" t="s">
        <v>4820</v>
      </c>
      <c r="B3983" t="s">
        <v>4821</v>
      </c>
      <c r="C3983">
        <v>2</v>
      </c>
      <c r="D3983" s="6" t="s">
        <v>4822</v>
      </c>
      <c r="E3983" t="s">
        <v>4856</v>
      </c>
      <c r="F3983" t="s">
        <v>106</v>
      </c>
      <c r="G3983">
        <v>3</v>
      </c>
    </row>
    <row r="3984" spans="1:17" x14ac:dyDescent="0.2">
      <c r="A3984" t="s">
        <v>4820</v>
      </c>
      <c r="B3984" t="s">
        <v>4821</v>
      </c>
      <c r="C3984">
        <v>2</v>
      </c>
      <c r="D3984" s="6" t="s">
        <v>4822</v>
      </c>
      <c r="E3984" t="s">
        <v>4857</v>
      </c>
      <c r="F3984" t="s">
        <v>3945</v>
      </c>
      <c r="G3984">
        <v>3</v>
      </c>
      <c r="O3984" t="s">
        <v>4884</v>
      </c>
      <c r="P3984" t="s">
        <v>4885</v>
      </c>
    </row>
    <row r="3985" spans="1:17" x14ac:dyDescent="0.2">
      <c r="A3985" t="s">
        <v>4820</v>
      </c>
      <c r="B3985" t="s">
        <v>4821</v>
      </c>
      <c r="C3985">
        <v>2</v>
      </c>
      <c r="D3985" s="6" t="s">
        <v>4822</v>
      </c>
      <c r="E3985" t="s">
        <v>4858</v>
      </c>
      <c r="F3985" t="s">
        <v>4880</v>
      </c>
      <c r="G3985">
        <v>93</v>
      </c>
      <c r="O3985" t="s">
        <v>4886</v>
      </c>
    </row>
    <row r="3986" spans="1:17" x14ac:dyDescent="0.2">
      <c r="A3986" t="s">
        <v>4820</v>
      </c>
      <c r="B3986" t="s">
        <v>4821</v>
      </c>
      <c r="C3986">
        <v>3</v>
      </c>
      <c r="D3986" s="6" t="s">
        <v>4822</v>
      </c>
      <c r="E3986" t="s">
        <v>4859</v>
      </c>
      <c r="F3986" t="s">
        <v>1264</v>
      </c>
      <c r="H3986">
        <f>2.544-0.285+11.5-0.257</f>
        <v>13.502000000000001</v>
      </c>
      <c r="O3986" t="s">
        <v>4887</v>
      </c>
    </row>
    <row r="3987" spans="1:17" x14ac:dyDescent="0.2">
      <c r="A3987" t="s">
        <v>4820</v>
      </c>
      <c r="B3987" t="s">
        <v>4821</v>
      </c>
      <c r="C3987">
        <v>3</v>
      </c>
      <c r="D3987" s="6" t="s">
        <v>4822</v>
      </c>
      <c r="E3987" t="s">
        <v>4860</v>
      </c>
      <c r="F3987" t="s">
        <v>1389</v>
      </c>
      <c r="G3987">
        <v>11</v>
      </c>
      <c r="Q3987" t="s">
        <v>6501</v>
      </c>
    </row>
    <row r="3988" spans="1:17" x14ac:dyDescent="0.2">
      <c r="A3988" t="s">
        <v>4820</v>
      </c>
      <c r="B3988" t="s">
        <v>4821</v>
      </c>
      <c r="C3988">
        <v>3</v>
      </c>
      <c r="D3988" s="6" t="s">
        <v>4822</v>
      </c>
      <c r="E3988" t="s">
        <v>4861</v>
      </c>
      <c r="F3988" t="s">
        <v>1389</v>
      </c>
      <c r="G3988">
        <v>4</v>
      </c>
      <c r="Q3988" t="s">
        <v>6500</v>
      </c>
    </row>
    <row r="3989" spans="1:17" x14ac:dyDescent="0.2">
      <c r="A3989" t="s">
        <v>4820</v>
      </c>
      <c r="B3989" t="s">
        <v>4821</v>
      </c>
      <c r="C3989">
        <v>3</v>
      </c>
      <c r="D3989" s="6" t="s">
        <v>4822</v>
      </c>
      <c r="E3989" t="s">
        <v>4862</v>
      </c>
      <c r="F3989" t="s">
        <v>1389</v>
      </c>
      <c r="G3989">
        <v>4</v>
      </c>
      <c r="Q3989" t="s">
        <v>6499</v>
      </c>
    </row>
    <row r="3990" spans="1:17" x14ac:dyDescent="0.2">
      <c r="A3990" t="s">
        <v>4820</v>
      </c>
      <c r="B3990" t="s">
        <v>4821</v>
      </c>
      <c r="C3990">
        <v>3</v>
      </c>
      <c r="D3990" s="6" t="s">
        <v>4822</v>
      </c>
      <c r="E3990" t="s">
        <v>4863</v>
      </c>
      <c r="F3990" t="s">
        <v>1389</v>
      </c>
      <c r="G3990">
        <v>12</v>
      </c>
      <c r="Q3990" t="s">
        <v>6498</v>
      </c>
    </row>
    <row r="3991" spans="1:17" x14ac:dyDescent="0.2">
      <c r="A3991" t="s">
        <v>4820</v>
      </c>
      <c r="B3991" t="s">
        <v>4821</v>
      </c>
      <c r="C3991">
        <v>3</v>
      </c>
      <c r="D3991" s="6" t="s">
        <v>4822</v>
      </c>
      <c r="E3991" t="s">
        <v>4867</v>
      </c>
      <c r="F3991" t="s">
        <v>1389</v>
      </c>
      <c r="G3991">
        <v>7</v>
      </c>
      <c r="Q3991" t="s">
        <v>6497</v>
      </c>
    </row>
    <row r="3992" spans="1:17" x14ac:dyDescent="0.2">
      <c r="A3992" t="s">
        <v>4820</v>
      </c>
      <c r="B3992" t="s">
        <v>4821</v>
      </c>
      <c r="C3992">
        <v>3</v>
      </c>
      <c r="D3992" s="6" t="s">
        <v>4822</v>
      </c>
      <c r="E3992" t="s">
        <v>4866</v>
      </c>
      <c r="F3992" t="s">
        <v>1389</v>
      </c>
      <c r="G3992">
        <v>33</v>
      </c>
      <c r="M3992">
        <v>5</v>
      </c>
    </row>
    <row r="3993" spans="1:17" x14ac:dyDescent="0.2">
      <c r="A3993" t="s">
        <v>4820</v>
      </c>
      <c r="B3993" t="s">
        <v>4821</v>
      </c>
      <c r="C3993">
        <v>3</v>
      </c>
      <c r="D3993" s="6" t="s">
        <v>4822</v>
      </c>
      <c r="E3993" t="s">
        <v>4868</v>
      </c>
      <c r="F3993" t="s">
        <v>1389</v>
      </c>
      <c r="G3993">
        <v>124</v>
      </c>
    </row>
    <row r="3994" spans="1:17" x14ac:dyDescent="0.2">
      <c r="A3994" t="s">
        <v>4820</v>
      </c>
      <c r="B3994" t="s">
        <v>4821</v>
      </c>
      <c r="C3994">
        <v>3</v>
      </c>
      <c r="D3994" s="6" t="s">
        <v>4822</v>
      </c>
      <c r="E3994" t="s">
        <v>4864</v>
      </c>
      <c r="F3994" t="s">
        <v>1425</v>
      </c>
      <c r="G3994">
        <v>5</v>
      </c>
      <c r="Q3994" t="s">
        <v>6506</v>
      </c>
    </row>
    <row r="3995" spans="1:17" x14ac:dyDescent="0.2">
      <c r="A3995" t="s">
        <v>4820</v>
      </c>
      <c r="B3995" t="s">
        <v>4821</v>
      </c>
      <c r="C3995">
        <v>3</v>
      </c>
      <c r="D3995" s="6" t="s">
        <v>4822</v>
      </c>
      <c r="E3995" t="s">
        <v>4865</v>
      </c>
      <c r="F3995" t="s">
        <v>1425</v>
      </c>
      <c r="G3995">
        <v>8</v>
      </c>
      <c r="Q3995" t="s">
        <v>6505</v>
      </c>
    </row>
    <row r="3996" spans="1:17" x14ac:dyDescent="0.2">
      <c r="A3996" t="s">
        <v>4820</v>
      </c>
      <c r="B3996" t="s">
        <v>4821</v>
      </c>
      <c r="C3996">
        <v>3</v>
      </c>
      <c r="D3996" s="6" t="s">
        <v>4822</v>
      </c>
      <c r="E3996" t="s">
        <v>4869</v>
      </c>
      <c r="F3996" t="s">
        <v>1425</v>
      </c>
      <c r="G3996">
        <v>3</v>
      </c>
      <c r="Q3996" t="s">
        <v>6504</v>
      </c>
    </row>
    <row r="3997" spans="1:17" x14ac:dyDescent="0.2">
      <c r="A3997" t="s">
        <v>4820</v>
      </c>
      <c r="B3997" t="s">
        <v>4821</v>
      </c>
      <c r="C3997">
        <v>3</v>
      </c>
      <c r="D3997" s="6" t="s">
        <v>4822</v>
      </c>
      <c r="E3997" t="s">
        <v>4870</v>
      </c>
      <c r="F3997" t="s">
        <v>1425</v>
      </c>
      <c r="G3997">
        <v>5</v>
      </c>
      <c r="Q3997" t="s">
        <v>6507</v>
      </c>
    </row>
    <row r="3998" spans="1:17" x14ac:dyDescent="0.2">
      <c r="A3998" t="s">
        <v>4820</v>
      </c>
      <c r="B3998" t="s">
        <v>4821</v>
      </c>
      <c r="C3998">
        <v>3</v>
      </c>
      <c r="D3998" s="6" t="s">
        <v>4822</v>
      </c>
      <c r="E3998" t="s">
        <v>4871</v>
      </c>
      <c r="F3998" t="s">
        <v>1425</v>
      </c>
      <c r="G3998">
        <v>3</v>
      </c>
      <c r="Q3998" t="s">
        <v>6508</v>
      </c>
    </row>
    <row r="3999" spans="1:17" x14ac:dyDescent="0.2">
      <c r="A3999" t="s">
        <v>4820</v>
      </c>
      <c r="B3999" t="s">
        <v>4821</v>
      </c>
      <c r="C3999">
        <v>3</v>
      </c>
      <c r="D3999" s="6" t="s">
        <v>4822</v>
      </c>
      <c r="E3999" t="s">
        <v>4872</v>
      </c>
      <c r="F3999" t="s">
        <v>1425</v>
      </c>
      <c r="G3999">
        <v>28</v>
      </c>
      <c r="M3999">
        <v>5</v>
      </c>
    </row>
    <row r="4000" spans="1:17" x14ac:dyDescent="0.2">
      <c r="A4000" t="s">
        <v>4820</v>
      </c>
      <c r="B4000" t="s">
        <v>4821</v>
      </c>
      <c r="C4000">
        <v>3</v>
      </c>
      <c r="D4000" s="6" t="s">
        <v>4822</v>
      </c>
      <c r="E4000" t="s">
        <v>4873</v>
      </c>
      <c r="F4000" t="s">
        <v>3930</v>
      </c>
      <c r="G4000">
        <v>15</v>
      </c>
      <c r="P4000" t="s">
        <v>6502</v>
      </c>
      <c r="Q4000" t="s">
        <v>6503</v>
      </c>
    </row>
    <row r="4001" spans="1:17" x14ac:dyDescent="0.2">
      <c r="A4001" t="s">
        <v>4820</v>
      </c>
      <c r="B4001" t="s">
        <v>4821</v>
      </c>
      <c r="C4001">
        <v>3</v>
      </c>
      <c r="D4001" s="6" t="s">
        <v>4822</v>
      </c>
      <c r="E4001" t="s">
        <v>4868</v>
      </c>
      <c r="F4001" t="s">
        <v>1425</v>
      </c>
      <c r="G4001">
        <v>109</v>
      </c>
    </row>
    <row r="4002" spans="1:17" x14ac:dyDescent="0.2">
      <c r="A4002" t="s">
        <v>4820</v>
      </c>
      <c r="B4002" t="s">
        <v>4821</v>
      </c>
      <c r="C4002">
        <v>3</v>
      </c>
      <c r="D4002" s="6" t="s">
        <v>4822</v>
      </c>
      <c r="E4002" t="s">
        <v>4874</v>
      </c>
      <c r="F4002" t="s">
        <v>5869</v>
      </c>
      <c r="G4002">
        <v>54</v>
      </c>
      <c r="Q4002" t="s">
        <v>5880</v>
      </c>
    </row>
    <row r="4003" spans="1:17" x14ac:dyDescent="0.2">
      <c r="A4003" t="s">
        <v>4820</v>
      </c>
      <c r="B4003" t="s">
        <v>4821</v>
      </c>
      <c r="C4003">
        <v>3</v>
      </c>
      <c r="D4003" s="6" t="s">
        <v>4822</v>
      </c>
      <c r="E4003" t="s">
        <v>4875</v>
      </c>
      <c r="F4003" t="s">
        <v>5620</v>
      </c>
      <c r="G4003">
        <v>58</v>
      </c>
      <c r="Q4003" t="s">
        <v>6515</v>
      </c>
    </row>
    <row r="4004" spans="1:17" x14ac:dyDescent="0.2">
      <c r="A4004" t="s">
        <v>4820</v>
      </c>
      <c r="B4004" t="s">
        <v>4821</v>
      </c>
      <c r="C4004">
        <v>3</v>
      </c>
      <c r="D4004" s="6" t="s">
        <v>4822</v>
      </c>
      <c r="E4004" t="s">
        <v>4876</v>
      </c>
      <c r="F4004" t="s">
        <v>6231</v>
      </c>
      <c r="G4004">
        <v>23</v>
      </c>
      <c r="Q4004" t="s">
        <v>6514</v>
      </c>
    </row>
    <row r="4005" spans="1:17" x14ac:dyDescent="0.2">
      <c r="A4005" t="s">
        <v>4820</v>
      </c>
      <c r="B4005" t="s">
        <v>4821</v>
      </c>
      <c r="C4005">
        <v>3</v>
      </c>
      <c r="D4005" s="6" t="s">
        <v>4822</v>
      </c>
      <c r="E4005" t="s">
        <v>4877</v>
      </c>
      <c r="F4005" t="s">
        <v>1311</v>
      </c>
      <c r="G4005">
        <v>5</v>
      </c>
      <c r="Q4005" t="s">
        <v>6509</v>
      </c>
    </row>
    <row r="4006" spans="1:17" x14ac:dyDescent="0.2">
      <c r="A4006" t="s">
        <v>4820</v>
      </c>
      <c r="B4006" t="s">
        <v>4821</v>
      </c>
      <c r="C4006">
        <v>3</v>
      </c>
      <c r="D4006" s="6" t="s">
        <v>4822</v>
      </c>
      <c r="E4006" t="s">
        <v>4878</v>
      </c>
      <c r="F4006" t="s">
        <v>1311</v>
      </c>
      <c r="G4006" t="s">
        <v>114</v>
      </c>
      <c r="Q4006" t="s">
        <v>6513</v>
      </c>
    </row>
    <row r="4007" spans="1:17" x14ac:dyDescent="0.2">
      <c r="A4007" t="s">
        <v>4820</v>
      </c>
      <c r="B4007" t="s">
        <v>4821</v>
      </c>
      <c r="C4007">
        <v>3</v>
      </c>
      <c r="D4007" s="6" t="s">
        <v>4822</v>
      </c>
      <c r="E4007" t="s">
        <v>4943</v>
      </c>
      <c r="F4007" t="s">
        <v>1311</v>
      </c>
      <c r="G4007">
        <v>3</v>
      </c>
      <c r="Q4007" t="s">
        <v>6510</v>
      </c>
    </row>
    <row r="4008" spans="1:17" x14ac:dyDescent="0.2">
      <c r="A4008" t="s">
        <v>4820</v>
      </c>
      <c r="B4008" t="s">
        <v>4821</v>
      </c>
      <c r="C4008">
        <v>3</v>
      </c>
      <c r="D4008" s="6" t="s">
        <v>4822</v>
      </c>
      <c r="E4008" t="s">
        <v>4944</v>
      </c>
      <c r="F4008" t="s">
        <v>1311</v>
      </c>
      <c r="G4008">
        <v>1</v>
      </c>
      <c r="Q4008" t="s">
        <v>6511</v>
      </c>
    </row>
    <row r="4009" spans="1:17" x14ac:dyDescent="0.2">
      <c r="A4009" t="s">
        <v>4820</v>
      </c>
      <c r="B4009" t="s">
        <v>4821</v>
      </c>
      <c r="C4009">
        <v>3</v>
      </c>
      <c r="D4009" s="6" t="s">
        <v>4822</v>
      </c>
      <c r="E4009" t="s">
        <v>4945</v>
      </c>
      <c r="F4009" t="s">
        <v>1311</v>
      </c>
      <c r="G4009">
        <v>1</v>
      </c>
      <c r="Q4009" t="s">
        <v>6512</v>
      </c>
    </row>
    <row r="4010" spans="1:17" x14ac:dyDescent="0.2">
      <c r="A4010" t="s">
        <v>4820</v>
      </c>
      <c r="B4010" t="s">
        <v>4821</v>
      </c>
      <c r="C4010">
        <v>3</v>
      </c>
      <c r="D4010" s="6" t="s">
        <v>4822</v>
      </c>
      <c r="E4010" t="s">
        <v>4946</v>
      </c>
      <c r="F4010" t="s">
        <v>1311</v>
      </c>
      <c r="G4010">
        <v>10</v>
      </c>
      <c r="M4010">
        <v>4</v>
      </c>
    </row>
    <row r="4011" spans="1:17" x14ac:dyDescent="0.2">
      <c r="A4011" t="s">
        <v>4820</v>
      </c>
      <c r="B4011" t="s">
        <v>4821</v>
      </c>
      <c r="C4011">
        <v>3</v>
      </c>
      <c r="D4011" s="6" t="s">
        <v>4822</v>
      </c>
      <c r="E4011" t="s">
        <v>4947</v>
      </c>
      <c r="F4011" t="s">
        <v>1538</v>
      </c>
      <c r="G4011">
        <v>42</v>
      </c>
      <c r="Q4011" t="s">
        <v>6523</v>
      </c>
    </row>
    <row r="4012" spans="1:17" x14ac:dyDescent="0.2">
      <c r="A4012" t="s">
        <v>4820</v>
      </c>
      <c r="B4012" t="s">
        <v>4821</v>
      </c>
      <c r="C4012">
        <v>3</v>
      </c>
      <c r="D4012" s="6" t="s">
        <v>4822</v>
      </c>
      <c r="E4012" t="s">
        <v>4948</v>
      </c>
      <c r="F4012" t="s">
        <v>1538</v>
      </c>
      <c r="G4012">
        <v>21</v>
      </c>
      <c r="Q4012" t="s">
        <v>6522</v>
      </c>
    </row>
    <row r="4013" spans="1:17" x14ac:dyDescent="0.2">
      <c r="A4013" t="s">
        <v>4820</v>
      </c>
      <c r="B4013" t="s">
        <v>4821</v>
      </c>
      <c r="C4013">
        <v>3</v>
      </c>
      <c r="D4013" s="6" t="s">
        <v>4822</v>
      </c>
      <c r="E4013" t="s">
        <v>4949</v>
      </c>
      <c r="F4013" t="s">
        <v>1538</v>
      </c>
      <c r="G4013">
        <v>13</v>
      </c>
      <c r="Q4013" t="s">
        <v>6521</v>
      </c>
    </row>
    <row r="4014" spans="1:17" x14ac:dyDescent="0.2">
      <c r="A4014" t="s">
        <v>4820</v>
      </c>
      <c r="B4014" t="s">
        <v>4821</v>
      </c>
      <c r="C4014">
        <v>3</v>
      </c>
      <c r="D4014" s="6" t="s">
        <v>4822</v>
      </c>
      <c r="E4014" t="s">
        <v>4950</v>
      </c>
      <c r="F4014" t="s">
        <v>5995</v>
      </c>
      <c r="G4014">
        <v>1</v>
      </c>
      <c r="Q4014" t="s">
        <v>6197</v>
      </c>
    </row>
    <row r="4015" spans="1:17" x14ac:dyDescent="0.2">
      <c r="A4015" t="s">
        <v>4820</v>
      </c>
      <c r="B4015" t="s">
        <v>4821</v>
      </c>
      <c r="C4015">
        <v>3</v>
      </c>
      <c r="D4015" s="6" t="s">
        <v>4822</v>
      </c>
      <c r="E4015" t="s">
        <v>4951</v>
      </c>
      <c r="F4015" t="s">
        <v>5995</v>
      </c>
      <c r="G4015">
        <v>1</v>
      </c>
      <c r="Q4015" t="s">
        <v>6198</v>
      </c>
    </row>
    <row r="4016" spans="1:17" x14ac:dyDescent="0.2">
      <c r="A4016" t="s">
        <v>4820</v>
      </c>
      <c r="B4016" t="s">
        <v>4821</v>
      </c>
      <c r="C4016">
        <v>3</v>
      </c>
      <c r="D4016" s="6" t="s">
        <v>4822</v>
      </c>
      <c r="E4016" t="s">
        <v>4952</v>
      </c>
      <c r="F4016" t="s">
        <v>6239</v>
      </c>
      <c r="G4016" t="s">
        <v>114</v>
      </c>
      <c r="O4016" t="s">
        <v>6240</v>
      </c>
      <c r="Q4016" t="s">
        <v>6238</v>
      </c>
    </row>
    <row r="4017" spans="1:17" x14ac:dyDescent="0.2">
      <c r="A4017" t="s">
        <v>4820</v>
      </c>
      <c r="B4017" t="s">
        <v>4821</v>
      </c>
      <c r="C4017">
        <v>3</v>
      </c>
      <c r="D4017" s="6" t="s">
        <v>4822</v>
      </c>
      <c r="E4017" t="s">
        <v>4953</v>
      </c>
      <c r="F4017" t="s">
        <v>1538</v>
      </c>
      <c r="G4017">
        <v>1</v>
      </c>
      <c r="Q4017" t="s">
        <v>6517</v>
      </c>
    </row>
    <row r="4018" spans="1:17" x14ac:dyDescent="0.2">
      <c r="A4018" t="s">
        <v>4820</v>
      </c>
      <c r="B4018" t="s">
        <v>4821</v>
      </c>
      <c r="C4018">
        <v>3</v>
      </c>
      <c r="D4018" s="6" t="s">
        <v>4822</v>
      </c>
      <c r="E4018" t="s">
        <v>4954</v>
      </c>
      <c r="F4018" t="s">
        <v>1538</v>
      </c>
      <c r="G4018" t="s">
        <v>114</v>
      </c>
      <c r="Q4018" t="s">
        <v>6516</v>
      </c>
    </row>
    <row r="4019" spans="1:17" x14ac:dyDescent="0.2">
      <c r="A4019" t="s">
        <v>4820</v>
      </c>
      <c r="B4019" t="s">
        <v>4821</v>
      </c>
      <c r="C4019">
        <v>3</v>
      </c>
      <c r="D4019" s="6" t="s">
        <v>4822</v>
      </c>
      <c r="E4019" t="s">
        <v>4955</v>
      </c>
      <c r="F4019" t="s">
        <v>1538</v>
      </c>
      <c r="G4019">
        <v>1</v>
      </c>
      <c r="Q4019" t="s">
        <v>6520</v>
      </c>
    </row>
    <row r="4020" spans="1:17" x14ac:dyDescent="0.2">
      <c r="A4020" t="s">
        <v>4820</v>
      </c>
      <c r="B4020" t="s">
        <v>4821</v>
      </c>
      <c r="C4020">
        <v>3</v>
      </c>
      <c r="D4020" s="6" t="s">
        <v>4822</v>
      </c>
      <c r="E4020" t="s">
        <v>4956</v>
      </c>
      <c r="F4020" t="s">
        <v>1538</v>
      </c>
      <c r="G4020" t="s">
        <v>114</v>
      </c>
      <c r="Q4020" t="s">
        <v>6519</v>
      </c>
    </row>
    <row r="4021" spans="1:17" x14ac:dyDescent="0.2">
      <c r="A4021" t="s">
        <v>4820</v>
      </c>
      <c r="B4021" t="s">
        <v>4821</v>
      </c>
      <c r="C4021">
        <v>3</v>
      </c>
      <c r="D4021" s="6" t="s">
        <v>4822</v>
      </c>
      <c r="E4021" t="s">
        <v>4957</v>
      </c>
      <c r="F4021" t="s">
        <v>1538</v>
      </c>
      <c r="G4021">
        <v>1</v>
      </c>
      <c r="Q4021" t="s">
        <v>6518</v>
      </c>
    </row>
    <row r="4022" spans="1:17" x14ac:dyDescent="0.2">
      <c r="A4022" t="s">
        <v>4820</v>
      </c>
      <c r="B4022" t="s">
        <v>4821</v>
      </c>
      <c r="C4022">
        <v>3</v>
      </c>
      <c r="D4022" s="6" t="s">
        <v>4822</v>
      </c>
      <c r="E4022" t="s">
        <v>4958</v>
      </c>
      <c r="F4022" t="s">
        <v>1538</v>
      </c>
      <c r="G4022">
        <v>3</v>
      </c>
      <c r="M4022">
        <v>5</v>
      </c>
    </row>
    <row r="4023" spans="1:17" x14ac:dyDescent="0.2">
      <c r="A4023" t="s">
        <v>4820</v>
      </c>
      <c r="B4023" t="s">
        <v>4821</v>
      </c>
      <c r="C4023">
        <v>3</v>
      </c>
      <c r="D4023" s="6" t="s">
        <v>4822</v>
      </c>
      <c r="E4023" t="s">
        <v>4868</v>
      </c>
      <c r="F4023" t="s">
        <v>1538</v>
      </c>
      <c r="G4023">
        <v>1</v>
      </c>
      <c r="M4023">
        <v>4</v>
      </c>
    </row>
    <row r="4024" spans="1:17" x14ac:dyDescent="0.2">
      <c r="A4024" t="s">
        <v>4820</v>
      </c>
      <c r="B4024" t="s">
        <v>4821</v>
      </c>
      <c r="C4024">
        <v>3</v>
      </c>
      <c r="D4024" s="6" t="s">
        <v>4822</v>
      </c>
      <c r="E4024" t="s">
        <v>4868</v>
      </c>
      <c r="F4024" t="s">
        <v>1389</v>
      </c>
      <c r="G4024">
        <v>87</v>
      </c>
      <c r="M4024">
        <v>20</v>
      </c>
    </row>
    <row r="4025" spans="1:17" x14ac:dyDescent="0.2">
      <c r="A4025" t="s">
        <v>4820</v>
      </c>
      <c r="B4025" t="s">
        <v>4821</v>
      </c>
      <c r="C4025">
        <v>3</v>
      </c>
      <c r="D4025" s="6" t="s">
        <v>4822</v>
      </c>
      <c r="E4025" t="s">
        <v>4959</v>
      </c>
      <c r="F4025" t="s">
        <v>106</v>
      </c>
      <c r="G4025">
        <v>2</v>
      </c>
    </row>
    <row r="4026" spans="1:17" x14ac:dyDescent="0.2">
      <c r="A4026" t="s">
        <v>4820</v>
      </c>
      <c r="B4026" t="s">
        <v>4821</v>
      </c>
      <c r="C4026">
        <v>3</v>
      </c>
      <c r="D4026" s="6" t="s">
        <v>4822</v>
      </c>
      <c r="E4026" t="s">
        <v>4960</v>
      </c>
      <c r="F4026" t="s">
        <v>7138</v>
      </c>
      <c r="G4026">
        <v>9</v>
      </c>
      <c r="Q4026" t="s">
        <v>6524</v>
      </c>
    </row>
    <row r="4027" spans="1:17" x14ac:dyDescent="0.2">
      <c r="A4027" t="s">
        <v>4820</v>
      </c>
      <c r="B4027" t="s">
        <v>4821</v>
      </c>
      <c r="C4027">
        <v>3</v>
      </c>
      <c r="D4027" s="6" t="s">
        <v>4822</v>
      </c>
      <c r="E4027" t="s">
        <v>4961</v>
      </c>
      <c r="F4027" t="s">
        <v>118</v>
      </c>
      <c r="G4027">
        <v>32</v>
      </c>
      <c r="O4027" t="s">
        <v>4981</v>
      </c>
    </row>
    <row r="4028" spans="1:17" x14ac:dyDescent="0.2">
      <c r="A4028" t="s">
        <v>4820</v>
      </c>
      <c r="B4028" t="s">
        <v>4821</v>
      </c>
      <c r="C4028">
        <v>3</v>
      </c>
      <c r="D4028" s="6" t="s">
        <v>4822</v>
      </c>
      <c r="E4028" t="s">
        <v>4962</v>
      </c>
      <c r="F4028" t="s">
        <v>2789</v>
      </c>
      <c r="G4028">
        <v>6</v>
      </c>
    </row>
    <row r="4029" spans="1:17" x14ac:dyDescent="0.2">
      <c r="A4029" t="s">
        <v>4820</v>
      </c>
      <c r="B4029" t="s">
        <v>4821</v>
      </c>
      <c r="C4029">
        <v>3</v>
      </c>
      <c r="D4029" s="6" t="s">
        <v>4822</v>
      </c>
      <c r="E4029" t="s">
        <v>4963</v>
      </c>
      <c r="F4029" t="s">
        <v>4974</v>
      </c>
      <c r="G4029">
        <v>242</v>
      </c>
      <c r="O4029" t="s">
        <v>4980</v>
      </c>
    </row>
    <row r="4030" spans="1:17" x14ac:dyDescent="0.2">
      <c r="A4030" t="s">
        <v>4820</v>
      </c>
      <c r="B4030" t="s">
        <v>4821</v>
      </c>
      <c r="C4030">
        <v>4</v>
      </c>
      <c r="D4030" s="6" t="s">
        <v>4822</v>
      </c>
      <c r="E4030" t="s">
        <v>4964</v>
      </c>
      <c r="F4030" t="s">
        <v>483</v>
      </c>
      <c r="G4030">
        <f>775-261</f>
        <v>514</v>
      </c>
      <c r="O4030" t="s">
        <v>4979</v>
      </c>
    </row>
    <row r="4031" spans="1:17" x14ac:dyDescent="0.2">
      <c r="A4031" t="s">
        <v>4820</v>
      </c>
      <c r="B4031" t="s">
        <v>4821</v>
      </c>
      <c r="C4031">
        <v>4</v>
      </c>
      <c r="D4031" s="6" t="s">
        <v>4822</v>
      </c>
      <c r="E4031" t="s">
        <v>4965</v>
      </c>
      <c r="F4031" t="s">
        <v>4975</v>
      </c>
      <c r="G4031">
        <f>429-295</f>
        <v>134</v>
      </c>
      <c r="O4031" t="s">
        <v>4978</v>
      </c>
    </row>
    <row r="4032" spans="1:17" x14ac:dyDescent="0.2">
      <c r="A4032" t="s">
        <v>4820</v>
      </c>
      <c r="B4032" t="s">
        <v>4821</v>
      </c>
      <c r="C4032">
        <v>4</v>
      </c>
      <c r="D4032" s="6" t="s">
        <v>4822</v>
      </c>
      <c r="E4032" t="s">
        <v>4967</v>
      </c>
      <c r="F4032" t="s">
        <v>6525</v>
      </c>
      <c r="G4032">
        <v>521</v>
      </c>
      <c r="Q4032" t="s">
        <v>6526</v>
      </c>
    </row>
    <row r="4033" spans="1:17" x14ac:dyDescent="0.2">
      <c r="A4033" t="s">
        <v>4820</v>
      </c>
      <c r="B4033" t="s">
        <v>4821</v>
      </c>
      <c r="C4033">
        <v>4</v>
      </c>
      <c r="D4033" s="6" t="s">
        <v>4822</v>
      </c>
      <c r="E4033" t="s">
        <v>4966</v>
      </c>
      <c r="F4033" t="s">
        <v>4982</v>
      </c>
      <c r="G4033">
        <v>151</v>
      </c>
      <c r="Q4033" t="s">
        <v>6527</v>
      </c>
    </row>
    <row r="4034" spans="1:17" x14ac:dyDescent="0.2">
      <c r="A4034" t="s">
        <v>4820</v>
      </c>
      <c r="B4034" t="s">
        <v>4821</v>
      </c>
      <c r="C4034">
        <v>4</v>
      </c>
      <c r="D4034" s="6" t="s">
        <v>4822</v>
      </c>
      <c r="E4034" t="s">
        <v>4968</v>
      </c>
      <c r="F4034" t="s">
        <v>6282</v>
      </c>
      <c r="G4034">
        <v>26</v>
      </c>
      <c r="Q4034" t="s">
        <v>6534</v>
      </c>
    </row>
    <row r="4035" spans="1:17" x14ac:dyDescent="0.2">
      <c r="A4035" t="s">
        <v>4820</v>
      </c>
      <c r="B4035" t="s">
        <v>4821</v>
      </c>
      <c r="C4035">
        <v>4</v>
      </c>
      <c r="D4035" s="6" t="s">
        <v>4822</v>
      </c>
      <c r="E4035" t="s">
        <v>4969</v>
      </c>
      <c r="F4035" t="s">
        <v>6282</v>
      </c>
      <c r="G4035">
        <v>26</v>
      </c>
      <c r="Q4035" t="s">
        <v>6533</v>
      </c>
    </row>
    <row r="4036" spans="1:17" x14ac:dyDescent="0.2">
      <c r="A4036" t="s">
        <v>4820</v>
      </c>
      <c r="B4036" t="s">
        <v>4821</v>
      </c>
      <c r="C4036">
        <v>4</v>
      </c>
      <c r="D4036" s="6" t="s">
        <v>4822</v>
      </c>
      <c r="E4036" t="s">
        <v>4970</v>
      </c>
      <c r="F4036" t="s">
        <v>5995</v>
      </c>
      <c r="G4036">
        <v>1</v>
      </c>
      <c r="Q4036" t="s">
        <v>6199</v>
      </c>
    </row>
    <row r="4037" spans="1:17" x14ac:dyDescent="0.2">
      <c r="A4037" t="s">
        <v>4820</v>
      </c>
      <c r="B4037" t="s">
        <v>4821</v>
      </c>
      <c r="C4037">
        <v>4</v>
      </c>
      <c r="D4037" s="6" t="s">
        <v>4822</v>
      </c>
      <c r="E4037" t="s">
        <v>4971</v>
      </c>
      <c r="F4037" t="s">
        <v>1389</v>
      </c>
      <c r="G4037">
        <v>17</v>
      </c>
      <c r="O4037" t="s">
        <v>4977</v>
      </c>
      <c r="Q4037" t="s">
        <v>6532</v>
      </c>
    </row>
    <row r="4038" spans="1:17" x14ac:dyDescent="0.2">
      <c r="A4038" t="s">
        <v>4820</v>
      </c>
      <c r="B4038" t="s">
        <v>4821</v>
      </c>
      <c r="C4038">
        <v>4</v>
      </c>
      <c r="D4038" s="6" t="s">
        <v>4822</v>
      </c>
      <c r="E4038" t="s">
        <v>4972</v>
      </c>
      <c r="F4038" t="s">
        <v>1389</v>
      </c>
      <c r="G4038">
        <v>6</v>
      </c>
      <c r="Q4038" t="s">
        <v>6530</v>
      </c>
    </row>
    <row r="4039" spans="1:17" x14ac:dyDescent="0.2">
      <c r="A4039" t="s">
        <v>4820</v>
      </c>
      <c r="B4039" t="s">
        <v>4821</v>
      </c>
      <c r="C4039">
        <v>4</v>
      </c>
      <c r="D4039" s="6" t="s">
        <v>4822</v>
      </c>
      <c r="E4039" t="s">
        <v>4983</v>
      </c>
      <c r="F4039" t="s">
        <v>1389</v>
      </c>
      <c r="G4039">
        <v>1</v>
      </c>
      <c r="Q4039" t="s">
        <v>6531</v>
      </c>
    </row>
    <row r="4040" spans="1:17" x14ac:dyDescent="0.2">
      <c r="A4040" t="s">
        <v>4820</v>
      </c>
      <c r="B4040" t="s">
        <v>4821</v>
      </c>
      <c r="C4040">
        <v>4</v>
      </c>
      <c r="D4040" s="6" t="s">
        <v>4822</v>
      </c>
      <c r="E4040" t="s">
        <v>4984</v>
      </c>
      <c r="F4040" t="s">
        <v>1389</v>
      </c>
      <c r="G4040" t="s">
        <v>114</v>
      </c>
      <c r="Q4040" t="s">
        <v>6529</v>
      </c>
    </row>
    <row r="4041" spans="1:17" x14ac:dyDescent="0.2">
      <c r="A4041" t="s">
        <v>4820</v>
      </c>
      <c r="B4041" t="s">
        <v>4821</v>
      </c>
      <c r="C4041">
        <v>4</v>
      </c>
      <c r="D4041" s="6" t="s">
        <v>4822</v>
      </c>
      <c r="E4041" t="s">
        <v>4985</v>
      </c>
      <c r="F4041" t="s">
        <v>1389</v>
      </c>
      <c r="G4041" t="s">
        <v>114</v>
      </c>
      <c r="Q4041" t="s">
        <v>6528</v>
      </c>
    </row>
    <row r="4042" spans="1:17" x14ac:dyDescent="0.2">
      <c r="A4042" t="s">
        <v>4820</v>
      </c>
      <c r="B4042" t="s">
        <v>4821</v>
      </c>
      <c r="C4042">
        <v>4</v>
      </c>
      <c r="D4042" s="6" t="s">
        <v>4822</v>
      </c>
      <c r="E4042" t="s">
        <v>4986</v>
      </c>
      <c r="F4042" t="s">
        <v>1389</v>
      </c>
      <c r="G4042">
        <v>16</v>
      </c>
      <c r="M4042">
        <v>5</v>
      </c>
    </row>
    <row r="4043" spans="1:17" x14ac:dyDescent="0.2">
      <c r="A4043" t="s">
        <v>4820</v>
      </c>
      <c r="B4043" t="s">
        <v>4821</v>
      </c>
      <c r="C4043">
        <v>4</v>
      </c>
      <c r="D4043" s="6" t="s">
        <v>4822</v>
      </c>
      <c r="E4043" t="s">
        <v>4993</v>
      </c>
      <c r="F4043" t="s">
        <v>1389</v>
      </c>
      <c r="G4043">
        <v>1</v>
      </c>
    </row>
    <row r="4044" spans="1:17" x14ac:dyDescent="0.2">
      <c r="A4044" t="s">
        <v>4820</v>
      </c>
      <c r="B4044" t="s">
        <v>4821</v>
      </c>
      <c r="C4044">
        <v>4</v>
      </c>
      <c r="D4044" s="6" t="s">
        <v>4822</v>
      </c>
      <c r="E4044" t="s">
        <v>4987</v>
      </c>
      <c r="F4044" t="s">
        <v>1559</v>
      </c>
      <c r="G4044">
        <v>2</v>
      </c>
      <c r="Q4044" t="s">
        <v>6540</v>
      </c>
    </row>
    <row r="4045" spans="1:17" x14ac:dyDescent="0.2">
      <c r="A4045" t="s">
        <v>4820</v>
      </c>
      <c r="B4045" t="s">
        <v>4821</v>
      </c>
      <c r="C4045">
        <v>4</v>
      </c>
      <c r="D4045" s="6" t="s">
        <v>4822</v>
      </c>
      <c r="E4045" t="s">
        <v>4988</v>
      </c>
      <c r="F4045" t="s">
        <v>1559</v>
      </c>
      <c r="G4045">
        <v>1</v>
      </c>
      <c r="Q4045" t="s">
        <v>6539</v>
      </c>
    </row>
    <row r="4046" spans="1:17" x14ac:dyDescent="0.2">
      <c r="A4046" t="s">
        <v>4820</v>
      </c>
      <c r="B4046" t="s">
        <v>4821</v>
      </c>
      <c r="C4046">
        <v>4</v>
      </c>
      <c r="D4046" s="6" t="s">
        <v>4822</v>
      </c>
      <c r="E4046" t="s">
        <v>4989</v>
      </c>
      <c r="F4046" t="s">
        <v>1559</v>
      </c>
      <c r="G4046">
        <v>2</v>
      </c>
      <c r="Q4046" t="s">
        <v>6538</v>
      </c>
    </row>
    <row r="4047" spans="1:17" x14ac:dyDescent="0.2">
      <c r="A4047" t="s">
        <v>4820</v>
      </c>
      <c r="B4047" t="s">
        <v>4821</v>
      </c>
      <c r="C4047">
        <v>4</v>
      </c>
      <c r="D4047" s="6" t="s">
        <v>4822</v>
      </c>
      <c r="E4047" t="s">
        <v>4990</v>
      </c>
      <c r="F4047" t="s">
        <v>1559</v>
      </c>
      <c r="G4047">
        <v>1</v>
      </c>
      <c r="Q4047" t="s">
        <v>6537</v>
      </c>
    </row>
    <row r="4048" spans="1:17" x14ac:dyDescent="0.2">
      <c r="A4048" t="s">
        <v>4820</v>
      </c>
      <c r="B4048" t="s">
        <v>4821</v>
      </c>
      <c r="C4048">
        <v>4</v>
      </c>
      <c r="D4048" s="6" t="s">
        <v>4822</v>
      </c>
      <c r="E4048" t="s">
        <v>4991</v>
      </c>
      <c r="F4048" t="s">
        <v>1559</v>
      </c>
      <c r="G4048" t="s">
        <v>114</v>
      </c>
      <c r="Q4048" t="s">
        <v>6536</v>
      </c>
    </row>
    <row r="4049" spans="1:17" x14ac:dyDescent="0.2">
      <c r="A4049" t="s">
        <v>4820</v>
      </c>
      <c r="B4049" t="s">
        <v>4821</v>
      </c>
      <c r="C4049">
        <v>4</v>
      </c>
      <c r="D4049" s="6" t="s">
        <v>4822</v>
      </c>
      <c r="E4049" t="s">
        <v>4992</v>
      </c>
      <c r="F4049" t="s">
        <v>1559</v>
      </c>
      <c r="G4049" t="s">
        <v>114</v>
      </c>
      <c r="O4049" t="s">
        <v>5021</v>
      </c>
      <c r="Q4049" t="s">
        <v>6535</v>
      </c>
    </row>
    <row r="4050" spans="1:17" x14ac:dyDescent="0.2">
      <c r="A4050" t="s">
        <v>4820</v>
      </c>
      <c r="B4050" t="s">
        <v>4821</v>
      </c>
      <c r="C4050">
        <v>4</v>
      </c>
      <c r="D4050" s="6" t="s">
        <v>4822</v>
      </c>
      <c r="E4050" t="s">
        <v>4995</v>
      </c>
      <c r="F4050" t="s">
        <v>1389</v>
      </c>
      <c r="G4050">
        <v>16</v>
      </c>
      <c r="M4050">
        <v>12</v>
      </c>
    </row>
    <row r="4051" spans="1:17" x14ac:dyDescent="0.2">
      <c r="A4051" t="s">
        <v>4820</v>
      </c>
      <c r="B4051" t="s">
        <v>4821</v>
      </c>
      <c r="C4051">
        <v>4</v>
      </c>
      <c r="D4051" s="6" t="s">
        <v>4822</v>
      </c>
      <c r="E4051" t="s">
        <v>4994</v>
      </c>
      <c r="F4051" t="s">
        <v>106</v>
      </c>
      <c r="G4051">
        <v>9</v>
      </c>
      <c r="O4051" t="s">
        <v>5020</v>
      </c>
    </row>
    <row r="4052" spans="1:17" x14ac:dyDescent="0.2">
      <c r="A4052" t="s">
        <v>4820</v>
      </c>
      <c r="B4052" t="s">
        <v>4821</v>
      </c>
      <c r="C4052">
        <v>4</v>
      </c>
      <c r="D4052" s="6" t="s">
        <v>4822</v>
      </c>
      <c r="E4052" t="s">
        <v>4997</v>
      </c>
      <c r="F4052" t="s">
        <v>112</v>
      </c>
      <c r="G4052" t="s">
        <v>114</v>
      </c>
    </row>
    <row r="4053" spans="1:17" x14ac:dyDescent="0.2">
      <c r="A4053" t="s">
        <v>4820</v>
      </c>
      <c r="B4053" t="s">
        <v>4821</v>
      </c>
      <c r="C4053">
        <v>4</v>
      </c>
      <c r="D4053" s="6" t="s">
        <v>4822</v>
      </c>
      <c r="E4053" t="s">
        <v>4993</v>
      </c>
      <c r="F4053" t="s">
        <v>5016</v>
      </c>
      <c r="G4053">
        <v>9</v>
      </c>
      <c r="O4053" t="s">
        <v>5017</v>
      </c>
    </row>
    <row r="4054" spans="1:17" x14ac:dyDescent="0.2">
      <c r="A4054" t="s">
        <v>4820</v>
      </c>
      <c r="B4054" t="s">
        <v>4821</v>
      </c>
      <c r="C4054">
        <v>4</v>
      </c>
      <c r="D4054" s="6" t="s">
        <v>4822</v>
      </c>
      <c r="E4054" t="s">
        <v>4998</v>
      </c>
      <c r="F4054" t="s">
        <v>3928</v>
      </c>
      <c r="G4054">
        <v>16</v>
      </c>
      <c r="O4054" t="s">
        <v>5019</v>
      </c>
    </row>
    <row r="4055" spans="1:17" x14ac:dyDescent="0.2">
      <c r="A4055" t="s">
        <v>4820</v>
      </c>
      <c r="B4055" t="s">
        <v>4821</v>
      </c>
      <c r="C4055">
        <v>4</v>
      </c>
      <c r="D4055" s="6" t="s">
        <v>4822</v>
      </c>
      <c r="E4055" t="s">
        <v>4996</v>
      </c>
      <c r="F4055" t="s">
        <v>3875</v>
      </c>
      <c r="G4055">
        <v>83</v>
      </c>
    </row>
    <row r="4056" spans="1:17" x14ac:dyDescent="0.2">
      <c r="A4056" t="s">
        <v>4820</v>
      </c>
      <c r="B4056" t="s">
        <v>4821</v>
      </c>
      <c r="C4056">
        <v>5</v>
      </c>
      <c r="D4056" s="6" t="s">
        <v>4822</v>
      </c>
      <c r="E4056" t="s">
        <v>4999</v>
      </c>
      <c r="F4056" t="s">
        <v>1264</v>
      </c>
      <c r="H4056">
        <f>19.5-1.7</f>
        <v>17.8</v>
      </c>
    </row>
    <row r="4057" spans="1:17" x14ac:dyDescent="0.2">
      <c r="A4057" t="s">
        <v>4820</v>
      </c>
      <c r="B4057" t="s">
        <v>4821</v>
      </c>
      <c r="C4057">
        <v>5</v>
      </c>
      <c r="D4057" s="6" t="s">
        <v>4822</v>
      </c>
      <c r="E4057" t="s">
        <v>5000</v>
      </c>
      <c r="F4057" t="s">
        <v>5995</v>
      </c>
      <c r="G4057" t="s">
        <v>114</v>
      </c>
      <c r="M4057">
        <v>2</v>
      </c>
      <c r="Q4057" t="s">
        <v>6541</v>
      </c>
    </row>
    <row r="4058" spans="1:17" x14ac:dyDescent="0.2">
      <c r="A4058" t="s">
        <v>4820</v>
      </c>
      <c r="B4058" t="s">
        <v>4821</v>
      </c>
      <c r="C4058">
        <v>5</v>
      </c>
      <c r="D4058" s="6" t="s">
        <v>4822</v>
      </c>
      <c r="E4058" t="s">
        <v>5001</v>
      </c>
      <c r="F4058" t="s">
        <v>1538</v>
      </c>
      <c r="G4058">
        <v>2</v>
      </c>
      <c r="Q4058" t="s">
        <v>6542</v>
      </c>
    </row>
    <row r="4059" spans="1:17" x14ac:dyDescent="0.2">
      <c r="A4059" t="s">
        <v>4820</v>
      </c>
      <c r="B4059" t="s">
        <v>4821</v>
      </c>
      <c r="C4059">
        <v>5</v>
      </c>
      <c r="D4059" s="6" t="s">
        <v>4822</v>
      </c>
      <c r="E4059" t="s">
        <v>5002</v>
      </c>
      <c r="F4059" t="s">
        <v>1538</v>
      </c>
      <c r="G4059">
        <v>2</v>
      </c>
      <c r="Q4059" t="s">
        <v>6543</v>
      </c>
    </row>
    <row r="4060" spans="1:17" x14ac:dyDescent="0.2">
      <c r="A4060" t="s">
        <v>4820</v>
      </c>
      <c r="B4060" t="s">
        <v>4821</v>
      </c>
      <c r="C4060">
        <v>5</v>
      </c>
      <c r="D4060" s="6" t="s">
        <v>4822</v>
      </c>
      <c r="E4060" t="s">
        <v>5003</v>
      </c>
      <c r="F4060" t="s">
        <v>1559</v>
      </c>
      <c r="G4060">
        <v>1</v>
      </c>
      <c r="Q4060" t="s">
        <v>6544</v>
      </c>
    </row>
    <row r="4061" spans="1:17" x14ac:dyDescent="0.2">
      <c r="A4061" t="s">
        <v>4820</v>
      </c>
      <c r="B4061" t="s">
        <v>4821</v>
      </c>
      <c r="C4061">
        <v>5</v>
      </c>
      <c r="D4061" s="6" t="s">
        <v>4822</v>
      </c>
      <c r="E4061" t="s">
        <v>5004</v>
      </c>
      <c r="F4061" t="s">
        <v>1559</v>
      </c>
      <c r="G4061">
        <v>1</v>
      </c>
      <c r="Q4061" t="s">
        <v>6545</v>
      </c>
    </row>
    <row r="4062" spans="1:17" x14ac:dyDescent="0.2">
      <c r="A4062" t="s">
        <v>4820</v>
      </c>
      <c r="B4062" t="s">
        <v>4821</v>
      </c>
      <c r="C4062">
        <v>5</v>
      </c>
      <c r="D4062" s="6" t="s">
        <v>4822</v>
      </c>
      <c r="E4062" t="s">
        <v>5005</v>
      </c>
      <c r="F4062" t="s">
        <v>1559</v>
      </c>
      <c r="G4062">
        <v>1</v>
      </c>
      <c r="Q4062" t="s">
        <v>6546</v>
      </c>
    </row>
    <row r="4063" spans="1:17" x14ac:dyDescent="0.2">
      <c r="A4063" t="s">
        <v>4820</v>
      </c>
      <c r="B4063" t="s">
        <v>4821</v>
      </c>
      <c r="C4063">
        <v>5</v>
      </c>
      <c r="D4063" s="6" t="s">
        <v>4822</v>
      </c>
      <c r="E4063" t="s">
        <v>5006</v>
      </c>
      <c r="F4063" t="s">
        <v>1559</v>
      </c>
      <c r="G4063">
        <v>1</v>
      </c>
      <c r="Q4063" t="s">
        <v>6547</v>
      </c>
    </row>
    <row r="4064" spans="1:17" x14ac:dyDescent="0.2">
      <c r="A4064" t="s">
        <v>4820</v>
      </c>
      <c r="B4064" t="s">
        <v>4821</v>
      </c>
      <c r="C4064">
        <v>5</v>
      </c>
      <c r="D4064" s="6" t="s">
        <v>4822</v>
      </c>
      <c r="E4064" t="s">
        <v>5007</v>
      </c>
      <c r="F4064" t="s">
        <v>1389</v>
      </c>
      <c r="G4064" t="s">
        <v>114</v>
      </c>
      <c r="Q4064" t="s">
        <v>6548</v>
      </c>
    </row>
    <row r="4065" spans="1:17" x14ac:dyDescent="0.2">
      <c r="A4065" t="s">
        <v>4820</v>
      </c>
      <c r="B4065" t="s">
        <v>4821</v>
      </c>
      <c r="C4065">
        <v>5</v>
      </c>
      <c r="D4065" s="6" t="s">
        <v>4822</v>
      </c>
      <c r="E4065" t="s">
        <v>5008</v>
      </c>
      <c r="F4065" t="s">
        <v>1389</v>
      </c>
      <c r="G4065" t="s">
        <v>114</v>
      </c>
      <c r="Q4065" t="s">
        <v>6549</v>
      </c>
    </row>
    <row r="4066" spans="1:17" x14ac:dyDescent="0.2">
      <c r="A4066" t="s">
        <v>4820</v>
      </c>
      <c r="B4066" t="s">
        <v>4821</v>
      </c>
      <c r="C4066">
        <v>5</v>
      </c>
      <c r="D4066" s="6" t="s">
        <v>4822</v>
      </c>
      <c r="E4066" t="s">
        <v>5009</v>
      </c>
      <c r="F4066" t="s">
        <v>6379</v>
      </c>
      <c r="G4066">
        <v>15</v>
      </c>
      <c r="O4066" t="s">
        <v>6244</v>
      </c>
      <c r="Q4066" t="s">
        <v>6550</v>
      </c>
    </row>
    <row r="4067" spans="1:17" x14ac:dyDescent="0.2">
      <c r="A4067" t="s">
        <v>4820</v>
      </c>
      <c r="B4067" t="s">
        <v>4821</v>
      </c>
      <c r="C4067">
        <v>5</v>
      </c>
      <c r="D4067" s="6" t="s">
        <v>4822</v>
      </c>
      <c r="E4067" t="s">
        <v>5010</v>
      </c>
      <c r="F4067" t="s">
        <v>6239</v>
      </c>
      <c r="G4067">
        <v>1</v>
      </c>
      <c r="Q4067" t="s">
        <v>6551</v>
      </c>
    </row>
    <row r="4068" spans="1:17" x14ac:dyDescent="0.2">
      <c r="A4068" t="s">
        <v>4820</v>
      </c>
      <c r="B4068" t="s">
        <v>4821</v>
      </c>
      <c r="C4068">
        <v>5</v>
      </c>
      <c r="D4068" s="6" t="s">
        <v>4822</v>
      </c>
      <c r="E4068" t="s">
        <v>5011</v>
      </c>
      <c r="F4068" t="s">
        <v>1425</v>
      </c>
      <c r="G4068">
        <v>4</v>
      </c>
      <c r="Q4068" t="s">
        <v>6552</v>
      </c>
    </row>
    <row r="4069" spans="1:17" x14ac:dyDescent="0.2">
      <c r="A4069" t="s">
        <v>4820</v>
      </c>
      <c r="B4069" t="s">
        <v>4821</v>
      </c>
      <c r="C4069">
        <v>5</v>
      </c>
      <c r="D4069" s="6" t="s">
        <v>4822</v>
      </c>
      <c r="E4069" t="s">
        <v>5012</v>
      </c>
      <c r="F4069" t="s">
        <v>7138</v>
      </c>
      <c r="G4069">
        <v>2</v>
      </c>
      <c r="Q4069" t="s">
        <v>6553</v>
      </c>
    </row>
    <row r="4070" spans="1:17" x14ac:dyDescent="0.2">
      <c r="A4070" t="s">
        <v>4820</v>
      </c>
      <c r="B4070" t="s">
        <v>4821</v>
      </c>
      <c r="C4070">
        <v>5</v>
      </c>
      <c r="D4070" s="6" t="s">
        <v>4822</v>
      </c>
      <c r="E4070" t="s">
        <v>5013</v>
      </c>
      <c r="F4070" t="s">
        <v>2789</v>
      </c>
      <c r="G4070">
        <v>15</v>
      </c>
      <c r="O4070" t="s">
        <v>5018</v>
      </c>
    </row>
    <row r="4071" spans="1:17" x14ac:dyDescent="0.2">
      <c r="A4071" t="s">
        <v>4820</v>
      </c>
      <c r="B4071" t="s">
        <v>4821</v>
      </c>
      <c r="C4071">
        <v>5</v>
      </c>
      <c r="D4071" s="6" t="s">
        <v>4822</v>
      </c>
      <c r="E4071" t="s">
        <v>5022</v>
      </c>
      <c r="F4071" t="s">
        <v>106</v>
      </c>
      <c r="G4071">
        <v>3</v>
      </c>
    </row>
    <row r="4072" spans="1:17" x14ac:dyDescent="0.2">
      <c r="A4072" t="s">
        <v>4820</v>
      </c>
      <c r="B4072" t="s">
        <v>4821</v>
      </c>
      <c r="C4072">
        <v>5</v>
      </c>
      <c r="D4072" s="6" t="s">
        <v>4822</v>
      </c>
      <c r="E4072" t="s">
        <v>5023</v>
      </c>
      <c r="F4072" t="s">
        <v>121</v>
      </c>
      <c r="G4072">
        <v>5</v>
      </c>
      <c r="M4072">
        <v>3.5</v>
      </c>
    </row>
    <row r="4073" spans="1:17" x14ac:dyDescent="0.2">
      <c r="A4073" t="s">
        <v>4820</v>
      </c>
      <c r="B4073" t="s">
        <v>4821</v>
      </c>
      <c r="C4073">
        <v>5</v>
      </c>
      <c r="D4073" s="6" t="s">
        <v>4822</v>
      </c>
      <c r="E4073" t="s">
        <v>5024</v>
      </c>
      <c r="F4073" t="s">
        <v>3875</v>
      </c>
      <c r="G4073">
        <v>52</v>
      </c>
    </row>
    <row r="4074" spans="1:17" x14ac:dyDescent="0.2">
      <c r="A4074" t="s">
        <v>4820</v>
      </c>
      <c r="B4074" t="s">
        <v>4821</v>
      </c>
      <c r="C4074">
        <v>5</v>
      </c>
      <c r="D4074" s="6" t="s">
        <v>4822</v>
      </c>
      <c r="E4074" t="s">
        <v>5025</v>
      </c>
      <c r="F4074" t="s">
        <v>504</v>
      </c>
      <c r="G4074">
        <v>157</v>
      </c>
      <c r="O4074" t="s">
        <v>5054</v>
      </c>
    </row>
    <row r="4075" spans="1:17" x14ac:dyDescent="0.2">
      <c r="A4075" t="s">
        <v>4820</v>
      </c>
      <c r="B4075" t="s">
        <v>4821</v>
      </c>
      <c r="C4075">
        <v>6</v>
      </c>
      <c r="D4075" s="6" t="s">
        <v>4822</v>
      </c>
      <c r="E4075" t="s">
        <v>5026</v>
      </c>
      <c r="F4075" t="s">
        <v>1264</v>
      </c>
      <c r="H4075">
        <v>13</v>
      </c>
      <c r="O4075" t="s">
        <v>5055</v>
      </c>
    </row>
    <row r="4076" spans="1:17" x14ac:dyDescent="0.2">
      <c r="A4076" t="s">
        <v>4820</v>
      </c>
      <c r="B4076" t="s">
        <v>4821</v>
      </c>
      <c r="C4076" t="s">
        <v>462</v>
      </c>
      <c r="D4076" s="6" t="s">
        <v>4822</v>
      </c>
      <c r="E4076" t="s">
        <v>5028</v>
      </c>
      <c r="F4076" t="s">
        <v>112</v>
      </c>
      <c r="G4076">
        <v>78</v>
      </c>
      <c r="M4076">
        <v>3</v>
      </c>
      <c r="O4076" t="s">
        <v>1484</v>
      </c>
    </row>
    <row r="4077" spans="1:17" x14ac:dyDescent="0.2">
      <c r="A4077" t="s">
        <v>4820</v>
      </c>
      <c r="B4077" t="s">
        <v>4821</v>
      </c>
      <c r="C4077" t="s">
        <v>462</v>
      </c>
      <c r="D4077" s="6" t="s">
        <v>4822</v>
      </c>
      <c r="E4077" t="s">
        <v>5028</v>
      </c>
      <c r="F4077" t="s">
        <v>5869</v>
      </c>
      <c r="G4077">
        <v>37</v>
      </c>
      <c r="I4077">
        <v>365</v>
      </c>
      <c r="K4077">
        <v>342</v>
      </c>
      <c r="O4077" t="s">
        <v>1265</v>
      </c>
      <c r="Q4077" t="s">
        <v>6200</v>
      </c>
    </row>
    <row r="4078" spans="1:17" x14ac:dyDescent="0.2">
      <c r="A4078" t="s">
        <v>4820</v>
      </c>
      <c r="B4078" t="s">
        <v>4821</v>
      </c>
      <c r="C4078" t="s">
        <v>462</v>
      </c>
      <c r="D4078" s="6" t="s">
        <v>4822</v>
      </c>
      <c r="E4078" t="s">
        <v>5028</v>
      </c>
      <c r="F4078" t="s">
        <v>1425</v>
      </c>
      <c r="G4078">
        <v>10</v>
      </c>
      <c r="O4078" t="s">
        <v>1265</v>
      </c>
    </row>
    <row r="4079" spans="1:17" x14ac:dyDescent="0.2">
      <c r="A4079" t="s">
        <v>4820</v>
      </c>
      <c r="B4079" t="s">
        <v>4821</v>
      </c>
      <c r="C4079">
        <v>6</v>
      </c>
      <c r="D4079" s="6" t="s">
        <v>4822</v>
      </c>
      <c r="E4079" t="s">
        <v>5027</v>
      </c>
      <c r="F4079" t="s">
        <v>5053</v>
      </c>
      <c r="G4079">
        <v>64</v>
      </c>
      <c r="Q4079" t="s">
        <v>6554</v>
      </c>
    </row>
    <row r="4080" spans="1:17" x14ac:dyDescent="0.2">
      <c r="A4080" t="s">
        <v>4820</v>
      </c>
      <c r="B4080" t="s">
        <v>4821</v>
      </c>
      <c r="C4080">
        <v>6</v>
      </c>
      <c r="D4080" s="6" t="s">
        <v>4822</v>
      </c>
      <c r="E4080" t="s">
        <v>5029</v>
      </c>
      <c r="F4080" t="s">
        <v>5930</v>
      </c>
      <c r="G4080">
        <v>14</v>
      </c>
      <c r="P4080" t="s">
        <v>6013</v>
      </c>
      <c r="Q4080" t="s">
        <v>6201</v>
      </c>
    </row>
    <row r="4081" spans="1:17" x14ac:dyDescent="0.2">
      <c r="A4081" t="s">
        <v>4820</v>
      </c>
      <c r="B4081" t="s">
        <v>4821</v>
      </c>
      <c r="C4081">
        <v>6</v>
      </c>
      <c r="D4081" s="6" t="s">
        <v>4822</v>
      </c>
      <c r="E4081" t="s">
        <v>5030</v>
      </c>
      <c r="F4081" t="s">
        <v>5930</v>
      </c>
      <c r="G4081">
        <v>4</v>
      </c>
      <c r="Q4081" t="s">
        <v>6202</v>
      </c>
    </row>
    <row r="4082" spans="1:17" x14ac:dyDescent="0.2">
      <c r="A4082" t="s">
        <v>4820</v>
      </c>
      <c r="B4082" t="s">
        <v>4821</v>
      </c>
      <c r="C4082">
        <v>6</v>
      </c>
      <c r="D4082" s="6" t="s">
        <v>4822</v>
      </c>
      <c r="E4082" t="s">
        <v>5031</v>
      </c>
      <c r="F4082" t="s">
        <v>5995</v>
      </c>
      <c r="G4082" t="s">
        <v>114</v>
      </c>
      <c r="Q4082" t="s">
        <v>6205</v>
      </c>
    </row>
    <row r="4083" spans="1:17" x14ac:dyDescent="0.2">
      <c r="A4083" t="s">
        <v>4820</v>
      </c>
      <c r="B4083" t="s">
        <v>4821</v>
      </c>
      <c r="C4083">
        <v>6</v>
      </c>
      <c r="D4083" s="6" t="s">
        <v>4822</v>
      </c>
      <c r="E4083" t="s">
        <v>5032</v>
      </c>
      <c r="F4083" t="s">
        <v>5995</v>
      </c>
      <c r="G4083">
        <v>1</v>
      </c>
      <c r="Q4083" t="s">
        <v>6204</v>
      </c>
    </row>
    <row r="4084" spans="1:17" x14ac:dyDescent="0.2">
      <c r="A4084" t="s">
        <v>4820</v>
      </c>
      <c r="B4084" t="s">
        <v>4821</v>
      </c>
      <c r="C4084">
        <v>6</v>
      </c>
      <c r="D4084" s="6" t="s">
        <v>4822</v>
      </c>
      <c r="E4084" t="s">
        <v>5033</v>
      </c>
      <c r="F4084" t="s">
        <v>5995</v>
      </c>
      <c r="G4084" t="s">
        <v>114</v>
      </c>
      <c r="Q4084" t="s">
        <v>6203</v>
      </c>
    </row>
    <row r="4085" spans="1:17" x14ac:dyDescent="0.2">
      <c r="A4085" t="s">
        <v>4820</v>
      </c>
      <c r="B4085" t="s">
        <v>4821</v>
      </c>
      <c r="C4085">
        <v>6</v>
      </c>
      <c r="D4085" s="6" t="s">
        <v>4822</v>
      </c>
      <c r="E4085" t="s">
        <v>5034</v>
      </c>
      <c r="F4085" t="s">
        <v>5995</v>
      </c>
      <c r="G4085">
        <v>1</v>
      </c>
      <c r="M4085">
        <v>2</v>
      </c>
    </row>
    <row r="4086" spans="1:17" x14ac:dyDescent="0.2">
      <c r="A4086" t="s">
        <v>4820</v>
      </c>
      <c r="B4086" t="s">
        <v>4821</v>
      </c>
      <c r="C4086">
        <v>6</v>
      </c>
      <c r="D4086" s="6" t="s">
        <v>4822</v>
      </c>
      <c r="E4086" t="s">
        <v>5036</v>
      </c>
      <c r="F4086" t="s">
        <v>698</v>
      </c>
      <c r="G4086" t="s">
        <v>114</v>
      </c>
      <c r="M4086">
        <v>2</v>
      </c>
      <c r="Q4086" t="s">
        <v>6555</v>
      </c>
    </row>
    <row r="4087" spans="1:17" x14ac:dyDescent="0.2">
      <c r="A4087" t="s">
        <v>4820</v>
      </c>
      <c r="B4087" t="s">
        <v>4821</v>
      </c>
      <c r="C4087">
        <v>6</v>
      </c>
      <c r="D4087" s="6" t="s">
        <v>4822</v>
      </c>
      <c r="E4087" t="s">
        <v>5035</v>
      </c>
      <c r="F4087" t="s">
        <v>1425</v>
      </c>
      <c r="G4087">
        <v>10</v>
      </c>
      <c r="Q4087" t="s">
        <v>6556</v>
      </c>
    </row>
    <row r="4088" spans="1:17" x14ac:dyDescent="0.2">
      <c r="A4088" t="s">
        <v>4820</v>
      </c>
      <c r="B4088" t="s">
        <v>4821</v>
      </c>
      <c r="C4088">
        <v>6</v>
      </c>
      <c r="D4088" s="6" t="s">
        <v>4822</v>
      </c>
      <c r="E4088" t="s">
        <v>5037</v>
      </c>
      <c r="F4088" t="s">
        <v>1425</v>
      </c>
      <c r="G4088">
        <v>8</v>
      </c>
      <c r="Q4088" t="s">
        <v>6557</v>
      </c>
    </row>
    <row r="4089" spans="1:17" x14ac:dyDescent="0.2">
      <c r="A4089" t="s">
        <v>4820</v>
      </c>
      <c r="B4089" t="s">
        <v>4821</v>
      </c>
      <c r="C4089">
        <v>6</v>
      </c>
      <c r="D4089" s="6" t="s">
        <v>4822</v>
      </c>
      <c r="E4089" t="s">
        <v>5038</v>
      </c>
      <c r="F4089" t="s">
        <v>1425</v>
      </c>
      <c r="G4089">
        <v>5</v>
      </c>
      <c r="Q4089" t="s">
        <v>6558</v>
      </c>
    </row>
    <row r="4090" spans="1:17" x14ac:dyDescent="0.2">
      <c r="A4090" t="s">
        <v>4820</v>
      </c>
      <c r="B4090" t="s">
        <v>4821</v>
      </c>
      <c r="C4090">
        <v>6</v>
      </c>
      <c r="D4090" s="6" t="s">
        <v>4822</v>
      </c>
      <c r="E4090" t="s">
        <v>5039</v>
      </c>
      <c r="F4090" t="s">
        <v>1425</v>
      </c>
      <c r="G4090">
        <v>4</v>
      </c>
      <c r="Q4090" t="s">
        <v>6559</v>
      </c>
    </row>
    <row r="4091" spans="1:17" x14ac:dyDescent="0.2">
      <c r="A4091" t="s">
        <v>4820</v>
      </c>
      <c r="B4091" t="s">
        <v>4821</v>
      </c>
      <c r="C4091">
        <v>6</v>
      </c>
      <c r="D4091" s="6" t="s">
        <v>4822</v>
      </c>
      <c r="E4091" t="s">
        <v>5040</v>
      </c>
      <c r="F4091" t="s">
        <v>6239</v>
      </c>
      <c r="G4091">
        <v>1</v>
      </c>
      <c r="Q4091" t="s">
        <v>6570</v>
      </c>
    </row>
    <row r="4092" spans="1:17" x14ac:dyDescent="0.2">
      <c r="A4092" t="s">
        <v>4820</v>
      </c>
      <c r="B4092" t="s">
        <v>4821</v>
      </c>
      <c r="C4092">
        <v>6</v>
      </c>
      <c r="D4092" s="6" t="s">
        <v>4822</v>
      </c>
      <c r="E4092" t="s">
        <v>5041</v>
      </c>
      <c r="F4092" t="s">
        <v>6239</v>
      </c>
      <c r="G4092">
        <v>1</v>
      </c>
      <c r="Q4092" t="s">
        <v>6569</v>
      </c>
    </row>
    <row r="4093" spans="1:17" x14ac:dyDescent="0.2">
      <c r="A4093" t="s">
        <v>4820</v>
      </c>
      <c r="B4093" t="s">
        <v>4821</v>
      </c>
      <c r="C4093">
        <v>6</v>
      </c>
      <c r="D4093" s="6" t="s">
        <v>4822</v>
      </c>
      <c r="E4093" t="s">
        <v>5042</v>
      </c>
      <c r="F4093" t="s">
        <v>6239</v>
      </c>
      <c r="G4093" t="s">
        <v>114</v>
      </c>
      <c r="Q4093" t="s">
        <v>6571</v>
      </c>
    </row>
    <row r="4094" spans="1:17" x14ac:dyDescent="0.2">
      <c r="A4094" t="s">
        <v>4820</v>
      </c>
      <c r="B4094" t="s">
        <v>4821</v>
      </c>
      <c r="C4094">
        <v>6</v>
      </c>
      <c r="D4094" s="6" t="s">
        <v>4822</v>
      </c>
      <c r="E4094" t="s">
        <v>5043</v>
      </c>
      <c r="F4094" t="s">
        <v>6239</v>
      </c>
      <c r="G4094">
        <v>1</v>
      </c>
      <c r="Q4094" t="s">
        <v>6572</v>
      </c>
    </row>
    <row r="4095" spans="1:17" x14ac:dyDescent="0.2">
      <c r="A4095" t="s">
        <v>4820</v>
      </c>
      <c r="B4095" t="s">
        <v>4821</v>
      </c>
      <c r="C4095">
        <v>6</v>
      </c>
      <c r="D4095" s="6" t="s">
        <v>4822</v>
      </c>
      <c r="E4095" t="s">
        <v>5044</v>
      </c>
      <c r="F4095" t="s">
        <v>6239</v>
      </c>
      <c r="G4095">
        <v>1</v>
      </c>
      <c r="M4095">
        <v>5</v>
      </c>
      <c r="Q4095" t="s">
        <v>6573</v>
      </c>
    </row>
    <row r="4096" spans="1:17" x14ac:dyDescent="0.2">
      <c r="A4096" t="s">
        <v>4820</v>
      </c>
      <c r="B4096" t="s">
        <v>4821</v>
      </c>
      <c r="C4096">
        <v>6</v>
      </c>
      <c r="D4096" s="6" t="s">
        <v>4822</v>
      </c>
      <c r="E4096" t="s">
        <v>5045</v>
      </c>
      <c r="F4096" t="s">
        <v>6239</v>
      </c>
      <c r="G4096">
        <v>6</v>
      </c>
      <c r="M4096">
        <v>13</v>
      </c>
    </row>
    <row r="4097" spans="1:17" x14ac:dyDescent="0.2">
      <c r="A4097" t="s">
        <v>4820</v>
      </c>
      <c r="B4097" t="s">
        <v>4821</v>
      </c>
      <c r="C4097">
        <v>6</v>
      </c>
      <c r="D4097" s="6" t="s">
        <v>4822</v>
      </c>
      <c r="E4097" t="s">
        <v>5047</v>
      </c>
      <c r="F4097" t="s">
        <v>6239</v>
      </c>
      <c r="G4097">
        <v>13</v>
      </c>
    </row>
    <row r="4098" spans="1:17" x14ac:dyDescent="0.2">
      <c r="A4098" t="s">
        <v>4820</v>
      </c>
      <c r="B4098" t="s">
        <v>4821</v>
      </c>
      <c r="C4098">
        <v>6</v>
      </c>
      <c r="D4098" s="6" t="s">
        <v>4822</v>
      </c>
      <c r="E4098" t="s">
        <v>5046</v>
      </c>
      <c r="F4098" t="s">
        <v>1538</v>
      </c>
      <c r="G4098">
        <v>3</v>
      </c>
      <c r="Q4098" t="s">
        <v>6578</v>
      </c>
    </row>
    <row r="4099" spans="1:17" x14ac:dyDescent="0.2">
      <c r="A4099" t="s">
        <v>4820</v>
      </c>
      <c r="B4099" t="s">
        <v>4821</v>
      </c>
      <c r="C4099">
        <v>6</v>
      </c>
      <c r="D4099" s="6" t="s">
        <v>4822</v>
      </c>
      <c r="E4099" t="s">
        <v>5048</v>
      </c>
      <c r="F4099" t="s">
        <v>1389</v>
      </c>
      <c r="G4099">
        <v>5</v>
      </c>
      <c r="Q4099" t="s">
        <v>6567</v>
      </c>
    </row>
    <row r="4100" spans="1:17" x14ac:dyDescent="0.2">
      <c r="A4100" t="s">
        <v>4820</v>
      </c>
      <c r="B4100" t="s">
        <v>4821</v>
      </c>
      <c r="C4100">
        <v>6</v>
      </c>
      <c r="D4100" s="6" t="s">
        <v>4822</v>
      </c>
      <c r="E4100" t="s">
        <v>5049</v>
      </c>
      <c r="F4100" t="s">
        <v>1389</v>
      </c>
      <c r="G4100">
        <v>6</v>
      </c>
      <c r="Q4100" t="s">
        <v>6566</v>
      </c>
    </row>
    <row r="4101" spans="1:17" x14ac:dyDescent="0.2">
      <c r="A4101" t="s">
        <v>4820</v>
      </c>
      <c r="B4101" t="s">
        <v>4821</v>
      </c>
      <c r="C4101">
        <v>6</v>
      </c>
      <c r="D4101" s="6" t="s">
        <v>4822</v>
      </c>
      <c r="E4101" t="s">
        <v>5050</v>
      </c>
      <c r="F4101" t="s">
        <v>1389</v>
      </c>
      <c r="G4101">
        <v>1</v>
      </c>
      <c r="Q4101" t="s">
        <v>6565</v>
      </c>
    </row>
    <row r="4102" spans="1:17" x14ac:dyDescent="0.2">
      <c r="A4102" t="s">
        <v>4820</v>
      </c>
      <c r="B4102" t="s">
        <v>4821</v>
      </c>
      <c r="C4102">
        <v>6</v>
      </c>
      <c r="D4102" s="6" t="s">
        <v>4822</v>
      </c>
      <c r="E4102" t="s">
        <v>5051</v>
      </c>
      <c r="F4102" t="s">
        <v>1389</v>
      </c>
      <c r="G4102" t="s">
        <v>114</v>
      </c>
      <c r="Q4102" t="s">
        <v>6564</v>
      </c>
    </row>
    <row r="4103" spans="1:17" x14ac:dyDescent="0.2">
      <c r="A4103" t="s">
        <v>4820</v>
      </c>
      <c r="B4103" t="s">
        <v>4821</v>
      </c>
      <c r="C4103">
        <v>6</v>
      </c>
      <c r="D4103" s="6" t="s">
        <v>4822</v>
      </c>
      <c r="E4103" t="s">
        <v>5052</v>
      </c>
      <c r="F4103" t="s">
        <v>1389</v>
      </c>
      <c r="G4103" t="s">
        <v>114</v>
      </c>
      <c r="Q4103" t="s">
        <v>6563</v>
      </c>
    </row>
    <row r="4104" spans="1:17" x14ac:dyDescent="0.2">
      <c r="A4104" t="s">
        <v>4820</v>
      </c>
      <c r="B4104" t="s">
        <v>4821</v>
      </c>
      <c r="C4104">
        <v>6</v>
      </c>
      <c r="D4104" s="6" t="s">
        <v>4822</v>
      </c>
      <c r="E4104" t="s">
        <v>5062</v>
      </c>
      <c r="F4104" t="s">
        <v>1389</v>
      </c>
      <c r="G4104">
        <v>1</v>
      </c>
      <c r="M4104">
        <v>8</v>
      </c>
    </row>
    <row r="4105" spans="1:17" x14ac:dyDescent="0.2">
      <c r="A4105" t="s">
        <v>4820</v>
      </c>
      <c r="B4105" t="s">
        <v>4821</v>
      </c>
      <c r="C4105">
        <v>6</v>
      </c>
      <c r="D4105" s="6" t="s">
        <v>4822</v>
      </c>
      <c r="E4105" t="s">
        <v>5063</v>
      </c>
      <c r="F4105" t="s">
        <v>1538</v>
      </c>
      <c r="G4105">
        <v>4</v>
      </c>
      <c r="Q4105" t="s">
        <v>6577</v>
      </c>
    </row>
    <row r="4106" spans="1:17" x14ac:dyDescent="0.2">
      <c r="A4106" t="s">
        <v>4820</v>
      </c>
      <c r="B4106" t="s">
        <v>4821</v>
      </c>
      <c r="C4106">
        <v>6</v>
      </c>
      <c r="D4106" s="6" t="s">
        <v>4822</v>
      </c>
      <c r="E4106" t="s">
        <v>5064</v>
      </c>
      <c r="F4106" t="s">
        <v>1538</v>
      </c>
      <c r="G4106">
        <v>1</v>
      </c>
      <c r="Q4106" t="s">
        <v>6576</v>
      </c>
    </row>
    <row r="4107" spans="1:17" x14ac:dyDescent="0.2">
      <c r="A4107" t="s">
        <v>4820</v>
      </c>
      <c r="B4107" t="s">
        <v>4821</v>
      </c>
      <c r="C4107">
        <v>6</v>
      </c>
      <c r="D4107" s="6" t="s">
        <v>4822</v>
      </c>
      <c r="E4107" t="s">
        <v>5065</v>
      </c>
      <c r="F4107" t="s">
        <v>1538</v>
      </c>
      <c r="G4107" t="s">
        <v>114</v>
      </c>
      <c r="Q4107" t="s">
        <v>6575</v>
      </c>
    </row>
    <row r="4108" spans="1:17" x14ac:dyDescent="0.2">
      <c r="A4108" t="s">
        <v>4820</v>
      </c>
      <c r="B4108" t="s">
        <v>4821</v>
      </c>
      <c r="C4108">
        <v>6</v>
      </c>
      <c r="D4108" s="6" t="s">
        <v>4822</v>
      </c>
      <c r="E4108" t="s">
        <v>5066</v>
      </c>
      <c r="F4108" t="s">
        <v>1538</v>
      </c>
      <c r="G4108" t="s">
        <v>114</v>
      </c>
      <c r="Q4108" t="s">
        <v>6574</v>
      </c>
    </row>
    <row r="4109" spans="1:17" x14ac:dyDescent="0.2">
      <c r="A4109" t="s">
        <v>4820</v>
      </c>
      <c r="B4109" t="s">
        <v>4821</v>
      </c>
      <c r="C4109">
        <v>6</v>
      </c>
      <c r="D4109" s="6" t="s">
        <v>4822</v>
      </c>
      <c r="E4109" t="s">
        <v>5067</v>
      </c>
      <c r="F4109" t="s">
        <v>1538</v>
      </c>
      <c r="G4109">
        <v>1</v>
      </c>
      <c r="M4109">
        <v>3</v>
      </c>
    </row>
    <row r="4110" spans="1:17" x14ac:dyDescent="0.2">
      <c r="A4110" t="s">
        <v>4820</v>
      </c>
      <c r="B4110" t="s">
        <v>4821</v>
      </c>
      <c r="C4110">
        <v>6</v>
      </c>
      <c r="D4110" s="6" t="s">
        <v>4822</v>
      </c>
      <c r="E4110" t="s">
        <v>5068</v>
      </c>
      <c r="F4110" t="s">
        <v>1311</v>
      </c>
      <c r="G4110" t="s">
        <v>114</v>
      </c>
      <c r="Q4110" t="s">
        <v>6568</v>
      </c>
    </row>
    <row r="4111" spans="1:17" x14ac:dyDescent="0.2">
      <c r="A4111" t="s">
        <v>4820</v>
      </c>
      <c r="B4111" t="s">
        <v>4821</v>
      </c>
      <c r="C4111">
        <v>6</v>
      </c>
      <c r="D4111" s="6" t="s">
        <v>4822</v>
      </c>
      <c r="E4111" t="s">
        <v>5069</v>
      </c>
      <c r="F4111" t="s">
        <v>1559</v>
      </c>
      <c r="G4111">
        <v>1</v>
      </c>
      <c r="Q4111" t="s">
        <v>6560</v>
      </c>
    </row>
    <row r="4112" spans="1:17" x14ac:dyDescent="0.2">
      <c r="A4112" t="s">
        <v>4820</v>
      </c>
      <c r="B4112" t="s">
        <v>4821</v>
      </c>
      <c r="C4112">
        <v>6</v>
      </c>
      <c r="D4112" s="6" t="s">
        <v>4822</v>
      </c>
      <c r="E4112" t="s">
        <v>5070</v>
      </c>
      <c r="F4112" t="s">
        <v>1559</v>
      </c>
      <c r="G4112">
        <v>1</v>
      </c>
      <c r="Q4112" t="s">
        <v>6561</v>
      </c>
    </row>
    <row r="4113" spans="1:17" x14ac:dyDescent="0.2">
      <c r="A4113" t="s">
        <v>4820</v>
      </c>
      <c r="B4113" t="s">
        <v>4821</v>
      </c>
      <c r="C4113">
        <v>6</v>
      </c>
      <c r="D4113" s="6" t="s">
        <v>4822</v>
      </c>
      <c r="E4113" t="s">
        <v>5071</v>
      </c>
      <c r="F4113" t="s">
        <v>1559</v>
      </c>
      <c r="G4113">
        <v>1</v>
      </c>
      <c r="Q4113" t="s">
        <v>6562</v>
      </c>
    </row>
    <row r="4114" spans="1:17" x14ac:dyDescent="0.2">
      <c r="A4114" t="s">
        <v>4820</v>
      </c>
      <c r="B4114" t="s">
        <v>4821</v>
      </c>
      <c r="C4114">
        <v>6</v>
      </c>
      <c r="D4114" s="6" t="s">
        <v>4822</v>
      </c>
      <c r="E4114" t="s">
        <v>5047</v>
      </c>
      <c r="F4114" t="s">
        <v>1559</v>
      </c>
      <c r="G4114">
        <v>1</v>
      </c>
      <c r="M4114">
        <v>2</v>
      </c>
      <c r="O4114" t="s">
        <v>5057</v>
      </c>
    </row>
    <row r="4115" spans="1:17" x14ac:dyDescent="0.2">
      <c r="A4115" t="s">
        <v>4820</v>
      </c>
      <c r="B4115" t="s">
        <v>4821</v>
      </c>
      <c r="C4115">
        <v>6</v>
      </c>
      <c r="D4115" s="6" t="s">
        <v>4822</v>
      </c>
      <c r="E4115" t="s">
        <v>5072</v>
      </c>
      <c r="F4115" t="s">
        <v>6579</v>
      </c>
      <c r="G4115">
        <v>6</v>
      </c>
      <c r="Q4115" t="s">
        <v>6580</v>
      </c>
    </row>
    <row r="4116" spans="1:17" x14ac:dyDescent="0.2">
      <c r="A4116" t="s">
        <v>4820</v>
      </c>
      <c r="B4116" t="s">
        <v>4821</v>
      </c>
      <c r="C4116">
        <v>6</v>
      </c>
      <c r="D4116" s="6" t="s">
        <v>4822</v>
      </c>
      <c r="E4116" t="s">
        <v>10594</v>
      </c>
      <c r="F4116" t="s">
        <v>6933</v>
      </c>
      <c r="G4116">
        <v>62</v>
      </c>
      <c r="O4116" t="s">
        <v>5058</v>
      </c>
      <c r="Q4116" t="s">
        <v>10595</v>
      </c>
    </row>
    <row r="4117" spans="1:17" x14ac:dyDescent="0.2">
      <c r="A4117" t="s">
        <v>4820</v>
      </c>
      <c r="B4117" t="s">
        <v>4821</v>
      </c>
      <c r="C4117">
        <v>6</v>
      </c>
      <c r="D4117" s="6" t="s">
        <v>4822</v>
      </c>
      <c r="E4117" t="s">
        <v>5073</v>
      </c>
      <c r="F4117" t="s">
        <v>2789</v>
      </c>
      <c r="G4117">
        <v>11</v>
      </c>
      <c r="O4117" t="s">
        <v>5059</v>
      </c>
    </row>
    <row r="4118" spans="1:17" x14ac:dyDescent="0.2">
      <c r="A4118" t="s">
        <v>4820</v>
      </c>
      <c r="B4118" t="s">
        <v>4821</v>
      </c>
      <c r="C4118">
        <v>6</v>
      </c>
      <c r="D4118" s="6" t="s">
        <v>4822</v>
      </c>
      <c r="E4118" t="s">
        <v>5074</v>
      </c>
      <c r="F4118" t="s">
        <v>3875</v>
      </c>
      <c r="G4118">
        <v>14</v>
      </c>
      <c r="M4118">
        <v>5</v>
      </c>
    </row>
    <row r="4119" spans="1:17" x14ac:dyDescent="0.2">
      <c r="A4119" t="s">
        <v>4820</v>
      </c>
      <c r="B4119" t="s">
        <v>4821</v>
      </c>
      <c r="C4119">
        <v>6</v>
      </c>
      <c r="D4119" s="6" t="s">
        <v>4822</v>
      </c>
      <c r="E4119" t="s">
        <v>5075</v>
      </c>
      <c r="F4119" t="s">
        <v>8168</v>
      </c>
      <c r="G4119">
        <v>3</v>
      </c>
      <c r="M4119">
        <v>3</v>
      </c>
      <c r="Q4119" t="s">
        <v>10595</v>
      </c>
    </row>
    <row r="4120" spans="1:17" x14ac:dyDescent="0.2">
      <c r="A4120" t="s">
        <v>4820</v>
      </c>
      <c r="B4120" t="s">
        <v>4821</v>
      </c>
      <c r="C4120">
        <v>6</v>
      </c>
      <c r="D4120" s="6" t="s">
        <v>4822</v>
      </c>
      <c r="E4120" t="s">
        <v>5076</v>
      </c>
      <c r="F4120" t="s">
        <v>7138</v>
      </c>
      <c r="G4120">
        <v>11</v>
      </c>
      <c r="M4120">
        <v>3</v>
      </c>
      <c r="Q4120" t="s">
        <v>10595</v>
      </c>
    </row>
    <row r="4121" spans="1:17" x14ac:dyDescent="0.2">
      <c r="A4121" t="s">
        <v>4820</v>
      </c>
      <c r="B4121" t="s">
        <v>4821</v>
      </c>
      <c r="C4121">
        <v>6</v>
      </c>
      <c r="D4121" s="6" t="s">
        <v>4822</v>
      </c>
      <c r="E4121" t="s">
        <v>5077</v>
      </c>
      <c r="F4121" t="s">
        <v>106</v>
      </c>
      <c r="G4121">
        <v>1</v>
      </c>
      <c r="O4121" t="s">
        <v>5060</v>
      </c>
    </row>
    <row r="4122" spans="1:17" x14ac:dyDescent="0.2">
      <c r="A4122" t="s">
        <v>4820</v>
      </c>
      <c r="B4122" t="s">
        <v>4821</v>
      </c>
      <c r="C4122">
        <v>6</v>
      </c>
      <c r="D4122" s="6" t="s">
        <v>4822</v>
      </c>
      <c r="E4122" t="s">
        <v>5078</v>
      </c>
      <c r="F4122" t="s">
        <v>2552</v>
      </c>
      <c r="G4122">
        <v>38</v>
      </c>
      <c r="O4122" t="s">
        <v>5061</v>
      </c>
    </row>
    <row r="4123" spans="1:17" x14ac:dyDescent="0.2">
      <c r="A4123" t="s">
        <v>4820</v>
      </c>
      <c r="B4123" t="s">
        <v>4821</v>
      </c>
      <c r="C4123">
        <v>6</v>
      </c>
      <c r="D4123" s="6" t="s">
        <v>4822</v>
      </c>
      <c r="E4123" t="s">
        <v>5079</v>
      </c>
      <c r="F4123" t="s">
        <v>440</v>
      </c>
      <c r="G4123">
        <v>428</v>
      </c>
    </row>
    <row r="4124" spans="1:17" x14ac:dyDescent="0.2">
      <c r="A4124" t="s">
        <v>4820</v>
      </c>
      <c r="B4124" t="s">
        <v>4821</v>
      </c>
      <c r="C4124">
        <v>6</v>
      </c>
      <c r="D4124" s="6" t="s">
        <v>4822</v>
      </c>
      <c r="E4124" t="s">
        <v>5080</v>
      </c>
      <c r="F4124" t="s">
        <v>504</v>
      </c>
      <c r="G4124">
        <f>1000*(4.7-0.41)</f>
        <v>4290</v>
      </c>
      <c r="O4124" t="s">
        <v>5102</v>
      </c>
    </row>
    <row r="4125" spans="1:17" x14ac:dyDescent="0.2">
      <c r="A4125" t="s">
        <v>4820</v>
      </c>
      <c r="B4125" t="s">
        <v>4821</v>
      </c>
      <c r="C4125">
        <v>1</v>
      </c>
      <c r="D4125" s="6" t="s">
        <v>4822</v>
      </c>
      <c r="E4125" t="s">
        <v>5026</v>
      </c>
      <c r="F4125" t="s">
        <v>740</v>
      </c>
      <c r="G4125">
        <f>1000*(4-0.4+0.228)</f>
        <v>3828.0000000000005</v>
      </c>
    </row>
    <row r="4126" spans="1:17" x14ac:dyDescent="0.2">
      <c r="A4126" t="s">
        <v>4820</v>
      </c>
      <c r="B4126" t="s">
        <v>4821</v>
      </c>
      <c r="C4126">
        <v>1</v>
      </c>
      <c r="D4126" s="6" t="s">
        <v>4822</v>
      </c>
      <c r="E4126" t="s">
        <v>5047</v>
      </c>
      <c r="F4126" t="s">
        <v>1264</v>
      </c>
      <c r="G4126">
        <f>1000*(4.1-1.8+3.2)</f>
        <v>5500</v>
      </c>
    </row>
    <row r="4127" spans="1:17" x14ac:dyDescent="0.2">
      <c r="A4127" t="s">
        <v>4820</v>
      </c>
      <c r="B4127" t="s">
        <v>4821</v>
      </c>
      <c r="C4127">
        <v>1</v>
      </c>
      <c r="D4127" s="6" t="s">
        <v>4822</v>
      </c>
      <c r="E4127" t="s">
        <v>5027</v>
      </c>
      <c r="F4127" t="s">
        <v>112</v>
      </c>
      <c r="G4127">
        <f>1000*(0.817-0.59)</f>
        <v>226.99999999999997</v>
      </c>
    </row>
    <row r="4128" spans="1:17" x14ac:dyDescent="0.2">
      <c r="A4128" t="s">
        <v>4820</v>
      </c>
      <c r="B4128" t="s">
        <v>4821</v>
      </c>
      <c r="C4128">
        <v>1</v>
      </c>
      <c r="D4128" s="6" t="s">
        <v>4822</v>
      </c>
      <c r="E4128" t="s">
        <v>5047</v>
      </c>
      <c r="F4128" t="s">
        <v>5016</v>
      </c>
      <c r="G4128">
        <f>1000*(0.572-0.427)</f>
        <v>144.99999999999997</v>
      </c>
      <c r="O4128" t="s">
        <v>5083</v>
      </c>
    </row>
    <row r="4129" spans="1:17" x14ac:dyDescent="0.2">
      <c r="A4129" t="s">
        <v>4820</v>
      </c>
      <c r="B4129" t="s">
        <v>4821</v>
      </c>
      <c r="C4129">
        <v>1</v>
      </c>
      <c r="D4129" s="6" t="s">
        <v>4822</v>
      </c>
      <c r="E4129" t="s">
        <v>5047</v>
      </c>
      <c r="F4129" t="s">
        <v>5084</v>
      </c>
      <c r="G4129">
        <f>1000*(1.272-0.295)</f>
        <v>977.00000000000011</v>
      </c>
      <c r="O4129" t="s">
        <v>5085</v>
      </c>
    </row>
    <row r="4130" spans="1:17" x14ac:dyDescent="0.2">
      <c r="A4130" t="s">
        <v>4820</v>
      </c>
      <c r="B4130" t="s">
        <v>4821</v>
      </c>
      <c r="C4130">
        <v>1</v>
      </c>
      <c r="D4130" s="6" t="s">
        <v>4822</v>
      </c>
      <c r="E4130" t="s">
        <v>5088</v>
      </c>
      <c r="F4130" t="s">
        <v>2993</v>
      </c>
      <c r="G4130">
        <f>1000*(1.205-0.59)</f>
        <v>615.00000000000011</v>
      </c>
      <c r="O4130" t="s">
        <v>5086</v>
      </c>
    </row>
    <row r="4131" spans="1:17" x14ac:dyDescent="0.2">
      <c r="A4131" t="s">
        <v>4921</v>
      </c>
      <c r="B4131" t="s">
        <v>4890</v>
      </c>
      <c r="C4131">
        <v>2</v>
      </c>
      <c r="D4131" s="6" t="s">
        <v>4822</v>
      </c>
      <c r="E4131" s="8" t="s">
        <v>5081</v>
      </c>
      <c r="F4131" t="s">
        <v>1538</v>
      </c>
      <c r="G4131">
        <v>31</v>
      </c>
      <c r="Q4131" t="s">
        <v>6583</v>
      </c>
    </row>
    <row r="4132" spans="1:17" x14ac:dyDescent="0.2">
      <c r="A4132" t="s">
        <v>4921</v>
      </c>
      <c r="B4132" t="s">
        <v>4890</v>
      </c>
      <c r="C4132">
        <v>2</v>
      </c>
      <c r="D4132" s="6" t="s">
        <v>4822</v>
      </c>
      <c r="E4132" s="8" t="s">
        <v>5082</v>
      </c>
      <c r="F4132" t="s">
        <v>1538</v>
      </c>
      <c r="G4132">
        <v>22</v>
      </c>
      <c r="Q4132" t="s">
        <v>6582</v>
      </c>
    </row>
    <row r="4133" spans="1:17" x14ac:dyDescent="0.2">
      <c r="A4133" t="s">
        <v>4921</v>
      </c>
      <c r="B4133" t="s">
        <v>4890</v>
      </c>
      <c r="C4133">
        <v>2</v>
      </c>
      <c r="D4133" s="6" t="s">
        <v>4822</v>
      </c>
      <c r="E4133" s="8" t="s">
        <v>5089</v>
      </c>
      <c r="F4133" t="s">
        <v>1311</v>
      </c>
      <c r="G4133">
        <v>2</v>
      </c>
      <c r="Q4133" t="s">
        <v>6581</v>
      </c>
    </row>
    <row r="4134" spans="1:17" x14ac:dyDescent="0.2">
      <c r="A4134" t="s">
        <v>4921</v>
      </c>
      <c r="B4134" t="s">
        <v>4890</v>
      </c>
      <c r="C4134">
        <v>2</v>
      </c>
      <c r="D4134" s="6" t="s">
        <v>4822</v>
      </c>
      <c r="E4134" s="8" t="s">
        <v>5090</v>
      </c>
      <c r="F4134" t="s">
        <v>2218</v>
      </c>
      <c r="G4134">
        <v>9</v>
      </c>
    </row>
    <row r="4135" spans="1:17" x14ac:dyDescent="0.2">
      <c r="A4135" t="s">
        <v>4921</v>
      </c>
      <c r="B4135" t="s">
        <v>4890</v>
      </c>
      <c r="C4135">
        <v>2</v>
      </c>
      <c r="D4135" s="6" t="s">
        <v>4822</v>
      </c>
      <c r="E4135" s="8" t="s">
        <v>5091</v>
      </c>
      <c r="F4135" t="s">
        <v>810</v>
      </c>
      <c r="G4135">
        <v>4</v>
      </c>
    </row>
    <row r="4136" spans="1:17" x14ac:dyDescent="0.2">
      <c r="A4136" t="s">
        <v>4921</v>
      </c>
      <c r="B4136" t="s">
        <v>4890</v>
      </c>
      <c r="C4136">
        <v>2</v>
      </c>
      <c r="D4136" s="6" t="s">
        <v>4822</v>
      </c>
      <c r="E4136" s="8" t="s">
        <v>5092</v>
      </c>
      <c r="F4136" t="s">
        <v>5095</v>
      </c>
      <c r="G4136">
        <v>1</v>
      </c>
      <c r="O4136" t="s">
        <v>5096</v>
      </c>
    </row>
    <row r="4137" spans="1:17" x14ac:dyDescent="0.2">
      <c r="A4137" t="s">
        <v>4921</v>
      </c>
      <c r="B4137" t="s">
        <v>4890</v>
      </c>
      <c r="C4137">
        <v>2</v>
      </c>
      <c r="D4137" s="6" t="s">
        <v>4822</v>
      </c>
      <c r="E4137" s="8" t="s">
        <v>5094</v>
      </c>
      <c r="F4137" t="s">
        <v>106</v>
      </c>
      <c r="G4137">
        <v>1</v>
      </c>
    </row>
    <row r="4138" spans="1:17" x14ac:dyDescent="0.2">
      <c r="A4138" t="s">
        <v>4921</v>
      </c>
      <c r="B4138" t="s">
        <v>4890</v>
      </c>
      <c r="C4138">
        <v>2</v>
      </c>
      <c r="D4138" s="6" t="s">
        <v>4822</v>
      </c>
      <c r="E4138" s="8" t="s">
        <v>5097</v>
      </c>
      <c r="F4138" t="s">
        <v>7138</v>
      </c>
      <c r="G4138">
        <v>2</v>
      </c>
      <c r="Q4138" t="s">
        <v>6584</v>
      </c>
    </row>
    <row r="4139" spans="1:17" x14ac:dyDescent="0.2">
      <c r="A4139" t="s">
        <v>4921</v>
      </c>
      <c r="B4139" t="s">
        <v>4890</v>
      </c>
      <c r="C4139">
        <v>2</v>
      </c>
      <c r="D4139" s="6" t="s">
        <v>4822</v>
      </c>
      <c r="E4139" s="8" t="s">
        <v>5098</v>
      </c>
      <c r="F4139" t="s">
        <v>1264</v>
      </c>
      <c r="G4139">
        <v>205</v>
      </c>
    </row>
    <row r="4140" spans="1:17" x14ac:dyDescent="0.2">
      <c r="A4140" t="s">
        <v>4921</v>
      </c>
      <c r="B4140" t="s">
        <v>4890</v>
      </c>
      <c r="C4140">
        <v>2</v>
      </c>
      <c r="D4140" s="6" t="s">
        <v>4822</v>
      </c>
      <c r="E4140" t="s">
        <v>5056</v>
      </c>
      <c r="F4140" t="s">
        <v>4880</v>
      </c>
      <c r="G4140">
        <v>10</v>
      </c>
    </row>
    <row r="4141" spans="1:17" x14ac:dyDescent="0.2">
      <c r="A4141" t="s">
        <v>4921</v>
      </c>
      <c r="B4141" t="s">
        <v>4890</v>
      </c>
      <c r="C4141">
        <v>3</v>
      </c>
      <c r="D4141" s="6" t="s">
        <v>4822</v>
      </c>
      <c r="E4141" s="8" t="s">
        <v>5081</v>
      </c>
      <c r="F4141" t="s">
        <v>1538</v>
      </c>
      <c r="G4141">
        <v>70</v>
      </c>
      <c r="Q4141" t="s">
        <v>6588</v>
      </c>
    </row>
    <row r="4142" spans="1:17" x14ac:dyDescent="0.2">
      <c r="A4142" t="s">
        <v>4921</v>
      </c>
      <c r="B4142" t="s">
        <v>4890</v>
      </c>
      <c r="C4142">
        <v>3</v>
      </c>
      <c r="D4142" s="6" t="s">
        <v>4822</v>
      </c>
      <c r="E4142" s="8" t="s">
        <v>5082</v>
      </c>
      <c r="F4142" t="s">
        <v>1538</v>
      </c>
      <c r="G4142">
        <v>35</v>
      </c>
      <c r="Q4142" t="s">
        <v>6587</v>
      </c>
    </row>
    <row r="4143" spans="1:17" x14ac:dyDescent="0.2">
      <c r="A4143" t="s">
        <v>4921</v>
      </c>
      <c r="B4143" t="s">
        <v>4890</v>
      </c>
      <c r="C4143">
        <v>3</v>
      </c>
      <c r="D4143" s="6" t="s">
        <v>4822</v>
      </c>
      <c r="E4143" s="8" t="s">
        <v>5089</v>
      </c>
      <c r="F4143" t="s">
        <v>1538</v>
      </c>
      <c r="G4143">
        <v>56</v>
      </c>
      <c r="Q4143" t="s">
        <v>6585</v>
      </c>
    </row>
    <row r="4144" spans="1:17" x14ac:dyDescent="0.2">
      <c r="A4144" t="s">
        <v>4921</v>
      </c>
      <c r="B4144" t="s">
        <v>4890</v>
      </c>
      <c r="C4144">
        <v>3</v>
      </c>
      <c r="D4144" s="6" t="s">
        <v>4822</v>
      </c>
      <c r="E4144" s="8" t="s">
        <v>5090</v>
      </c>
      <c r="F4144" t="s">
        <v>1538</v>
      </c>
      <c r="G4144">
        <v>36</v>
      </c>
      <c r="Q4144" t="s">
        <v>6589</v>
      </c>
    </row>
    <row r="4145" spans="1:17" x14ac:dyDescent="0.2">
      <c r="A4145" t="s">
        <v>4921</v>
      </c>
      <c r="B4145" t="s">
        <v>4890</v>
      </c>
      <c r="C4145">
        <v>3</v>
      </c>
      <c r="D4145" s="6" t="s">
        <v>4822</v>
      </c>
      <c r="E4145" s="8" t="s">
        <v>5091</v>
      </c>
      <c r="F4145" t="s">
        <v>1538</v>
      </c>
      <c r="G4145">
        <v>47</v>
      </c>
      <c r="Q4145" t="s">
        <v>6586</v>
      </c>
    </row>
    <row r="4146" spans="1:17" x14ac:dyDescent="0.2">
      <c r="A4146" t="s">
        <v>4921</v>
      </c>
      <c r="B4146" t="s">
        <v>4890</v>
      </c>
      <c r="C4146">
        <v>3</v>
      </c>
      <c r="D4146" s="6" t="s">
        <v>4822</v>
      </c>
      <c r="E4146" s="8" t="s">
        <v>5092</v>
      </c>
      <c r="F4146" t="s">
        <v>1538</v>
      </c>
      <c r="G4146">
        <f>832-590</f>
        <v>242</v>
      </c>
      <c r="M4146">
        <v>5</v>
      </c>
    </row>
    <row r="4147" spans="1:17" x14ac:dyDescent="0.2">
      <c r="A4147" t="s">
        <v>4921</v>
      </c>
      <c r="B4147" t="s">
        <v>4890</v>
      </c>
      <c r="C4147">
        <v>3</v>
      </c>
      <c r="D4147" s="6" t="s">
        <v>4822</v>
      </c>
      <c r="E4147" t="s">
        <v>5056</v>
      </c>
      <c r="F4147" t="s">
        <v>1538</v>
      </c>
      <c r="G4147">
        <f>758-590</f>
        <v>168</v>
      </c>
    </row>
    <row r="4148" spans="1:17" x14ac:dyDescent="0.2">
      <c r="A4148" t="s">
        <v>4921</v>
      </c>
      <c r="B4148" t="s">
        <v>4890</v>
      </c>
      <c r="C4148">
        <v>3</v>
      </c>
      <c r="D4148" s="6" t="s">
        <v>4822</v>
      </c>
      <c r="E4148" s="8" t="s">
        <v>5097</v>
      </c>
      <c r="F4148" t="s">
        <v>1425</v>
      </c>
      <c r="G4148">
        <v>7</v>
      </c>
      <c r="Q4148" t="s">
        <v>6595</v>
      </c>
    </row>
    <row r="4149" spans="1:17" x14ac:dyDescent="0.2">
      <c r="A4149" t="s">
        <v>4921</v>
      </c>
      <c r="B4149" t="s">
        <v>4890</v>
      </c>
      <c r="C4149">
        <v>3</v>
      </c>
      <c r="D4149" s="6" t="s">
        <v>4822</v>
      </c>
      <c r="E4149" s="8" t="s">
        <v>5094</v>
      </c>
      <c r="F4149" t="s">
        <v>3930</v>
      </c>
      <c r="G4149">
        <v>13</v>
      </c>
      <c r="P4149" t="s">
        <v>6502</v>
      </c>
      <c r="Q4149" t="s">
        <v>6600</v>
      </c>
    </row>
    <row r="4150" spans="1:17" x14ac:dyDescent="0.2">
      <c r="A4150" t="s">
        <v>4921</v>
      </c>
      <c r="B4150" t="s">
        <v>4890</v>
      </c>
      <c r="C4150">
        <v>3</v>
      </c>
      <c r="D4150" s="6" t="s">
        <v>4822</v>
      </c>
      <c r="E4150" s="8" t="s">
        <v>5098</v>
      </c>
      <c r="F4150" t="s">
        <v>5995</v>
      </c>
      <c r="G4150">
        <v>1</v>
      </c>
      <c r="Q4150" t="s">
        <v>6206</v>
      </c>
    </row>
    <row r="4151" spans="1:17" x14ac:dyDescent="0.2">
      <c r="A4151" t="s">
        <v>4921</v>
      </c>
      <c r="B4151" t="s">
        <v>4890</v>
      </c>
      <c r="C4151">
        <v>3</v>
      </c>
      <c r="D4151" s="6" t="s">
        <v>4822</v>
      </c>
      <c r="E4151">
        <v>10</v>
      </c>
      <c r="F4151" t="s">
        <v>1311</v>
      </c>
      <c r="G4151">
        <v>6</v>
      </c>
      <c r="Q4151" t="s">
        <v>6599</v>
      </c>
    </row>
    <row r="4152" spans="1:17" x14ac:dyDescent="0.2">
      <c r="A4152" t="s">
        <v>4921</v>
      </c>
      <c r="B4152" t="s">
        <v>4890</v>
      </c>
      <c r="C4152">
        <v>3</v>
      </c>
      <c r="D4152" s="6" t="s">
        <v>4822</v>
      </c>
      <c r="E4152">
        <v>11</v>
      </c>
      <c r="F4152" t="s">
        <v>1311</v>
      </c>
      <c r="G4152">
        <v>3</v>
      </c>
      <c r="Q4152" t="s">
        <v>6597</v>
      </c>
    </row>
    <row r="4153" spans="1:17" x14ac:dyDescent="0.2">
      <c r="A4153" t="s">
        <v>4921</v>
      </c>
      <c r="B4153" t="s">
        <v>4890</v>
      </c>
      <c r="C4153">
        <v>3</v>
      </c>
      <c r="D4153" s="6" t="s">
        <v>4822</v>
      </c>
      <c r="E4153">
        <v>12</v>
      </c>
      <c r="F4153" t="s">
        <v>1311</v>
      </c>
      <c r="G4153">
        <v>1</v>
      </c>
      <c r="Q4153" t="s">
        <v>6596</v>
      </c>
    </row>
    <row r="4154" spans="1:17" x14ac:dyDescent="0.2">
      <c r="A4154" t="s">
        <v>4921</v>
      </c>
      <c r="B4154" t="s">
        <v>4890</v>
      </c>
      <c r="C4154">
        <v>3</v>
      </c>
      <c r="D4154" s="6" t="s">
        <v>4822</v>
      </c>
      <c r="E4154">
        <v>13</v>
      </c>
      <c r="F4154" t="s">
        <v>1311</v>
      </c>
      <c r="G4154">
        <v>3</v>
      </c>
      <c r="Q4154" t="s">
        <v>6598</v>
      </c>
    </row>
    <row r="4155" spans="1:17" x14ac:dyDescent="0.2">
      <c r="A4155" t="s">
        <v>4921</v>
      </c>
      <c r="B4155" t="s">
        <v>4890</v>
      </c>
      <c r="C4155">
        <v>3</v>
      </c>
      <c r="D4155" s="6" t="s">
        <v>4822</v>
      </c>
      <c r="E4155">
        <v>14</v>
      </c>
      <c r="F4155" t="s">
        <v>1311</v>
      </c>
      <c r="G4155">
        <v>3</v>
      </c>
    </row>
    <row r="4156" spans="1:17" x14ac:dyDescent="0.2">
      <c r="A4156" t="s">
        <v>4921</v>
      </c>
      <c r="B4156" t="s">
        <v>4890</v>
      </c>
      <c r="C4156">
        <v>3</v>
      </c>
      <c r="D4156" s="6" t="s">
        <v>4822</v>
      </c>
      <c r="E4156">
        <v>15</v>
      </c>
      <c r="F4156" t="s">
        <v>1311</v>
      </c>
      <c r="G4156">
        <v>7</v>
      </c>
      <c r="M4156">
        <v>2</v>
      </c>
    </row>
    <row r="4157" spans="1:17" x14ac:dyDescent="0.2">
      <c r="A4157" t="s">
        <v>4921</v>
      </c>
      <c r="B4157" t="s">
        <v>4890</v>
      </c>
      <c r="C4157">
        <v>3</v>
      </c>
      <c r="D4157" s="6" t="s">
        <v>4822</v>
      </c>
      <c r="E4157">
        <v>16</v>
      </c>
      <c r="F4157" t="s">
        <v>1389</v>
      </c>
      <c r="G4157">
        <v>10</v>
      </c>
      <c r="Q4157" t="s">
        <v>6605</v>
      </c>
    </row>
    <row r="4158" spans="1:17" x14ac:dyDescent="0.2">
      <c r="A4158" t="s">
        <v>4921</v>
      </c>
      <c r="B4158" t="s">
        <v>4890</v>
      </c>
      <c r="C4158">
        <v>3</v>
      </c>
      <c r="D4158" s="6" t="s">
        <v>4822</v>
      </c>
      <c r="E4158">
        <v>17</v>
      </c>
      <c r="F4158" t="s">
        <v>1389</v>
      </c>
      <c r="G4158">
        <v>2</v>
      </c>
      <c r="Q4158" t="s">
        <v>6601</v>
      </c>
    </row>
    <row r="4159" spans="1:17" x14ac:dyDescent="0.2">
      <c r="A4159" t="s">
        <v>4921</v>
      </c>
      <c r="B4159" t="s">
        <v>4890</v>
      </c>
      <c r="C4159">
        <v>3</v>
      </c>
      <c r="D4159" s="6" t="s">
        <v>4822</v>
      </c>
      <c r="E4159">
        <v>18</v>
      </c>
      <c r="F4159" t="s">
        <v>1389</v>
      </c>
      <c r="G4159">
        <v>4</v>
      </c>
      <c r="Q4159" t="s">
        <v>6602</v>
      </c>
    </row>
    <row r="4160" spans="1:17" x14ac:dyDescent="0.2">
      <c r="A4160" t="s">
        <v>4921</v>
      </c>
      <c r="B4160" t="s">
        <v>4890</v>
      </c>
      <c r="C4160">
        <v>3</v>
      </c>
      <c r="D4160" s="6" t="s">
        <v>4822</v>
      </c>
      <c r="E4160">
        <v>19</v>
      </c>
      <c r="F4160" t="s">
        <v>1389</v>
      </c>
      <c r="G4160">
        <v>3</v>
      </c>
      <c r="Q4160" t="s">
        <v>6604</v>
      </c>
    </row>
    <row r="4161" spans="1:17" x14ac:dyDescent="0.2">
      <c r="A4161" t="s">
        <v>4921</v>
      </c>
      <c r="B4161" t="s">
        <v>4890</v>
      </c>
      <c r="C4161">
        <v>3</v>
      </c>
      <c r="D4161" s="6" t="s">
        <v>4822</v>
      </c>
      <c r="E4161">
        <v>20</v>
      </c>
      <c r="F4161" t="s">
        <v>1389</v>
      </c>
      <c r="G4161">
        <v>1</v>
      </c>
      <c r="Q4161" t="s">
        <v>6603</v>
      </c>
    </row>
    <row r="4162" spans="1:17" x14ac:dyDescent="0.2">
      <c r="A4162" t="s">
        <v>4921</v>
      </c>
      <c r="B4162" t="s">
        <v>4890</v>
      </c>
      <c r="C4162">
        <v>3</v>
      </c>
      <c r="D4162" s="6" t="s">
        <v>4822</v>
      </c>
      <c r="E4162">
        <v>26</v>
      </c>
      <c r="F4162" t="s">
        <v>1389</v>
      </c>
      <c r="G4162">
        <v>20</v>
      </c>
      <c r="M4162">
        <v>5</v>
      </c>
    </row>
    <row r="4163" spans="1:17" x14ac:dyDescent="0.2">
      <c r="A4163" t="s">
        <v>4921</v>
      </c>
      <c r="B4163" t="s">
        <v>4890</v>
      </c>
      <c r="C4163">
        <v>3</v>
      </c>
      <c r="D4163" s="6" t="s">
        <v>4822</v>
      </c>
      <c r="E4163" t="s">
        <v>5056</v>
      </c>
      <c r="F4163" t="s">
        <v>1389</v>
      </c>
      <c r="G4163">
        <v>18</v>
      </c>
    </row>
    <row r="4164" spans="1:17" x14ac:dyDescent="0.2">
      <c r="A4164" t="s">
        <v>4921</v>
      </c>
      <c r="B4164" t="s">
        <v>4890</v>
      </c>
      <c r="C4164">
        <v>3</v>
      </c>
      <c r="D4164" s="6" t="s">
        <v>4822</v>
      </c>
      <c r="E4164">
        <v>21</v>
      </c>
      <c r="F4164" t="s">
        <v>1538</v>
      </c>
      <c r="G4164">
        <v>5</v>
      </c>
      <c r="Q4164" t="s">
        <v>6590</v>
      </c>
    </row>
    <row r="4165" spans="1:17" x14ac:dyDescent="0.2">
      <c r="A4165" t="s">
        <v>4921</v>
      </c>
      <c r="B4165" t="s">
        <v>4890</v>
      </c>
      <c r="C4165">
        <v>3</v>
      </c>
      <c r="D4165" s="6" t="s">
        <v>4822</v>
      </c>
      <c r="E4165">
        <v>22</v>
      </c>
      <c r="F4165" t="s">
        <v>1538</v>
      </c>
      <c r="G4165">
        <v>2</v>
      </c>
      <c r="Q4165" t="s">
        <v>6591</v>
      </c>
    </row>
    <row r="4166" spans="1:17" x14ac:dyDescent="0.2">
      <c r="A4166" t="s">
        <v>4921</v>
      </c>
      <c r="B4166" t="s">
        <v>4890</v>
      </c>
      <c r="C4166">
        <v>3</v>
      </c>
      <c r="D4166" s="6" t="s">
        <v>4822</v>
      </c>
      <c r="E4166">
        <v>23</v>
      </c>
      <c r="F4166" t="s">
        <v>1538</v>
      </c>
      <c r="G4166">
        <v>1</v>
      </c>
      <c r="Q4166" t="s">
        <v>6592</v>
      </c>
    </row>
    <row r="4167" spans="1:17" x14ac:dyDescent="0.2">
      <c r="A4167" t="s">
        <v>4921</v>
      </c>
      <c r="B4167" t="s">
        <v>4890</v>
      </c>
      <c r="C4167">
        <v>3</v>
      </c>
      <c r="D4167" s="6" t="s">
        <v>4822</v>
      </c>
      <c r="E4167">
        <v>24</v>
      </c>
      <c r="F4167" t="s">
        <v>1538</v>
      </c>
      <c r="G4167">
        <v>1</v>
      </c>
      <c r="Q4167" t="s">
        <v>6593</v>
      </c>
    </row>
    <row r="4168" spans="1:17" x14ac:dyDescent="0.2">
      <c r="A4168" t="s">
        <v>4921</v>
      </c>
      <c r="B4168" t="s">
        <v>4890</v>
      </c>
      <c r="C4168">
        <v>3</v>
      </c>
      <c r="D4168" s="6" t="s">
        <v>4822</v>
      </c>
      <c r="E4168">
        <v>25</v>
      </c>
      <c r="F4168" t="s">
        <v>1538</v>
      </c>
      <c r="G4168">
        <v>1</v>
      </c>
      <c r="Q4168" t="s">
        <v>6594</v>
      </c>
    </row>
    <row r="4169" spans="1:17" x14ac:dyDescent="0.2">
      <c r="A4169" t="s">
        <v>4921</v>
      </c>
      <c r="B4169" t="s">
        <v>4890</v>
      </c>
      <c r="C4169">
        <v>3</v>
      </c>
      <c r="D4169" s="6" t="s">
        <v>4822</v>
      </c>
      <c r="E4169" t="s">
        <v>5056</v>
      </c>
      <c r="F4169" t="s">
        <v>1538</v>
      </c>
      <c r="G4169">
        <v>39</v>
      </c>
    </row>
    <row r="4170" spans="1:17" x14ac:dyDescent="0.2">
      <c r="A4170" t="s">
        <v>4921</v>
      </c>
      <c r="B4170" t="s">
        <v>4890</v>
      </c>
      <c r="C4170">
        <v>3</v>
      </c>
      <c r="D4170" s="6" t="s">
        <v>4822</v>
      </c>
      <c r="E4170">
        <v>27</v>
      </c>
      <c r="F4170" t="s">
        <v>113</v>
      </c>
      <c r="G4170">
        <v>5</v>
      </c>
      <c r="M4170">
        <v>3</v>
      </c>
      <c r="Q4170" t="s">
        <v>6606</v>
      </c>
    </row>
    <row r="4171" spans="1:17" x14ac:dyDescent="0.2">
      <c r="A4171" t="s">
        <v>4921</v>
      </c>
      <c r="B4171" t="s">
        <v>4890</v>
      </c>
      <c r="C4171">
        <v>3</v>
      </c>
      <c r="D4171" s="6" t="s">
        <v>4822</v>
      </c>
      <c r="E4171">
        <v>28</v>
      </c>
      <c r="F4171" t="s">
        <v>126</v>
      </c>
      <c r="G4171">
        <v>4</v>
      </c>
      <c r="O4171" t="s">
        <v>5099</v>
      </c>
    </row>
    <row r="4172" spans="1:17" x14ac:dyDescent="0.2">
      <c r="A4172" t="s">
        <v>4921</v>
      </c>
      <c r="B4172" t="s">
        <v>4890</v>
      </c>
      <c r="C4172">
        <v>3</v>
      </c>
      <c r="D4172" s="6" t="s">
        <v>4822</v>
      </c>
      <c r="E4172">
        <v>29</v>
      </c>
      <c r="F4172" t="s">
        <v>810</v>
      </c>
      <c r="G4172">
        <v>20</v>
      </c>
    </row>
    <row r="4173" spans="1:17" x14ac:dyDescent="0.2">
      <c r="A4173" t="s">
        <v>4921</v>
      </c>
      <c r="B4173" t="s">
        <v>4890</v>
      </c>
      <c r="C4173">
        <v>3</v>
      </c>
      <c r="D4173" s="6" t="s">
        <v>4822</v>
      </c>
      <c r="E4173">
        <v>30</v>
      </c>
      <c r="F4173" t="s">
        <v>5100</v>
      </c>
      <c r="G4173">
        <v>3</v>
      </c>
    </row>
    <row r="4174" spans="1:17" x14ac:dyDescent="0.2">
      <c r="A4174" t="s">
        <v>4921</v>
      </c>
      <c r="B4174" t="s">
        <v>4890</v>
      </c>
      <c r="C4174">
        <v>3</v>
      </c>
      <c r="D4174" s="6" t="s">
        <v>4822</v>
      </c>
      <c r="E4174">
        <v>32</v>
      </c>
      <c r="F4174" t="s">
        <v>121</v>
      </c>
      <c r="G4174">
        <v>1</v>
      </c>
    </row>
    <row r="4175" spans="1:17" x14ac:dyDescent="0.2">
      <c r="A4175" t="s">
        <v>4921</v>
      </c>
      <c r="B4175" t="s">
        <v>4890</v>
      </c>
      <c r="C4175">
        <v>3</v>
      </c>
      <c r="D4175" s="6" t="s">
        <v>4822</v>
      </c>
      <c r="E4175">
        <v>31</v>
      </c>
      <c r="F4175" t="s">
        <v>106</v>
      </c>
      <c r="G4175">
        <v>1</v>
      </c>
    </row>
    <row r="4176" spans="1:17" x14ac:dyDescent="0.2">
      <c r="A4176" t="s">
        <v>4921</v>
      </c>
      <c r="B4176" t="s">
        <v>4890</v>
      </c>
      <c r="C4176">
        <v>3</v>
      </c>
      <c r="D4176" s="6" t="s">
        <v>4822</v>
      </c>
      <c r="E4176" t="s">
        <v>5056</v>
      </c>
      <c r="F4176" t="s">
        <v>3251</v>
      </c>
      <c r="G4176">
        <v>61</v>
      </c>
    </row>
    <row r="4177" spans="1:17" x14ac:dyDescent="0.2">
      <c r="A4177" t="s">
        <v>4921</v>
      </c>
      <c r="B4177" t="s">
        <v>4890</v>
      </c>
      <c r="C4177">
        <v>3</v>
      </c>
      <c r="D4177" s="6" t="s">
        <v>4822</v>
      </c>
      <c r="E4177">
        <v>33</v>
      </c>
      <c r="F4177" t="s">
        <v>1264</v>
      </c>
      <c r="G4177">
        <f>6700-285</f>
        <v>6415</v>
      </c>
      <c r="O4177" t="s">
        <v>5101</v>
      </c>
    </row>
    <row r="4178" spans="1:17" x14ac:dyDescent="0.2">
      <c r="A4178" t="s">
        <v>4921</v>
      </c>
      <c r="B4178" t="s">
        <v>4890</v>
      </c>
      <c r="C4178">
        <v>4</v>
      </c>
      <c r="D4178" s="6" t="s">
        <v>4822</v>
      </c>
      <c r="E4178" s="8" t="s">
        <v>5081</v>
      </c>
      <c r="F4178" t="s">
        <v>1538</v>
      </c>
      <c r="G4178">
        <v>68</v>
      </c>
      <c r="Q4178" t="s">
        <v>6610</v>
      </c>
    </row>
    <row r="4179" spans="1:17" x14ac:dyDescent="0.2">
      <c r="A4179" t="s">
        <v>4921</v>
      </c>
      <c r="B4179" t="s">
        <v>4890</v>
      </c>
      <c r="C4179">
        <v>4</v>
      </c>
      <c r="D4179" s="6" t="s">
        <v>4822</v>
      </c>
      <c r="E4179" s="8" t="s">
        <v>5082</v>
      </c>
      <c r="F4179" t="s">
        <v>1538</v>
      </c>
      <c r="G4179">
        <v>17</v>
      </c>
      <c r="Q4179" t="s">
        <v>6607</v>
      </c>
    </row>
    <row r="4180" spans="1:17" x14ac:dyDescent="0.2">
      <c r="A4180" t="s">
        <v>4921</v>
      </c>
      <c r="B4180" t="s">
        <v>4890</v>
      </c>
      <c r="C4180">
        <v>4</v>
      </c>
      <c r="D4180" s="6" t="s">
        <v>4822</v>
      </c>
      <c r="E4180" s="8" t="s">
        <v>5089</v>
      </c>
      <c r="F4180" t="s">
        <v>1538</v>
      </c>
      <c r="G4180">
        <v>30</v>
      </c>
      <c r="Q4180" t="s">
        <v>6612</v>
      </c>
    </row>
    <row r="4181" spans="1:17" x14ac:dyDescent="0.2">
      <c r="A4181" t="s">
        <v>4921</v>
      </c>
      <c r="B4181" t="s">
        <v>4890</v>
      </c>
      <c r="C4181">
        <v>4</v>
      </c>
      <c r="D4181" s="6" t="s">
        <v>4822</v>
      </c>
      <c r="E4181" s="8" t="s">
        <v>5090</v>
      </c>
      <c r="F4181" t="s">
        <v>1538</v>
      </c>
      <c r="G4181">
        <v>47</v>
      </c>
      <c r="Q4181" t="s">
        <v>6611</v>
      </c>
    </row>
    <row r="4182" spans="1:17" x14ac:dyDescent="0.2">
      <c r="A4182" t="s">
        <v>4921</v>
      </c>
      <c r="B4182" t="s">
        <v>4890</v>
      </c>
      <c r="C4182">
        <v>4</v>
      </c>
      <c r="D4182" s="6" t="s">
        <v>4822</v>
      </c>
      <c r="E4182" s="8" t="s">
        <v>5091</v>
      </c>
      <c r="F4182" t="s">
        <v>1538</v>
      </c>
      <c r="G4182">
        <v>9</v>
      </c>
      <c r="Q4182" t="s">
        <v>6608</v>
      </c>
    </row>
    <row r="4183" spans="1:17" x14ac:dyDescent="0.2">
      <c r="A4183" t="s">
        <v>4921</v>
      </c>
      <c r="B4183" t="s">
        <v>4890</v>
      </c>
      <c r="C4183">
        <v>4</v>
      </c>
      <c r="D4183" s="6" t="s">
        <v>4822</v>
      </c>
      <c r="E4183" s="8" t="s">
        <v>5092</v>
      </c>
      <c r="F4183" t="s">
        <v>1538</v>
      </c>
      <c r="G4183">
        <v>182</v>
      </c>
      <c r="M4183">
        <v>5</v>
      </c>
    </row>
    <row r="4184" spans="1:17" x14ac:dyDescent="0.2">
      <c r="A4184" t="s">
        <v>4921</v>
      </c>
      <c r="B4184" t="s">
        <v>4890</v>
      </c>
      <c r="C4184">
        <v>4</v>
      </c>
      <c r="D4184" s="6" t="s">
        <v>4822</v>
      </c>
      <c r="E4184" s="8" t="s">
        <v>5094</v>
      </c>
      <c r="F4184" t="s">
        <v>1538</v>
      </c>
      <c r="G4184">
        <v>6</v>
      </c>
      <c r="Q4184" t="s">
        <v>6609</v>
      </c>
    </row>
    <row r="4185" spans="1:17" x14ac:dyDescent="0.2">
      <c r="A4185" t="s">
        <v>4921</v>
      </c>
      <c r="B4185" t="s">
        <v>4890</v>
      </c>
      <c r="C4185">
        <v>4</v>
      </c>
      <c r="D4185" s="6" t="s">
        <v>4822</v>
      </c>
      <c r="E4185" t="s">
        <v>5056</v>
      </c>
      <c r="F4185" t="s">
        <v>1538</v>
      </c>
      <c r="G4185">
        <v>1059</v>
      </c>
    </row>
    <row r="4186" spans="1:17" x14ac:dyDescent="0.2">
      <c r="A4186" t="s">
        <v>4921</v>
      </c>
      <c r="B4186" t="s">
        <v>4890</v>
      </c>
      <c r="C4186">
        <v>4</v>
      </c>
      <c r="D4186" s="6" t="s">
        <v>4822</v>
      </c>
      <c r="E4186" s="8" t="s">
        <v>5097</v>
      </c>
      <c r="F4186" t="s">
        <v>1264</v>
      </c>
      <c r="G4186">
        <f>8300-344</f>
        <v>7956</v>
      </c>
    </row>
    <row r="4187" spans="1:17" x14ac:dyDescent="0.2">
      <c r="A4187" t="s">
        <v>4921</v>
      </c>
      <c r="B4187" t="s">
        <v>4890</v>
      </c>
      <c r="C4187">
        <v>4</v>
      </c>
      <c r="D4187" s="6" t="s">
        <v>4822</v>
      </c>
      <c r="E4187" s="8" t="s">
        <v>5098</v>
      </c>
      <c r="F4187" t="s">
        <v>1311</v>
      </c>
      <c r="G4187">
        <v>3</v>
      </c>
      <c r="Q4187" t="s">
        <v>6618</v>
      </c>
    </row>
    <row r="4188" spans="1:17" x14ac:dyDescent="0.2">
      <c r="A4188" t="s">
        <v>4921</v>
      </c>
      <c r="B4188" t="s">
        <v>4890</v>
      </c>
      <c r="C4188">
        <v>4</v>
      </c>
      <c r="D4188" s="6" t="s">
        <v>4822</v>
      </c>
      <c r="E4188">
        <v>10</v>
      </c>
      <c r="F4188" t="s">
        <v>1311</v>
      </c>
      <c r="G4188">
        <v>2</v>
      </c>
      <c r="Q4188" t="s">
        <v>6619</v>
      </c>
    </row>
    <row r="4189" spans="1:17" x14ac:dyDescent="0.2">
      <c r="A4189" t="s">
        <v>4921</v>
      </c>
      <c r="B4189" t="s">
        <v>4890</v>
      </c>
      <c r="C4189">
        <v>4</v>
      </c>
      <c r="D4189" s="6" t="s">
        <v>4822</v>
      </c>
      <c r="E4189">
        <v>11</v>
      </c>
      <c r="F4189" t="s">
        <v>5995</v>
      </c>
      <c r="G4189">
        <v>1</v>
      </c>
      <c r="Q4189" t="s">
        <v>6207</v>
      </c>
    </row>
    <row r="4190" spans="1:17" x14ac:dyDescent="0.2">
      <c r="A4190" t="s">
        <v>4921</v>
      </c>
      <c r="B4190" t="s">
        <v>4890</v>
      </c>
      <c r="C4190">
        <v>4</v>
      </c>
      <c r="D4190" s="6" t="s">
        <v>4822</v>
      </c>
      <c r="E4190">
        <v>12</v>
      </c>
      <c r="F4190" t="s">
        <v>5995</v>
      </c>
      <c r="G4190">
        <v>1</v>
      </c>
      <c r="Q4190" t="s">
        <v>6208</v>
      </c>
    </row>
    <row r="4191" spans="1:17" x14ac:dyDescent="0.2">
      <c r="A4191" t="s">
        <v>4921</v>
      </c>
      <c r="B4191" t="s">
        <v>4890</v>
      </c>
      <c r="C4191">
        <v>4</v>
      </c>
      <c r="D4191" s="6" t="s">
        <v>4822</v>
      </c>
      <c r="E4191">
        <v>13</v>
      </c>
      <c r="F4191" t="s">
        <v>5995</v>
      </c>
      <c r="G4191">
        <v>2</v>
      </c>
      <c r="Q4191" t="s">
        <v>6209</v>
      </c>
    </row>
    <row r="4192" spans="1:17" x14ac:dyDescent="0.2">
      <c r="A4192" t="s">
        <v>4921</v>
      </c>
      <c r="B4192" t="s">
        <v>4890</v>
      </c>
      <c r="C4192">
        <v>4</v>
      </c>
      <c r="D4192" s="6" t="s">
        <v>4822</v>
      </c>
      <c r="E4192">
        <v>14</v>
      </c>
      <c r="F4192" t="s">
        <v>5995</v>
      </c>
      <c r="G4192">
        <v>2</v>
      </c>
      <c r="Q4192" t="s">
        <v>6210</v>
      </c>
    </row>
    <row r="4193" spans="1:17" x14ac:dyDescent="0.2">
      <c r="A4193" t="s">
        <v>4921</v>
      </c>
      <c r="B4193" t="s">
        <v>4890</v>
      </c>
      <c r="C4193">
        <v>4</v>
      </c>
      <c r="D4193" s="6" t="s">
        <v>4822</v>
      </c>
      <c r="E4193">
        <v>15</v>
      </c>
      <c r="F4193" t="s">
        <v>5995</v>
      </c>
      <c r="G4193" t="s">
        <v>114</v>
      </c>
      <c r="Q4193" t="s">
        <v>6211</v>
      </c>
    </row>
    <row r="4194" spans="1:17" x14ac:dyDescent="0.2">
      <c r="A4194" t="s">
        <v>4921</v>
      </c>
      <c r="B4194" t="s">
        <v>4890</v>
      </c>
      <c r="C4194">
        <v>4</v>
      </c>
      <c r="D4194" s="6" t="s">
        <v>4822</v>
      </c>
      <c r="E4194">
        <v>16</v>
      </c>
      <c r="F4194" t="s">
        <v>1389</v>
      </c>
      <c r="G4194">
        <v>15</v>
      </c>
      <c r="Q4194" t="s">
        <v>6613</v>
      </c>
    </row>
    <row r="4195" spans="1:17" x14ac:dyDescent="0.2">
      <c r="A4195" t="s">
        <v>4921</v>
      </c>
      <c r="B4195" t="s">
        <v>4890</v>
      </c>
      <c r="C4195">
        <v>4</v>
      </c>
      <c r="D4195" s="6" t="s">
        <v>4822</v>
      </c>
      <c r="E4195">
        <v>17</v>
      </c>
      <c r="F4195" t="s">
        <v>5103</v>
      </c>
      <c r="G4195">
        <v>1</v>
      </c>
      <c r="M4195">
        <v>3</v>
      </c>
      <c r="Q4195" t="s">
        <v>6614</v>
      </c>
    </row>
    <row r="4196" spans="1:17" x14ac:dyDescent="0.2">
      <c r="A4196" t="s">
        <v>4921</v>
      </c>
      <c r="B4196" t="s">
        <v>4890</v>
      </c>
      <c r="C4196">
        <v>4</v>
      </c>
      <c r="D4196" s="6" t="s">
        <v>4822</v>
      </c>
      <c r="E4196">
        <v>18</v>
      </c>
      <c r="F4196" t="s">
        <v>1389</v>
      </c>
      <c r="G4196">
        <v>3</v>
      </c>
      <c r="Q4196" t="s">
        <v>6615</v>
      </c>
    </row>
    <row r="4197" spans="1:17" x14ac:dyDescent="0.2">
      <c r="A4197" t="s">
        <v>4921</v>
      </c>
      <c r="B4197" t="s">
        <v>4890</v>
      </c>
      <c r="C4197">
        <v>4</v>
      </c>
      <c r="D4197" s="6" t="s">
        <v>4822</v>
      </c>
      <c r="E4197">
        <v>19</v>
      </c>
      <c r="F4197" t="s">
        <v>1389</v>
      </c>
      <c r="G4197">
        <v>6</v>
      </c>
      <c r="Q4197" t="s">
        <v>6616</v>
      </c>
    </row>
    <row r="4198" spans="1:17" x14ac:dyDescent="0.2">
      <c r="A4198" t="s">
        <v>4921</v>
      </c>
      <c r="B4198" t="s">
        <v>4890</v>
      </c>
      <c r="C4198">
        <v>4</v>
      </c>
      <c r="D4198" s="6" t="s">
        <v>4822</v>
      </c>
      <c r="E4198">
        <v>20</v>
      </c>
      <c r="F4198" t="s">
        <v>1389</v>
      </c>
      <c r="G4198">
        <v>5</v>
      </c>
      <c r="Q4198" t="s">
        <v>6617</v>
      </c>
    </row>
    <row r="4199" spans="1:17" x14ac:dyDescent="0.2">
      <c r="A4199" t="s">
        <v>4921</v>
      </c>
      <c r="B4199" t="s">
        <v>4890</v>
      </c>
      <c r="C4199">
        <v>4</v>
      </c>
      <c r="D4199" s="6" t="s">
        <v>4822</v>
      </c>
      <c r="E4199">
        <v>21</v>
      </c>
      <c r="F4199" t="s">
        <v>1389</v>
      </c>
      <c r="G4199">
        <v>32</v>
      </c>
      <c r="M4199">
        <v>5</v>
      </c>
    </row>
    <row r="4200" spans="1:17" x14ac:dyDescent="0.2">
      <c r="A4200" t="s">
        <v>4921</v>
      </c>
      <c r="B4200" t="s">
        <v>4890</v>
      </c>
      <c r="C4200">
        <v>4</v>
      </c>
      <c r="D4200" s="6" t="s">
        <v>4822</v>
      </c>
      <c r="E4200" t="s">
        <v>5056</v>
      </c>
      <c r="F4200" t="s">
        <v>1389</v>
      </c>
      <c r="G4200">
        <v>34</v>
      </c>
    </row>
    <row r="4201" spans="1:17" x14ac:dyDescent="0.2">
      <c r="A4201" t="s">
        <v>4921</v>
      </c>
      <c r="B4201" t="s">
        <v>4890</v>
      </c>
      <c r="C4201">
        <v>4</v>
      </c>
      <c r="D4201" s="6" t="s">
        <v>4822</v>
      </c>
      <c r="E4201">
        <v>22</v>
      </c>
      <c r="F4201" t="s">
        <v>6338</v>
      </c>
      <c r="G4201">
        <v>51</v>
      </c>
      <c r="Q4201" t="s">
        <v>6624</v>
      </c>
    </row>
    <row r="4202" spans="1:17" x14ac:dyDescent="0.2">
      <c r="A4202" t="s">
        <v>4921</v>
      </c>
      <c r="B4202" t="s">
        <v>4890</v>
      </c>
      <c r="C4202">
        <v>4</v>
      </c>
      <c r="D4202" s="6" t="s">
        <v>4822</v>
      </c>
      <c r="E4202">
        <v>23</v>
      </c>
      <c r="F4202" t="s">
        <v>1425</v>
      </c>
      <c r="G4202">
        <v>22</v>
      </c>
      <c r="O4202" t="s">
        <v>5105</v>
      </c>
      <c r="Q4202" t="s">
        <v>6623</v>
      </c>
    </row>
    <row r="4203" spans="1:17" x14ac:dyDescent="0.2">
      <c r="A4203" t="s">
        <v>4921</v>
      </c>
      <c r="B4203" t="s">
        <v>4890</v>
      </c>
      <c r="C4203">
        <v>4</v>
      </c>
      <c r="D4203" s="6" t="s">
        <v>4822</v>
      </c>
      <c r="E4203">
        <v>24</v>
      </c>
      <c r="F4203" t="s">
        <v>6231</v>
      </c>
      <c r="G4203">
        <v>8</v>
      </c>
      <c r="Q4203" t="s">
        <v>6620</v>
      </c>
    </row>
    <row r="4204" spans="1:17" x14ac:dyDescent="0.2">
      <c r="A4204" t="s">
        <v>4921</v>
      </c>
      <c r="B4204" t="s">
        <v>4890</v>
      </c>
      <c r="C4204">
        <v>4</v>
      </c>
      <c r="D4204" s="6" t="s">
        <v>4822</v>
      </c>
      <c r="E4204">
        <v>25</v>
      </c>
      <c r="F4204" t="s">
        <v>6231</v>
      </c>
      <c r="G4204">
        <v>9</v>
      </c>
      <c r="Q4204" t="s">
        <v>6621</v>
      </c>
    </row>
    <row r="4205" spans="1:17" x14ac:dyDescent="0.2">
      <c r="A4205" t="s">
        <v>4921</v>
      </c>
      <c r="B4205" t="s">
        <v>4890</v>
      </c>
      <c r="C4205">
        <v>4</v>
      </c>
      <c r="D4205" s="6" t="s">
        <v>4822</v>
      </c>
      <c r="E4205">
        <v>26</v>
      </c>
      <c r="F4205" t="s">
        <v>6231</v>
      </c>
      <c r="G4205">
        <v>19</v>
      </c>
      <c r="Q4205" t="s">
        <v>6622</v>
      </c>
    </row>
    <row r="4206" spans="1:17" x14ac:dyDescent="0.2">
      <c r="A4206" t="s">
        <v>4921</v>
      </c>
      <c r="B4206" t="s">
        <v>4890</v>
      </c>
      <c r="C4206">
        <v>4</v>
      </c>
      <c r="D4206" s="6" t="s">
        <v>4822</v>
      </c>
      <c r="E4206">
        <v>27</v>
      </c>
      <c r="F4206" t="s">
        <v>1425</v>
      </c>
      <c r="G4206">
        <v>7</v>
      </c>
      <c r="Q4206" t="s">
        <v>6632</v>
      </c>
    </row>
    <row r="4207" spans="1:17" x14ac:dyDescent="0.2">
      <c r="A4207" t="s">
        <v>4921</v>
      </c>
      <c r="B4207" t="s">
        <v>4890</v>
      </c>
      <c r="C4207">
        <v>4</v>
      </c>
      <c r="D4207" s="6" t="s">
        <v>4822</v>
      </c>
      <c r="E4207">
        <v>28</v>
      </c>
      <c r="F4207" t="s">
        <v>1425</v>
      </c>
      <c r="G4207">
        <v>6</v>
      </c>
      <c r="Q4207" t="s">
        <v>6631</v>
      </c>
    </row>
    <row r="4208" spans="1:17" x14ac:dyDescent="0.2">
      <c r="A4208" t="s">
        <v>4921</v>
      </c>
      <c r="B4208" t="s">
        <v>4890</v>
      </c>
      <c r="C4208">
        <v>4</v>
      </c>
      <c r="D4208" s="6" t="s">
        <v>4822</v>
      </c>
      <c r="E4208">
        <v>29</v>
      </c>
      <c r="F4208" t="s">
        <v>1425</v>
      </c>
      <c r="G4208">
        <v>5</v>
      </c>
      <c r="Q4208" t="s">
        <v>6630</v>
      </c>
    </row>
    <row r="4209" spans="1:17" x14ac:dyDescent="0.2">
      <c r="A4209" t="s">
        <v>4921</v>
      </c>
      <c r="B4209" t="s">
        <v>4890</v>
      </c>
      <c r="C4209">
        <v>4</v>
      </c>
      <c r="D4209" s="6" t="s">
        <v>4822</v>
      </c>
      <c r="E4209">
        <v>30</v>
      </c>
      <c r="F4209" t="s">
        <v>1538</v>
      </c>
      <c r="G4209">
        <v>2</v>
      </c>
      <c r="Q4209" t="s">
        <v>6628</v>
      </c>
    </row>
    <row r="4210" spans="1:17" x14ac:dyDescent="0.2">
      <c r="A4210" t="s">
        <v>4921</v>
      </c>
      <c r="B4210" t="s">
        <v>4890</v>
      </c>
      <c r="C4210">
        <v>4</v>
      </c>
      <c r="D4210" s="6" t="s">
        <v>4822</v>
      </c>
      <c r="E4210">
        <v>31</v>
      </c>
      <c r="F4210" t="s">
        <v>1538</v>
      </c>
      <c r="G4210">
        <v>4</v>
      </c>
      <c r="Q4210" t="s">
        <v>6627</v>
      </c>
    </row>
    <row r="4211" spans="1:17" x14ac:dyDescent="0.2">
      <c r="A4211" t="s">
        <v>4921</v>
      </c>
      <c r="B4211" t="s">
        <v>4890</v>
      </c>
      <c r="C4211">
        <v>4</v>
      </c>
      <c r="D4211" s="6" t="s">
        <v>4822</v>
      </c>
      <c r="E4211">
        <v>32</v>
      </c>
      <c r="F4211" t="s">
        <v>1538</v>
      </c>
      <c r="G4211" t="s">
        <v>114</v>
      </c>
      <c r="Q4211" t="s">
        <v>6625</v>
      </c>
    </row>
    <row r="4212" spans="1:17" x14ac:dyDescent="0.2">
      <c r="A4212" t="s">
        <v>4921</v>
      </c>
      <c r="B4212" t="s">
        <v>4890</v>
      </c>
      <c r="C4212">
        <v>4</v>
      </c>
      <c r="D4212" s="6" t="s">
        <v>4822</v>
      </c>
      <c r="E4212">
        <v>33</v>
      </c>
      <c r="F4212" t="s">
        <v>1538</v>
      </c>
      <c r="G4212" t="s">
        <v>114</v>
      </c>
      <c r="Q4212" t="s">
        <v>6629</v>
      </c>
    </row>
    <row r="4213" spans="1:17" x14ac:dyDescent="0.2">
      <c r="A4213" t="s">
        <v>4921</v>
      </c>
      <c r="B4213" t="s">
        <v>4890</v>
      </c>
      <c r="C4213">
        <v>4</v>
      </c>
      <c r="D4213" s="6" t="s">
        <v>4822</v>
      </c>
      <c r="E4213">
        <v>34</v>
      </c>
      <c r="F4213" t="s">
        <v>1538</v>
      </c>
      <c r="G4213">
        <v>1</v>
      </c>
      <c r="Q4213" t="s">
        <v>6626</v>
      </c>
    </row>
    <row r="4214" spans="1:17" x14ac:dyDescent="0.2">
      <c r="A4214" t="s">
        <v>4921</v>
      </c>
      <c r="B4214" t="s">
        <v>4890</v>
      </c>
      <c r="C4214">
        <v>4</v>
      </c>
      <c r="D4214" s="6" t="s">
        <v>4822</v>
      </c>
      <c r="E4214">
        <v>35</v>
      </c>
      <c r="F4214" t="s">
        <v>1538</v>
      </c>
      <c r="G4214">
        <v>10</v>
      </c>
      <c r="M4214">
        <v>6</v>
      </c>
    </row>
    <row r="4215" spans="1:17" x14ac:dyDescent="0.2">
      <c r="A4215" t="s">
        <v>4921</v>
      </c>
      <c r="B4215" t="s">
        <v>4890</v>
      </c>
      <c r="C4215">
        <v>4</v>
      </c>
      <c r="D4215" s="6" t="s">
        <v>4822</v>
      </c>
      <c r="E4215" t="s">
        <v>5056</v>
      </c>
      <c r="F4215" t="s">
        <v>1538</v>
      </c>
      <c r="G4215">
        <v>18</v>
      </c>
    </row>
    <row r="4216" spans="1:17" x14ac:dyDescent="0.2">
      <c r="A4216" t="s">
        <v>4921</v>
      </c>
      <c r="B4216" t="s">
        <v>4890</v>
      </c>
      <c r="C4216">
        <v>4</v>
      </c>
      <c r="D4216" s="6" t="s">
        <v>4822</v>
      </c>
      <c r="E4216" t="s">
        <v>5056</v>
      </c>
      <c r="F4216" t="s">
        <v>1538</v>
      </c>
      <c r="G4216">
        <v>3</v>
      </c>
    </row>
    <row r="4217" spans="1:17" x14ac:dyDescent="0.2">
      <c r="A4217" t="s">
        <v>4921</v>
      </c>
      <c r="B4217" t="s">
        <v>4890</v>
      </c>
      <c r="C4217">
        <v>4</v>
      </c>
      <c r="D4217" s="6" t="s">
        <v>4822</v>
      </c>
      <c r="E4217">
        <v>38</v>
      </c>
      <c r="F4217" t="s">
        <v>121</v>
      </c>
      <c r="G4217">
        <v>5</v>
      </c>
      <c r="M4217">
        <v>2</v>
      </c>
    </row>
    <row r="4218" spans="1:17" x14ac:dyDescent="0.2">
      <c r="A4218" t="s">
        <v>4921</v>
      </c>
      <c r="B4218" t="s">
        <v>4890</v>
      </c>
      <c r="C4218">
        <v>4</v>
      </c>
      <c r="D4218" s="6" t="s">
        <v>4822</v>
      </c>
      <c r="E4218">
        <v>41</v>
      </c>
      <c r="F4218" t="s">
        <v>3875</v>
      </c>
      <c r="G4218">
        <v>37</v>
      </c>
    </row>
    <row r="4219" spans="1:17" x14ac:dyDescent="0.2">
      <c r="A4219" t="s">
        <v>4921</v>
      </c>
      <c r="B4219" t="s">
        <v>4890</v>
      </c>
      <c r="C4219">
        <v>4</v>
      </c>
      <c r="D4219" s="6" t="s">
        <v>4822</v>
      </c>
      <c r="E4219">
        <v>39</v>
      </c>
      <c r="F4219" t="s">
        <v>106</v>
      </c>
      <c r="G4219" t="s">
        <v>114</v>
      </c>
      <c r="M4219">
        <v>1</v>
      </c>
    </row>
    <row r="4220" spans="1:17" x14ac:dyDescent="0.2">
      <c r="A4220" t="s">
        <v>4921</v>
      </c>
      <c r="B4220" t="s">
        <v>4890</v>
      </c>
      <c r="C4220">
        <v>4</v>
      </c>
      <c r="D4220" s="6" t="s">
        <v>4822</v>
      </c>
      <c r="E4220">
        <v>36</v>
      </c>
      <c r="F4220" t="s">
        <v>112</v>
      </c>
      <c r="G4220">
        <v>2</v>
      </c>
      <c r="M4220">
        <v>1</v>
      </c>
    </row>
    <row r="4221" spans="1:17" x14ac:dyDescent="0.2">
      <c r="A4221" t="s">
        <v>4921</v>
      </c>
      <c r="B4221" t="s">
        <v>4890</v>
      </c>
      <c r="C4221">
        <v>4</v>
      </c>
      <c r="D4221" s="6" t="s">
        <v>4822</v>
      </c>
      <c r="E4221">
        <v>40</v>
      </c>
      <c r="F4221" t="s">
        <v>810</v>
      </c>
      <c r="G4221">
        <v>15</v>
      </c>
    </row>
    <row r="4222" spans="1:17" x14ac:dyDescent="0.2">
      <c r="A4222" t="s">
        <v>4921</v>
      </c>
      <c r="B4222" t="s">
        <v>4890</v>
      </c>
      <c r="C4222">
        <v>4</v>
      </c>
      <c r="D4222" s="6" t="s">
        <v>4822</v>
      </c>
      <c r="E4222">
        <v>37</v>
      </c>
      <c r="F4222" t="s">
        <v>2789</v>
      </c>
      <c r="G4222">
        <v>12</v>
      </c>
    </row>
    <row r="4223" spans="1:17" x14ac:dyDescent="0.2">
      <c r="A4223" t="s">
        <v>4921</v>
      </c>
      <c r="B4223" t="s">
        <v>4890</v>
      </c>
      <c r="C4223">
        <v>4</v>
      </c>
      <c r="D4223" s="6" t="s">
        <v>4822</v>
      </c>
      <c r="E4223" t="s">
        <v>5056</v>
      </c>
      <c r="F4223" t="s">
        <v>5106</v>
      </c>
      <c r="G4223">
        <v>58</v>
      </c>
    </row>
    <row r="4224" spans="1:17" x14ac:dyDescent="0.2">
      <c r="A4224" t="s">
        <v>4921</v>
      </c>
      <c r="B4224" t="s">
        <v>4890</v>
      </c>
      <c r="C4224">
        <v>5</v>
      </c>
      <c r="D4224" s="6" t="s">
        <v>4822</v>
      </c>
      <c r="E4224" s="8" t="s">
        <v>5081</v>
      </c>
      <c r="F4224" t="s">
        <v>1264</v>
      </c>
      <c r="G4224">
        <f>839-323</f>
        <v>516</v>
      </c>
      <c r="O4224" t="s">
        <v>5107</v>
      </c>
    </row>
    <row r="4225" spans="1:13" x14ac:dyDescent="0.2">
      <c r="A4225" t="s">
        <v>4921</v>
      </c>
      <c r="B4225" t="s">
        <v>4890</v>
      </c>
      <c r="C4225">
        <v>5</v>
      </c>
      <c r="D4225" s="6" t="s">
        <v>4822</v>
      </c>
      <c r="E4225" s="8" t="s">
        <v>5082</v>
      </c>
      <c r="F4225" t="s">
        <v>1389</v>
      </c>
      <c r="G4225">
        <v>13</v>
      </c>
    </row>
    <row r="4226" spans="1:13" x14ac:dyDescent="0.2">
      <c r="A4226" t="s">
        <v>4921</v>
      </c>
      <c r="B4226" t="s">
        <v>4890</v>
      </c>
      <c r="C4226">
        <v>5</v>
      </c>
      <c r="D4226" s="6" t="s">
        <v>4822</v>
      </c>
      <c r="E4226" s="8" t="s">
        <v>5089</v>
      </c>
      <c r="F4226" t="s">
        <v>1389</v>
      </c>
      <c r="G4226" t="s">
        <v>5108</v>
      </c>
    </row>
    <row r="4227" spans="1:13" x14ac:dyDescent="0.2">
      <c r="A4227" t="s">
        <v>4921</v>
      </c>
      <c r="B4227" t="s">
        <v>4890</v>
      </c>
      <c r="C4227">
        <v>5</v>
      </c>
      <c r="D4227" s="6" t="s">
        <v>4822</v>
      </c>
      <c r="E4227" s="8" t="s">
        <v>5090</v>
      </c>
      <c r="F4227" t="s">
        <v>1389</v>
      </c>
      <c r="G4227" t="s">
        <v>5108</v>
      </c>
    </row>
    <row r="4228" spans="1:13" x14ac:dyDescent="0.2">
      <c r="A4228" t="s">
        <v>4921</v>
      </c>
      <c r="B4228" t="s">
        <v>4890</v>
      </c>
      <c r="C4228">
        <v>5</v>
      </c>
      <c r="D4228" s="6" t="s">
        <v>4822</v>
      </c>
      <c r="E4228" s="8" t="s">
        <v>5091</v>
      </c>
      <c r="F4228" t="s">
        <v>1389</v>
      </c>
      <c r="G4228">
        <v>7</v>
      </c>
    </row>
    <row r="4229" spans="1:13" x14ac:dyDescent="0.2">
      <c r="A4229" t="s">
        <v>4921</v>
      </c>
      <c r="B4229" t="s">
        <v>4890</v>
      </c>
      <c r="C4229">
        <v>5</v>
      </c>
      <c r="D4229" s="6" t="s">
        <v>4822</v>
      </c>
      <c r="E4229" s="8" t="s">
        <v>5092</v>
      </c>
      <c r="F4229" t="s">
        <v>1389</v>
      </c>
      <c r="G4229">
        <v>4</v>
      </c>
    </row>
    <row r="4230" spans="1:13" x14ac:dyDescent="0.2">
      <c r="A4230" t="s">
        <v>4921</v>
      </c>
      <c r="B4230" t="s">
        <v>4890</v>
      </c>
      <c r="C4230">
        <v>5</v>
      </c>
      <c r="D4230" s="6" t="s">
        <v>4822</v>
      </c>
      <c r="E4230" s="8" t="s">
        <v>5094</v>
      </c>
      <c r="F4230" t="s">
        <v>1389</v>
      </c>
      <c r="G4230">
        <v>24</v>
      </c>
      <c r="M4230">
        <v>5</v>
      </c>
    </row>
    <row r="4231" spans="1:13" x14ac:dyDescent="0.2">
      <c r="A4231" t="s">
        <v>4921</v>
      </c>
      <c r="B4231" t="s">
        <v>4890</v>
      </c>
      <c r="C4231">
        <v>5</v>
      </c>
      <c r="D4231" s="6" t="s">
        <v>4822</v>
      </c>
      <c r="E4231">
        <v>10</v>
      </c>
      <c r="F4231" t="s">
        <v>1425</v>
      </c>
      <c r="G4231">
        <v>28</v>
      </c>
    </row>
    <row r="4232" spans="1:13" x14ac:dyDescent="0.2">
      <c r="A4232" t="s">
        <v>4921</v>
      </c>
      <c r="B4232" t="s">
        <v>4890</v>
      </c>
      <c r="C4232">
        <v>5</v>
      </c>
      <c r="D4232" s="6" t="s">
        <v>4822</v>
      </c>
      <c r="E4232">
        <v>11</v>
      </c>
      <c r="F4232" t="s">
        <v>1425</v>
      </c>
      <c r="G4232">
        <v>24</v>
      </c>
    </row>
    <row r="4233" spans="1:13" x14ac:dyDescent="0.2">
      <c r="A4233" t="s">
        <v>4921</v>
      </c>
      <c r="B4233" t="s">
        <v>4890</v>
      </c>
      <c r="C4233">
        <v>5</v>
      </c>
      <c r="D4233" s="6" t="s">
        <v>4822</v>
      </c>
      <c r="E4233">
        <v>12</v>
      </c>
      <c r="F4233" t="s">
        <v>1425</v>
      </c>
      <c r="G4233">
        <v>17</v>
      </c>
    </row>
    <row r="4234" spans="1:13" x14ac:dyDescent="0.2">
      <c r="A4234" t="s">
        <v>4921</v>
      </c>
      <c r="B4234" t="s">
        <v>4890</v>
      </c>
      <c r="C4234">
        <v>5</v>
      </c>
      <c r="D4234" s="6" t="s">
        <v>4822</v>
      </c>
      <c r="E4234">
        <v>13</v>
      </c>
      <c r="F4234" t="s">
        <v>1425</v>
      </c>
      <c r="G4234">
        <v>7</v>
      </c>
    </row>
    <row r="4235" spans="1:13" x14ac:dyDescent="0.2">
      <c r="A4235" t="s">
        <v>4921</v>
      </c>
      <c r="B4235" t="s">
        <v>4890</v>
      </c>
      <c r="C4235">
        <v>5</v>
      </c>
      <c r="D4235" s="6" t="s">
        <v>4822</v>
      </c>
      <c r="E4235">
        <v>14</v>
      </c>
      <c r="F4235" t="s">
        <v>1425</v>
      </c>
      <c r="G4235">
        <v>3</v>
      </c>
    </row>
    <row r="4236" spans="1:13" x14ac:dyDescent="0.2">
      <c r="A4236" t="s">
        <v>4921</v>
      </c>
      <c r="B4236" t="s">
        <v>4890</v>
      </c>
      <c r="C4236">
        <v>5</v>
      </c>
      <c r="D4236" s="6" t="s">
        <v>4822</v>
      </c>
      <c r="E4236">
        <v>15</v>
      </c>
      <c r="F4236" t="s">
        <v>1425</v>
      </c>
      <c r="G4236">
        <v>43</v>
      </c>
      <c r="M4236">
        <v>5</v>
      </c>
    </row>
    <row r="4237" spans="1:13" x14ac:dyDescent="0.2">
      <c r="A4237" t="s">
        <v>4921</v>
      </c>
      <c r="B4237" t="s">
        <v>4890</v>
      </c>
      <c r="C4237">
        <v>5</v>
      </c>
      <c r="D4237" s="6" t="s">
        <v>4822</v>
      </c>
      <c r="E4237" t="s">
        <v>5056</v>
      </c>
      <c r="F4237" t="s">
        <v>1389</v>
      </c>
      <c r="G4237">
        <v>25</v>
      </c>
      <c r="M4237">
        <v>6</v>
      </c>
    </row>
    <row r="4238" spans="1:13" x14ac:dyDescent="0.2">
      <c r="A4238" t="s">
        <v>4921</v>
      </c>
      <c r="B4238" t="s">
        <v>4890</v>
      </c>
      <c r="C4238">
        <v>5</v>
      </c>
      <c r="D4238" s="6" t="s">
        <v>4822</v>
      </c>
      <c r="E4238" t="s">
        <v>5056</v>
      </c>
      <c r="F4238" t="s">
        <v>1425</v>
      </c>
      <c r="G4238">
        <v>78</v>
      </c>
      <c r="M4238">
        <v>8</v>
      </c>
    </row>
    <row r="4239" spans="1:13" x14ac:dyDescent="0.2">
      <c r="A4239" t="s">
        <v>4921</v>
      </c>
      <c r="B4239" t="s">
        <v>4890</v>
      </c>
      <c r="C4239">
        <v>5</v>
      </c>
      <c r="D4239" s="6" t="s">
        <v>4822</v>
      </c>
      <c r="E4239">
        <v>22</v>
      </c>
      <c r="F4239" t="s">
        <v>3930</v>
      </c>
      <c r="G4239">
        <v>18</v>
      </c>
    </row>
    <row r="4240" spans="1:13" x14ac:dyDescent="0.2">
      <c r="A4240" t="s">
        <v>4921</v>
      </c>
      <c r="B4240" t="s">
        <v>4890</v>
      </c>
      <c r="C4240">
        <v>5</v>
      </c>
      <c r="D4240" s="6" t="s">
        <v>4822</v>
      </c>
      <c r="E4240">
        <v>23</v>
      </c>
      <c r="F4240" t="s">
        <v>1559</v>
      </c>
      <c r="G4240" t="s">
        <v>114</v>
      </c>
    </row>
    <row r="4241" spans="1:13" x14ac:dyDescent="0.2">
      <c r="A4241" t="s">
        <v>4921</v>
      </c>
      <c r="B4241" t="s">
        <v>4890</v>
      </c>
      <c r="C4241">
        <v>5</v>
      </c>
      <c r="D4241" s="6" t="s">
        <v>4822</v>
      </c>
      <c r="E4241">
        <v>24</v>
      </c>
      <c r="F4241" t="s">
        <v>1559</v>
      </c>
      <c r="G4241">
        <v>1</v>
      </c>
    </row>
    <row r="4242" spans="1:13" x14ac:dyDescent="0.2">
      <c r="A4242" t="s">
        <v>4921</v>
      </c>
      <c r="B4242" t="s">
        <v>4890</v>
      </c>
      <c r="C4242">
        <v>5</v>
      </c>
      <c r="D4242" s="6" t="s">
        <v>4822</v>
      </c>
      <c r="E4242">
        <v>25</v>
      </c>
      <c r="F4242" t="s">
        <v>1559</v>
      </c>
      <c r="G4242">
        <v>2</v>
      </c>
    </row>
    <row r="4243" spans="1:13" x14ac:dyDescent="0.2">
      <c r="A4243" t="s">
        <v>4921</v>
      </c>
      <c r="B4243" t="s">
        <v>4890</v>
      </c>
      <c r="C4243">
        <v>5</v>
      </c>
      <c r="D4243" s="6" t="s">
        <v>4822</v>
      </c>
      <c r="E4243">
        <v>26</v>
      </c>
      <c r="F4243" t="s">
        <v>1559</v>
      </c>
      <c r="G4243">
        <v>2</v>
      </c>
    </row>
    <row r="4244" spans="1:13" x14ac:dyDescent="0.2">
      <c r="A4244" t="s">
        <v>4921</v>
      </c>
      <c r="B4244" t="s">
        <v>4890</v>
      </c>
      <c r="C4244">
        <v>5</v>
      </c>
      <c r="D4244" s="6" t="s">
        <v>4822</v>
      </c>
      <c r="E4244">
        <v>27</v>
      </c>
      <c r="F4244" t="s">
        <v>1559</v>
      </c>
      <c r="G4244">
        <v>1</v>
      </c>
    </row>
    <row r="4245" spans="1:13" x14ac:dyDescent="0.2">
      <c r="A4245" t="s">
        <v>4921</v>
      </c>
      <c r="B4245" t="s">
        <v>4890</v>
      </c>
      <c r="C4245">
        <v>5</v>
      </c>
      <c r="D4245" s="6" t="s">
        <v>4822</v>
      </c>
      <c r="E4245">
        <v>28</v>
      </c>
      <c r="F4245" t="s">
        <v>1559</v>
      </c>
      <c r="G4245">
        <v>8</v>
      </c>
      <c r="M4245">
        <v>5</v>
      </c>
    </row>
    <row r="4246" spans="1:13" x14ac:dyDescent="0.2">
      <c r="A4246" t="s">
        <v>4921</v>
      </c>
      <c r="B4246" t="s">
        <v>4890</v>
      </c>
      <c r="C4246">
        <v>5</v>
      </c>
      <c r="D4246" s="6" t="s">
        <v>4822</v>
      </c>
      <c r="E4246" t="s">
        <v>5056</v>
      </c>
      <c r="F4246" t="s">
        <v>1559</v>
      </c>
      <c r="G4246">
        <v>8</v>
      </c>
      <c r="M4246">
        <v>8</v>
      </c>
    </row>
    <row r="4247" spans="1:13" x14ac:dyDescent="0.2">
      <c r="A4247" t="s">
        <v>4921</v>
      </c>
      <c r="B4247" t="s">
        <v>4890</v>
      </c>
      <c r="C4247">
        <v>5</v>
      </c>
      <c r="D4247" s="6" t="s">
        <v>4822</v>
      </c>
      <c r="E4247">
        <v>29</v>
      </c>
      <c r="F4247" t="s">
        <v>1538</v>
      </c>
      <c r="G4247">
        <v>13</v>
      </c>
    </row>
    <row r="4248" spans="1:13" x14ac:dyDescent="0.2">
      <c r="A4248" t="s">
        <v>4921</v>
      </c>
      <c r="B4248" t="s">
        <v>4890</v>
      </c>
      <c r="C4248">
        <v>5</v>
      </c>
      <c r="D4248" s="6" t="s">
        <v>4822</v>
      </c>
      <c r="E4248">
        <v>30</v>
      </c>
      <c r="F4248" t="s">
        <v>1538</v>
      </c>
      <c r="G4248">
        <v>5</v>
      </c>
    </row>
    <row r="4249" spans="1:13" x14ac:dyDescent="0.2">
      <c r="A4249" t="s">
        <v>4921</v>
      </c>
      <c r="B4249" t="s">
        <v>4890</v>
      </c>
      <c r="C4249">
        <v>5</v>
      </c>
      <c r="D4249" s="6" t="s">
        <v>4822</v>
      </c>
      <c r="E4249">
        <v>35</v>
      </c>
      <c r="F4249" t="s">
        <v>2588</v>
      </c>
      <c r="G4249">
        <v>1</v>
      </c>
    </row>
    <row r="4250" spans="1:13" x14ac:dyDescent="0.2">
      <c r="A4250" t="s">
        <v>4921</v>
      </c>
      <c r="B4250" t="s">
        <v>4890</v>
      </c>
      <c r="C4250">
        <v>5</v>
      </c>
      <c r="D4250" s="6" t="s">
        <v>4822</v>
      </c>
      <c r="E4250">
        <v>36</v>
      </c>
      <c r="F4250" t="s">
        <v>2588</v>
      </c>
      <c r="G4250">
        <v>2</v>
      </c>
    </row>
    <row r="4251" spans="1:13" x14ac:dyDescent="0.2">
      <c r="A4251" t="s">
        <v>4921</v>
      </c>
      <c r="B4251" t="s">
        <v>4890</v>
      </c>
      <c r="C4251">
        <v>5</v>
      </c>
      <c r="D4251" s="6" t="s">
        <v>4822</v>
      </c>
      <c r="E4251">
        <v>37</v>
      </c>
      <c r="F4251" t="s">
        <v>2588</v>
      </c>
      <c r="G4251">
        <v>1</v>
      </c>
    </row>
    <row r="4252" spans="1:13" x14ac:dyDescent="0.2">
      <c r="A4252" t="s">
        <v>4921</v>
      </c>
      <c r="B4252" t="s">
        <v>4890</v>
      </c>
      <c r="C4252">
        <v>5</v>
      </c>
      <c r="D4252" s="6" t="s">
        <v>4822</v>
      </c>
      <c r="E4252">
        <v>38</v>
      </c>
      <c r="F4252" t="s">
        <v>2588</v>
      </c>
      <c r="G4252" t="s">
        <v>114</v>
      </c>
    </row>
    <row r="4253" spans="1:13" x14ac:dyDescent="0.2">
      <c r="A4253" t="s">
        <v>4921</v>
      </c>
      <c r="B4253" t="s">
        <v>4890</v>
      </c>
      <c r="C4253">
        <v>5</v>
      </c>
      <c r="D4253" s="6" t="s">
        <v>4822</v>
      </c>
      <c r="E4253">
        <v>39</v>
      </c>
      <c r="F4253" t="s">
        <v>2588</v>
      </c>
      <c r="G4253" t="s">
        <v>114</v>
      </c>
    </row>
    <row r="4254" spans="1:13" x14ac:dyDescent="0.2">
      <c r="A4254" t="s">
        <v>4921</v>
      </c>
      <c r="B4254" t="s">
        <v>4890</v>
      </c>
      <c r="C4254">
        <v>5</v>
      </c>
      <c r="D4254" s="6" t="s">
        <v>4822</v>
      </c>
      <c r="E4254">
        <v>40</v>
      </c>
      <c r="F4254" t="s">
        <v>2588</v>
      </c>
      <c r="G4254">
        <v>2</v>
      </c>
      <c r="M4254">
        <v>2</v>
      </c>
    </row>
    <row r="4255" spans="1:13" x14ac:dyDescent="0.2">
      <c r="A4255" t="s">
        <v>4921</v>
      </c>
      <c r="B4255" t="s">
        <v>4890</v>
      </c>
      <c r="C4255">
        <v>5</v>
      </c>
      <c r="D4255" s="6" t="s">
        <v>4822</v>
      </c>
      <c r="E4255">
        <v>31</v>
      </c>
      <c r="F4255" t="s">
        <v>1538</v>
      </c>
      <c r="G4255">
        <v>14</v>
      </c>
    </row>
    <row r="4256" spans="1:13" x14ac:dyDescent="0.2">
      <c r="A4256" t="s">
        <v>4921</v>
      </c>
      <c r="B4256" t="s">
        <v>4890</v>
      </c>
      <c r="C4256">
        <v>5</v>
      </c>
      <c r="D4256" s="6" t="s">
        <v>4822</v>
      </c>
      <c r="E4256">
        <v>32</v>
      </c>
      <c r="F4256" t="s">
        <v>1538</v>
      </c>
      <c r="G4256">
        <v>32</v>
      </c>
    </row>
    <row r="4257" spans="1:15" x14ac:dyDescent="0.2">
      <c r="A4257" t="s">
        <v>4921</v>
      </c>
      <c r="B4257" t="s">
        <v>4890</v>
      </c>
      <c r="C4257">
        <v>5</v>
      </c>
      <c r="D4257" s="6" t="s">
        <v>4822</v>
      </c>
      <c r="E4257">
        <v>33</v>
      </c>
      <c r="F4257" t="s">
        <v>1538</v>
      </c>
      <c r="G4257">
        <v>36</v>
      </c>
    </row>
    <row r="4258" spans="1:15" x14ac:dyDescent="0.2">
      <c r="A4258" t="s">
        <v>4921</v>
      </c>
      <c r="B4258" t="s">
        <v>4890</v>
      </c>
      <c r="C4258">
        <v>5</v>
      </c>
      <c r="D4258" s="6" t="s">
        <v>4822</v>
      </c>
      <c r="E4258">
        <v>34</v>
      </c>
      <c r="F4258" t="s">
        <v>1538</v>
      </c>
      <c r="G4258">
        <v>102</v>
      </c>
      <c r="M4258">
        <v>5</v>
      </c>
    </row>
    <row r="4259" spans="1:15" x14ac:dyDescent="0.2">
      <c r="A4259" t="s">
        <v>4921</v>
      </c>
      <c r="B4259" t="s">
        <v>4890</v>
      </c>
      <c r="C4259">
        <v>5</v>
      </c>
      <c r="D4259" s="6" t="s">
        <v>4822</v>
      </c>
      <c r="E4259" t="s">
        <v>5056</v>
      </c>
      <c r="F4259" t="s">
        <v>1538</v>
      </c>
      <c r="G4259">
        <v>254</v>
      </c>
    </row>
    <row r="4260" spans="1:15" x14ac:dyDescent="0.2">
      <c r="A4260" t="s">
        <v>4921</v>
      </c>
      <c r="B4260" t="s">
        <v>4890</v>
      </c>
      <c r="C4260">
        <v>5</v>
      </c>
      <c r="D4260" s="6" t="s">
        <v>4822</v>
      </c>
      <c r="E4260" s="8" t="s">
        <v>5097</v>
      </c>
      <c r="F4260" t="s">
        <v>3105</v>
      </c>
      <c r="G4260">
        <v>47</v>
      </c>
      <c r="I4260">
        <v>381</v>
      </c>
      <c r="K4260">
        <v>354</v>
      </c>
    </row>
    <row r="4261" spans="1:15" x14ac:dyDescent="0.2">
      <c r="A4261" t="s">
        <v>4921</v>
      </c>
      <c r="B4261" t="s">
        <v>4890</v>
      </c>
      <c r="C4261">
        <v>5</v>
      </c>
      <c r="D4261" s="6" t="s">
        <v>4822</v>
      </c>
      <c r="E4261" s="8" t="s">
        <v>5098</v>
      </c>
      <c r="F4261" t="s">
        <v>3930</v>
      </c>
      <c r="G4261">
        <v>123</v>
      </c>
      <c r="I4261">
        <v>261</v>
      </c>
      <c r="J4261">
        <v>240</v>
      </c>
      <c r="K4261">
        <v>219</v>
      </c>
      <c r="O4261" t="s">
        <v>5105</v>
      </c>
    </row>
    <row r="4262" spans="1:15" x14ac:dyDescent="0.2">
      <c r="A4262" t="s">
        <v>4921</v>
      </c>
      <c r="B4262" t="s">
        <v>4890</v>
      </c>
      <c r="C4262">
        <v>5</v>
      </c>
      <c r="D4262" s="6" t="s">
        <v>4822</v>
      </c>
      <c r="E4262">
        <v>16</v>
      </c>
      <c r="F4262" t="s">
        <v>1527</v>
      </c>
      <c r="G4262">
        <v>23</v>
      </c>
    </row>
    <row r="4263" spans="1:15" x14ac:dyDescent="0.2">
      <c r="A4263" t="s">
        <v>4921</v>
      </c>
      <c r="B4263" t="s">
        <v>4890</v>
      </c>
      <c r="C4263">
        <v>5</v>
      </c>
      <c r="D4263" s="6" t="s">
        <v>4822</v>
      </c>
      <c r="E4263">
        <v>17</v>
      </c>
      <c r="F4263" t="s">
        <v>1527</v>
      </c>
      <c r="G4263">
        <v>14</v>
      </c>
    </row>
    <row r="4264" spans="1:15" x14ac:dyDescent="0.2">
      <c r="A4264" t="s">
        <v>4921</v>
      </c>
      <c r="B4264" t="s">
        <v>4890</v>
      </c>
      <c r="C4264">
        <v>5</v>
      </c>
      <c r="D4264" s="6" t="s">
        <v>4822</v>
      </c>
      <c r="E4264">
        <v>18</v>
      </c>
      <c r="F4264" t="s">
        <v>1527</v>
      </c>
      <c r="G4264">
        <v>10</v>
      </c>
    </row>
    <row r="4265" spans="1:15" x14ac:dyDescent="0.2">
      <c r="A4265" t="s">
        <v>4921</v>
      </c>
      <c r="B4265" t="s">
        <v>4890</v>
      </c>
      <c r="C4265">
        <v>5</v>
      </c>
      <c r="D4265" s="6" t="s">
        <v>4822</v>
      </c>
      <c r="E4265">
        <v>19</v>
      </c>
      <c r="F4265" t="s">
        <v>1527</v>
      </c>
      <c r="G4265">
        <v>7</v>
      </c>
    </row>
    <row r="4266" spans="1:15" x14ac:dyDescent="0.2">
      <c r="A4266" t="s">
        <v>4921</v>
      </c>
      <c r="B4266" t="s">
        <v>4890</v>
      </c>
      <c r="C4266">
        <v>5</v>
      </c>
      <c r="D4266" s="6" t="s">
        <v>4822</v>
      </c>
      <c r="E4266">
        <v>20</v>
      </c>
      <c r="F4266" t="s">
        <v>1527</v>
      </c>
      <c r="G4266">
        <v>6</v>
      </c>
    </row>
    <row r="4267" spans="1:15" x14ac:dyDescent="0.2">
      <c r="A4267" t="s">
        <v>4921</v>
      </c>
      <c r="B4267" t="s">
        <v>4890</v>
      </c>
      <c r="C4267">
        <v>5</v>
      </c>
      <c r="D4267" s="6" t="s">
        <v>4822</v>
      </c>
      <c r="E4267">
        <v>21</v>
      </c>
      <c r="F4267" t="s">
        <v>1527</v>
      </c>
      <c r="G4267">
        <v>44</v>
      </c>
      <c r="M4267">
        <v>5</v>
      </c>
    </row>
    <row r="4268" spans="1:15" x14ac:dyDescent="0.2">
      <c r="A4268" t="s">
        <v>4921</v>
      </c>
      <c r="B4268" t="s">
        <v>4890</v>
      </c>
      <c r="C4268">
        <v>5</v>
      </c>
      <c r="D4268" s="6" t="s">
        <v>4822</v>
      </c>
      <c r="E4268">
        <v>46</v>
      </c>
      <c r="F4268" t="s">
        <v>5109</v>
      </c>
      <c r="G4268">
        <v>178</v>
      </c>
      <c r="O4268" t="s">
        <v>5110</v>
      </c>
    </row>
    <row r="4269" spans="1:15" x14ac:dyDescent="0.2">
      <c r="A4269" t="s">
        <v>4921</v>
      </c>
      <c r="B4269" t="s">
        <v>4890</v>
      </c>
      <c r="C4269">
        <v>5</v>
      </c>
      <c r="D4269" s="6" t="s">
        <v>4822</v>
      </c>
      <c r="E4269">
        <v>45</v>
      </c>
      <c r="F4269" t="s">
        <v>5093</v>
      </c>
      <c r="G4269">
        <v>33</v>
      </c>
      <c r="O4269" t="s">
        <v>5111</v>
      </c>
    </row>
    <row r="4270" spans="1:15" x14ac:dyDescent="0.2">
      <c r="A4270" t="s">
        <v>4921</v>
      </c>
      <c r="B4270" t="s">
        <v>4890</v>
      </c>
      <c r="C4270">
        <v>5</v>
      </c>
      <c r="D4270" s="6" t="s">
        <v>4822</v>
      </c>
      <c r="E4270">
        <v>41</v>
      </c>
      <c r="F4270" t="s">
        <v>112</v>
      </c>
      <c r="G4270">
        <v>64</v>
      </c>
      <c r="M4270">
        <v>3</v>
      </c>
    </row>
    <row r="4271" spans="1:15" x14ac:dyDescent="0.2">
      <c r="A4271" t="s">
        <v>4921</v>
      </c>
      <c r="B4271" t="s">
        <v>4890</v>
      </c>
      <c r="C4271">
        <v>5</v>
      </c>
      <c r="D4271" s="6" t="s">
        <v>4822</v>
      </c>
      <c r="E4271">
        <v>42</v>
      </c>
      <c r="F4271" t="s">
        <v>112</v>
      </c>
      <c r="G4271">
        <v>2</v>
      </c>
      <c r="M4271">
        <v>3</v>
      </c>
    </row>
    <row r="4272" spans="1:15" x14ac:dyDescent="0.2">
      <c r="A4272" t="s">
        <v>4921</v>
      </c>
      <c r="B4272" t="s">
        <v>4890</v>
      </c>
      <c r="C4272">
        <v>5</v>
      </c>
      <c r="D4272" s="6" t="s">
        <v>4822</v>
      </c>
      <c r="E4272">
        <v>43</v>
      </c>
      <c r="F4272" t="s">
        <v>130</v>
      </c>
      <c r="G4272">
        <v>1</v>
      </c>
      <c r="M4272">
        <v>3</v>
      </c>
    </row>
    <row r="4273" spans="1:15" x14ac:dyDescent="0.2">
      <c r="A4273" t="s">
        <v>4921</v>
      </c>
      <c r="B4273" t="s">
        <v>4890</v>
      </c>
      <c r="C4273">
        <v>5</v>
      </c>
      <c r="D4273" s="6" t="s">
        <v>4822</v>
      </c>
      <c r="E4273">
        <v>44</v>
      </c>
      <c r="F4273" t="s">
        <v>106</v>
      </c>
      <c r="G4273">
        <v>4</v>
      </c>
    </row>
    <row r="4274" spans="1:15" x14ac:dyDescent="0.2">
      <c r="A4274" t="s">
        <v>4921</v>
      </c>
      <c r="B4274" t="s">
        <v>4890</v>
      </c>
      <c r="C4274">
        <v>5</v>
      </c>
      <c r="D4274" s="6" t="s">
        <v>4822</v>
      </c>
      <c r="E4274">
        <v>42</v>
      </c>
      <c r="F4274" t="s">
        <v>5112</v>
      </c>
      <c r="G4274">
        <v>2</v>
      </c>
    </row>
    <row r="4275" spans="1:15" x14ac:dyDescent="0.2">
      <c r="A4275" t="s">
        <v>4921</v>
      </c>
      <c r="B4275" t="s">
        <v>4890</v>
      </c>
      <c r="C4275">
        <v>5</v>
      </c>
      <c r="D4275" s="6" t="s">
        <v>4822</v>
      </c>
      <c r="E4275" t="s">
        <v>5056</v>
      </c>
      <c r="F4275" t="s">
        <v>5113</v>
      </c>
      <c r="G4275">
        <f>695-587</f>
        <v>108</v>
      </c>
      <c r="O4275" t="s">
        <v>5114</v>
      </c>
    </row>
    <row r="4276" spans="1:15" x14ac:dyDescent="0.2">
      <c r="A4276" t="s">
        <v>4921</v>
      </c>
      <c r="B4276" t="s">
        <v>4890</v>
      </c>
      <c r="C4276">
        <v>6</v>
      </c>
      <c r="D4276" s="6" t="s">
        <v>4822</v>
      </c>
      <c r="E4276">
        <v>22</v>
      </c>
      <c r="F4276" t="s">
        <v>1425</v>
      </c>
      <c r="G4276">
        <v>15</v>
      </c>
    </row>
    <row r="4277" spans="1:15" x14ac:dyDescent="0.2">
      <c r="A4277" t="s">
        <v>4921</v>
      </c>
      <c r="B4277" t="s">
        <v>4890</v>
      </c>
      <c r="C4277">
        <v>6</v>
      </c>
      <c r="D4277" s="6" t="s">
        <v>4822</v>
      </c>
      <c r="E4277">
        <v>10</v>
      </c>
      <c r="F4277" t="s">
        <v>1425</v>
      </c>
      <c r="G4277">
        <v>5</v>
      </c>
    </row>
    <row r="4278" spans="1:15" x14ac:dyDescent="0.2">
      <c r="A4278" t="s">
        <v>4921</v>
      </c>
      <c r="B4278" t="s">
        <v>4890</v>
      </c>
      <c r="C4278">
        <v>6</v>
      </c>
      <c r="D4278" s="6" t="s">
        <v>4822</v>
      </c>
      <c r="E4278" s="8" t="s">
        <v>5097</v>
      </c>
      <c r="F4278" t="s">
        <v>1425</v>
      </c>
      <c r="G4278">
        <v>4</v>
      </c>
    </row>
    <row r="4279" spans="1:15" x14ac:dyDescent="0.2">
      <c r="A4279" t="s">
        <v>4921</v>
      </c>
      <c r="B4279" t="s">
        <v>4890</v>
      </c>
      <c r="C4279">
        <v>6</v>
      </c>
      <c r="D4279" s="6" t="s">
        <v>4822</v>
      </c>
      <c r="E4279" s="8" t="s">
        <v>5094</v>
      </c>
      <c r="F4279" t="s">
        <v>1425</v>
      </c>
      <c r="G4279">
        <v>7</v>
      </c>
    </row>
    <row r="4280" spans="1:15" x14ac:dyDescent="0.2">
      <c r="A4280" t="s">
        <v>4921</v>
      </c>
      <c r="B4280" t="s">
        <v>4890</v>
      </c>
      <c r="C4280">
        <v>6</v>
      </c>
      <c r="D4280" s="6" t="s">
        <v>4822</v>
      </c>
      <c r="E4280" s="8" t="s">
        <v>5098</v>
      </c>
      <c r="F4280" t="s">
        <v>1425</v>
      </c>
      <c r="G4280">
        <v>2</v>
      </c>
    </row>
    <row r="4281" spans="1:15" x14ac:dyDescent="0.2">
      <c r="A4281" t="s">
        <v>4921</v>
      </c>
      <c r="B4281" t="s">
        <v>4890</v>
      </c>
      <c r="C4281">
        <v>6</v>
      </c>
      <c r="D4281" s="6" t="s">
        <v>4822</v>
      </c>
      <c r="E4281">
        <v>11</v>
      </c>
      <c r="F4281" t="s">
        <v>1425</v>
      </c>
      <c r="G4281">
        <v>16</v>
      </c>
    </row>
    <row r="4282" spans="1:15" x14ac:dyDescent="0.2">
      <c r="A4282" t="s">
        <v>4921</v>
      </c>
      <c r="B4282" t="s">
        <v>4890</v>
      </c>
      <c r="C4282">
        <v>6</v>
      </c>
      <c r="D4282" s="6" t="s">
        <v>4822</v>
      </c>
      <c r="E4282" s="8" t="s">
        <v>5081</v>
      </c>
      <c r="F4282" t="s">
        <v>1264</v>
      </c>
      <c r="G4282">
        <f>1922-357</f>
        <v>1565</v>
      </c>
      <c r="O4282" t="s">
        <v>5115</v>
      </c>
    </row>
    <row r="4283" spans="1:15" x14ac:dyDescent="0.2">
      <c r="A4283" t="s">
        <v>4921</v>
      </c>
      <c r="B4283" t="s">
        <v>4890</v>
      </c>
      <c r="C4283">
        <v>6</v>
      </c>
      <c r="D4283" s="6" t="s">
        <v>4822</v>
      </c>
      <c r="E4283" s="8" t="s">
        <v>5091</v>
      </c>
      <c r="F4283" t="s">
        <v>1425</v>
      </c>
      <c r="G4283">
        <v>23</v>
      </c>
    </row>
    <row r="4284" spans="1:15" x14ac:dyDescent="0.2">
      <c r="A4284" t="s">
        <v>4921</v>
      </c>
      <c r="B4284" t="s">
        <v>4890</v>
      </c>
      <c r="C4284">
        <v>6</v>
      </c>
      <c r="D4284" s="6" t="s">
        <v>4822</v>
      </c>
      <c r="E4284" s="8" t="s">
        <v>5089</v>
      </c>
      <c r="F4284" t="s">
        <v>1425</v>
      </c>
      <c r="G4284">
        <v>33</v>
      </c>
    </row>
    <row r="4285" spans="1:15" x14ac:dyDescent="0.2">
      <c r="A4285" t="s">
        <v>4921</v>
      </c>
      <c r="B4285" t="s">
        <v>4890</v>
      </c>
      <c r="C4285">
        <v>6</v>
      </c>
      <c r="D4285" s="6" t="s">
        <v>4822</v>
      </c>
      <c r="E4285" s="8" t="s">
        <v>5090</v>
      </c>
      <c r="F4285" t="s">
        <v>1425</v>
      </c>
      <c r="G4285">
        <v>18</v>
      </c>
    </row>
    <row r="4286" spans="1:15" x14ac:dyDescent="0.2">
      <c r="A4286" t="s">
        <v>4921</v>
      </c>
      <c r="B4286" t="s">
        <v>4890</v>
      </c>
      <c r="C4286">
        <v>6</v>
      </c>
      <c r="D4286" s="6" t="s">
        <v>4822</v>
      </c>
      <c r="E4286" s="8" t="s">
        <v>5082</v>
      </c>
      <c r="F4286" t="s">
        <v>1425</v>
      </c>
      <c r="G4286">
        <v>32</v>
      </c>
    </row>
    <row r="4287" spans="1:15" x14ac:dyDescent="0.2">
      <c r="A4287" t="s">
        <v>4921</v>
      </c>
      <c r="B4287" t="s">
        <v>4890</v>
      </c>
      <c r="C4287">
        <v>6</v>
      </c>
      <c r="D4287" s="6" t="s">
        <v>4822</v>
      </c>
      <c r="E4287" s="8" t="s">
        <v>5092</v>
      </c>
      <c r="F4287" t="s">
        <v>1425</v>
      </c>
      <c r="G4287">
        <v>32</v>
      </c>
    </row>
    <row r="4288" spans="1:15" x14ac:dyDescent="0.2">
      <c r="A4288" t="s">
        <v>4921</v>
      </c>
      <c r="B4288" t="s">
        <v>4890</v>
      </c>
      <c r="C4288">
        <v>6</v>
      </c>
      <c r="D4288" s="6" t="s">
        <v>4822</v>
      </c>
      <c r="E4288">
        <v>12</v>
      </c>
      <c r="F4288" t="s">
        <v>1425</v>
      </c>
      <c r="G4288">
        <v>48</v>
      </c>
      <c r="M4288">
        <v>5</v>
      </c>
    </row>
    <row r="4289" spans="1:15" x14ac:dyDescent="0.2">
      <c r="A4289" t="s">
        <v>4921</v>
      </c>
      <c r="B4289" t="s">
        <v>4890</v>
      </c>
      <c r="C4289">
        <v>6</v>
      </c>
      <c r="D4289" s="6" t="s">
        <v>4822</v>
      </c>
      <c r="E4289" t="s">
        <v>5056</v>
      </c>
      <c r="F4289" t="s">
        <v>1425</v>
      </c>
      <c r="G4289">
        <v>1314</v>
      </c>
    </row>
    <row r="4290" spans="1:15" x14ac:dyDescent="0.2">
      <c r="A4290" t="s">
        <v>4921</v>
      </c>
      <c r="B4290" t="s">
        <v>4890</v>
      </c>
      <c r="C4290">
        <v>6</v>
      </c>
      <c r="D4290" s="6" t="s">
        <v>4822</v>
      </c>
      <c r="E4290">
        <v>16</v>
      </c>
      <c r="F4290" t="s">
        <v>1389</v>
      </c>
      <c r="G4290">
        <v>7</v>
      </c>
    </row>
    <row r="4291" spans="1:15" x14ac:dyDescent="0.2">
      <c r="A4291" t="s">
        <v>4921</v>
      </c>
      <c r="B4291" t="s">
        <v>4890</v>
      </c>
      <c r="C4291">
        <v>6</v>
      </c>
      <c r="D4291" s="6" t="s">
        <v>4822</v>
      </c>
      <c r="E4291">
        <v>17</v>
      </c>
      <c r="F4291" t="s">
        <v>1389</v>
      </c>
      <c r="G4291">
        <v>8</v>
      </c>
    </row>
    <row r="4292" spans="1:15" x14ac:dyDescent="0.2">
      <c r="A4292" t="s">
        <v>4921</v>
      </c>
      <c r="B4292" t="s">
        <v>4890</v>
      </c>
      <c r="C4292">
        <v>6</v>
      </c>
      <c r="D4292" s="6" t="s">
        <v>4822</v>
      </c>
      <c r="E4292">
        <v>18</v>
      </c>
      <c r="F4292" t="s">
        <v>1389</v>
      </c>
      <c r="G4292">
        <v>6</v>
      </c>
    </row>
    <row r="4293" spans="1:15" x14ac:dyDescent="0.2">
      <c r="A4293" t="s">
        <v>4921</v>
      </c>
      <c r="B4293" t="s">
        <v>4890</v>
      </c>
      <c r="C4293">
        <v>6</v>
      </c>
      <c r="D4293" s="6" t="s">
        <v>4822</v>
      </c>
      <c r="E4293">
        <v>19</v>
      </c>
      <c r="F4293" t="s">
        <v>1389</v>
      </c>
      <c r="G4293" t="s">
        <v>114</v>
      </c>
    </row>
    <row r="4294" spans="1:15" x14ac:dyDescent="0.2">
      <c r="A4294" t="s">
        <v>4921</v>
      </c>
      <c r="B4294" t="s">
        <v>4890</v>
      </c>
      <c r="C4294">
        <v>6</v>
      </c>
      <c r="D4294" s="6" t="s">
        <v>4822</v>
      </c>
      <c r="E4294">
        <v>20</v>
      </c>
      <c r="F4294" t="s">
        <v>1389</v>
      </c>
      <c r="G4294">
        <v>2</v>
      </c>
    </row>
    <row r="4295" spans="1:15" x14ac:dyDescent="0.2">
      <c r="A4295" t="s">
        <v>4921</v>
      </c>
      <c r="B4295" t="s">
        <v>4890</v>
      </c>
      <c r="C4295">
        <v>6</v>
      </c>
      <c r="D4295" s="6" t="s">
        <v>4822</v>
      </c>
      <c r="E4295">
        <v>21</v>
      </c>
      <c r="F4295" t="s">
        <v>1389</v>
      </c>
      <c r="G4295">
        <v>43</v>
      </c>
      <c r="M4295">
        <v>5</v>
      </c>
    </row>
    <row r="4296" spans="1:15" x14ac:dyDescent="0.2">
      <c r="A4296" t="s">
        <v>4921</v>
      </c>
      <c r="B4296" t="s">
        <v>4890</v>
      </c>
      <c r="C4296">
        <v>6</v>
      </c>
      <c r="D4296" s="6" t="s">
        <v>4822</v>
      </c>
      <c r="E4296">
        <v>23</v>
      </c>
      <c r="F4296" t="s">
        <v>1389</v>
      </c>
      <c r="G4296">
        <v>3</v>
      </c>
      <c r="M4296">
        <v>5</v>
      </c>
      <c r="O4296" t="s">
        <v>5116</v>
      </c>
    </row>
    <row r="4297" spans="1:15" x14ac:dyDescent="0.2">
      <c r="A4297" t="s">
        <v>4921</v>
      </c>
      <c r="B4297" t="s">
        <v>4890</v>
      </c>
      <c r="C4297">
        <v>6</v>
      </c>
      <c r="D4297" s="6" t="s">
        <v>4822</v>
      </c>
      <c r="E4297" t="s">
        <v>5056</v>
      </c>
      <c r="F4297" t="s">
        <v>1389</v>
      </c>
      <c r="G4297">
        <v>565</v>
      </c>
      <c r="M4297">
        <v>142</v>
      </c>
    </row>
    <row r="4298" spans="1:15" x14ac:dyDescent="0.2">
      <c r="A4298" t="s">
        <v>4921</v>
      </c>
      <c r="B4298" t="s">
        <v>4890</v>
      </c>
      <c r="C4298">
        <v>6</v>
      </c>
      <c r="D4298" s="6" t="s">
        <v>4822</v>
      </c>
      <c r="E4298">
        <v>32</v>
      </c>
      <c r="F4298" t="s">
        <v>1311</v>
      </c>
      <c r="G4298">
        <v>1</v>
      </c>
    </row>
    <row r="4299" spans="1:15" x14ac:dyDescent="0.2">
      <c r="A4299" t="s">
        <v>4921</v>
      </c>
      <c r="B4299" t="s">
        <v>4890</v>
      </c>
      <c r="C4299">
        <v>6</v>
      </c>
      <c r="D4299" s="6" t="s">
        <v>4822</v>
      </c>
      <c r="E4299">
        <v>33</v>
      </c>
      <c r="F4299" t="s">
        <v>1311</v>
      </c>
      <c r="G4299">
        <v>4</v>
      </c>
    </row>
    <row r="4300" spans="1:15" x14ac:dyDescent="0.2">
      <c r="A4300" t="s">
        <v>4921</v>
      </c>
      <c r="B4300" t="s">
        <v>4890</v>
      </c>
      <c r="C4300">
        <v>6</v>
      </c>
      <c r="D4300" s="6" t="s">
        <v>4822</v>
      </c>
      <c r="E4300">
        <v>34</v>
      </c>
      <c r="F4300" t="s">
        <v>1311</v>
      </c>
      <c r="G4300">
        <v>3</v>
      </c>
    </row>
    <row r="4301" spans="1:15" x14ac:dyDescent="0.2">
      <c r="A4301" t="s">
        <v>4921</v>
      </c>
      <c r="B4301" t="s">
        <v>4890</v>
      </c>
      <c r="C4301">
        <v>6</v>
      </c>
      <c r="D4301" s="6" t="s">
        <v>4822</v>
      </c>
      <c r="E4301">
        <v>35</v>
      </c>
      <c r="F4301" t="s">
        <v>1311</v>
      </c>
      <c r="G4301">
        <v>1</v>
      </c>
    </row>
    <row r="4302" spans="1:15" x14ac:dyDescent="0.2">
      <c r="A4302" t="s">
        <v>4921</v>
      </c>
      <c r="B4302" t="s">
        <v>4890</v>
      </c>
      <c r="C4302">
        <v>6</v>
      </c>
      <c r="D4302" s="6" t="s">
        <v>4822</v>
      </c>
      <c r="E4302">
        <v>36</v>
      </c>
      <c r="F4302" t="s">
        <v>1311</v>
      </c>
      <c r="G4302">
        <v>1</v>
      </c>
    </row>
    <row r="4303" spans="1:15" x14ac:dyDescent="0.2">
      <c r="A4303" t="s">
        <v>4921</v>
      </c>
      <c r="B4303" t="s">
        <v>4890</v>
      </c>
      <c r="C4303">
        <v>6</v>
      </c>
      <c r="D4303" s="6" t="s">
        <v>4822</v>
      </c>
      <c r="E4303">
        <v>60</v>
      </c>
      <c r="F4303" t="s">
        <v>3465</v>
      </c>
      <c r="G4303">
        <v>30</v>
      </c>
    </row>
    <row r="4304" spans="1:15" x14ac:dyDescent="0.2">
      <c r="A4304" t="s">
        <v>4921</v>
      </c>
      <c r="B4304" t="s">
        <v>4890</v>
      </c>
      <c r="C4304">
        <v>6</v>
      </c>
      <c r="D4304" s="6" t="s">
        <v>4822</v>
      </c>
      <c r="E4304">
        <v>61</v>
      </c>
      <c r="F4304" t="s">
        <v>5117</v>
      </c>
      <c r="G4304">
        <v>40</v>
      </c>
      <c r="I4304">
        <v>346</v>
      </c>
      <c r="K4304">
        <v>320</v>
      </c>
    </row>
    <row r="4305" spans="1:15" x14ac:dyDescent="0.2">
      <c r="A4305" t="s">
        <v>4921</v>
      </c>
      <c r="B4305" t="s">
        <v>4890</v>
      </c>
      <c r="C4305">
        <v>6</v>
      </c>
      <c r="D4305" s="6" t="s">
        <v>4822</v>
      </c>
      <c r="E4305">
        <v>53</v>
      </c>
      <c r="F4305" t="s">
        <v>2588</v>
      </c>
      <c r="G4305" t="s">
        <v>114</v>
      </c>
    </row>
    <row r="4306" spans="1:15" x14ac:dyDescent="0.2">
      <c r="A4306" t="s">
        <v>4921</v>
      </c>
      <c r="B4306" t="s">
        <v>4890</v>
      </c>
      <c r="C4306">
        <v>6</v>
      </c>
      <c r="D4306" s="6" t="s">
        <v>4822</v>
      </c>
      <c r="E4306">
        <v>54</v>
      </c>
      <c r="F4306" t="s">
        <v>2588</v>
      </c>
      <c r="G4306">
        <v>2</v>
      </c>
    </row>
    <row r="4307" spans="1:15" x14ac:dyDescent="0.2">
      <c r="A4307" t="s">
        <v>4921</v>
      </c>
      <c r="B4307" t="s">
        <v>4890</v>
      </c>
      <c r="C4307">
        <v>6</v>
      </c>
      <c r="D4307" s="6" t="s">
        <v>4822</v>
      </c>
      <c r="E4307">
        <v>55</v>
      </c>
      <c r="F4307" t="s">
        <v>2588</v>
      </c>
      <c r="G4307">
        <v>1</v>
      </c>
    </row>
    <row r="4308" spans="1:15" x14ac:dyDescent="0.2">
      <c r="A4308" t="s">
        <v>4921</v>
      </c>
      <c r="B4308" t="s">
        <v>4890</v>
      </c>
      <c r="C4308">
        <v>6</v>
      </c>
      <c r="D4308" s="6" t="s">
        <v>4822</v>
      </c>
      <c r="E4308">
        <v>56</v>
      </c>
      <c r="F4308" t="s">
        <v>2588</v>
      </c>
      <c r="G4308">
        <v>3</v>
      </c>
    </row>
    <row r="4309" spans="1:15" x14ac:dyDescent="0.2">
      <c r="A4309" t="s">
        <v>4921</v>
      </c>
      <c r="B4309" t="s">
        <v>4890</v>
      </c>
      <c r="C4309">
        <v>6</v>
      </c>
      <c r="D4309" s="6" t="s">
        <v>4822</v>
      </c>
      <c r="E4309">
        <v>57</v>
      </c>
      <c r="F4309" t="s">
        <v>2588</v>
      </c>
      <c r="G4309">
        <v>2</v>
      </c>
    </row>
    <row r="4310" spans="1:15" x14ac:dyDescent="0.2">
      <c r="A4310" t="s">
        <v>4921</v>
      </c>
      <c r="B4310" t="s">
        <v>4890</v>
      </c>
      <c r="C4310">
        <v>6</v>
      </c>
      <c r="D4310" s="6" t="s">
        <v>4822</v>
      </c>
      <c r="E4310">
        <v>59</v>
      </c>
      <c r="F4310" t="s">
        <v>2588</v>
      </c>
      <c r="G4310">
        <v>5</v>
      </c>
      <c r="M4310">
        <v>5</v>
      </c>
    </row>
    <row r="4311" spans="1:15" x14ac:dyDescent="0.2">
      <c r="A4311" t="s">
        <v>4921</v>
      </c>
      <c r="B4311" t="s">
        <v>4890</v>
      </c>
      <c r="C4311">
        <v>6</v>
      </c>
      <c r="D4311" s="6" t="s">
        <v>4822</v>
      </c>
      <c r="E4311" t="s">
        <v>5056</v>
      </c>
      <c r="F4311" t="s">
        <v>2588</v>
      </c>
      <c r="G4311">
        <v>1</v>
      </c>
      <c r="M4311">
        <v>2</v>
      </c>
    </row>
    <row r="4312" spans="1:15" x14ac:dyDescent="0.2">
      <c r="A4312" t="s">
        <v>4921</v>
      </c>
      <c r="B4312" t="s">
        <v>4890</v>
      </c>
      <c r="C4312">
        <v>6</v>
      </c>
      <c r="D4312" s="6" t="s">
        <v>4822</v>
      </c>
      <c r="E4312">
        <v>58</v>
      </c>
      <c r="F4312" t="s">
        <v>1425</v>
      </c>
      <c r="G4312">
        <v>4</v>
      </c>
      <c r="M4312">
        <v>5</v>
      </c>
      <c r="O4312" t="s">
        <v>5118</v>
      </c>
    </row>
    <row r="4313" spans="1:15" x14ac:dyDescent="0.2">
      <c r="A4313" t="s">
        <v>4921</v>
      </c>
      <c r="B4313" t="s">
        <v>4890</v>
      </c>
      <c r="C4313">
        <v>6</v>
      </c>
      <c r="D4313" s="6" t="s">
        <v>4822</v>
      </c>
      <c r="E4313">
        <v>62</v>
      </c>
      <c r="F4313" t="s">
        <v>5119</v>
      </c>
      <c r="G4313">
        <f>1594-285</f>
        <v>1309</v>
      </c>
      <c r="O4313" t="s">
        <v>5120</v>
      </c>
    </row>
    <row r="4314" spans="1:15" x14ac:dyDescent="0.2">
      <c r="A4314" t="s">
        <v>4921</v>
      </c>
      <c r="B4314" t="s">
        <v>4890</v>
      </c>
      <c r="C4314">
        <v>6</v>
      </c>
      <c r="D4314" s="6" t="s">
        <v>4822</v>
      </c>
      <c r="E4314">
        <v>24</v>
      </c>
      <c r="F4314" t="s">
        <v>1538</v>
      </c>
      <c r="G4314">
        <v>33</v>
      </c>
    </row>
    <row r="4315" spans="1:15" x14ac:dyDescent="0.2">
      <c r="A4315" t="s">
        <v>4921</v>
      </c>
      <c r="B4315" t="s">
        <v>4890</v>
      </c>
      <c r="C4315">
        <v>6</v>
      </c>
      <c r="D4315" s="6" t="s">
        <v>4822</v>
      </c>
      <c r="E4315">
        <v>25</v>
      </c>
      <c r="F4315" t="s">
        <v>1538</v>
      </c>
      <c r="G4315">
        <v>56</v>
      </c>
    </row>
    <row r="4316" spans="1:15" x14ac:dyDescent="0.2">
      <c r="A4316" t="s">
        <v>4921</v>
      </c>
      <c r="B4316" t="s">
        <v>4890</v>
      </c>
      <c r="C4316">
        <v>6</v>
      </c>
      <c r="D4316" s="6" t="s">
        <v>4822</v>
      </c>
      <c r="E4316">
        <v>26</v>
      </c>
      <c r="F4316" t="s">
        <v>1538</v>
      </c>
      <c r="G4316">
        <v>4</v>
      </c>
    </row>
    <row r="4317" spans="1:15" x14ac:dyDescent="0.2">
      <c r="A4317" t="s">
        <v>4921</v>
      </c>
      <c r="B4317" t="s">
        <v>4890</v>
      </c>
      <c r="C4317">
        <v>6</v>
      </c>
      <c r="D4317" s="6" t="s">
        <v>4822</v>
      </c>
      <c r="E4317">
        <v>27</v>
      </c>
      <c r="F4317" t="s">
        <v>1538</v>
      </c>
      <c r="G4317">
        <v>4</v>
      </c>
    </row>
    <row r="4318" spans="1:15" x14ac:dyDescent="0.2">
      <c r="A4318" t="s">
        <v>4921</v>
      </c>
      <c r="B4318" t="s">
        <v>4890</v>
      </c>
      <c r="C4318">
        <v>6</v>
      </c>
      <c r="D4318" s="6" t="s">
        <v>4822</v>
      </c>
      <c r="E4318">
        <v>28</v>
      </c>
      <c r="F4318" t="s">
        <v>1538</v>
      </c>
      <c r="G4318">
        <v>1</v>
      </c>
    </row>
    <row r="4319" spans="1:15" x14ac:dyDescent="0.2">
      <c r="A4319" t="s">
        <v>4921</v>
      </c>
      <c r="B4319" t="s">
        <v>4890</v>
      </c>
      <c r="C4319">
        <v>6</v>
      </c>
      <c r="D4319" s="6" t="s">
        <v>4822</v>
      </c>
      <c r="E4319">
        <v>29</v>
      </c>
      <c r="F4319" t="s">
        <v>1538</v>
      </c>
      <c r="G4319">
        <v>25</v>
      </c>
      <c r="M4319">
        <v>5</v>
      </c>
    </row>
    <row r="4320" spans="1:15" x14ac:dyDescent="0.2">
      <c r="A4320" t="s">
        <v>4921</v>
      </c>
      <c r="B4320" t="s">
        <v>4890</v>
      </c>
      <c r="C4320">
        <v>6</v>
      </c>
      <c r="D4320" s="6" t="s">
        <v>4822</v>
      </c>
      <c r="E4320" t="s">
        <v>5056</v>
      </c>
      <c r="F4320" t="s">
        <v>1538</v>
      </c>
      <c r="G4320">
        <v>46</v>
      </c>
      <c r="M4320">
        <v>11</v>
      </c>
    </row>
    <row r="4321" spans="1:15" x14ac:dyDescent="0.2">
      <c r="A4321" t="s">
        <v>4921</v>
      </c>
      <c r="B4321" t="s">
        <v>4890</v>
      </c>
      <c r="C4321">
        <v>6</v>
      </c>
      <c r="D4321" s="6" t="s">
        <v>4822</v>
      </c>
      <c r="E4321">
        <v>53</v>
      </c>
      <c r="F4321" t="s">
        <v>5121</v>
      </c>
      <c r="G4321">
        <v>1</v>
      </c>
      <c r="O4321" t="s">
        <v>6242</v>
      </c>
    </row>
    <row r="4322" spans="1:15" x14ac:dyDescent="0.2">
      <c r="A4322" t="s">
        <v>4921</v>
      </c>
      <c r="B4322" t="s">
        <v>4890</v>
      </c>
      <c r="C4322">
        <v>6</v>
      </c>
      <c r="D4322" s="6" t="s">
        <v>4822</v>
      </c>
      <c r="E4322">
        <v>38</v>
      </c>
      <c r="F4322" t="s">
        <v>5122</v>
      </c>
      <c r="G4322">
        <v>2</v>
      </c>
      <c r="M4322">
        <v>3</v>
      </c>
    </row>
    <row r="4323" spans="1:15" x14ac:dyDescent="0.2">
      <c r="A4323" t="s">
        <v>4921</v>
      </c>
      <c r="B4323" t="s">
        <v>4890</v>
      </c>
      <c r="C4323">
        <v>6</v>
      </c>
      <c r="D4323" s="6" t="s">
        <v>4822</v>
      </c>
      <c r="E4323">
        <v>13</v>
      </c>
      <c r="F4323" t="s">
        <v>1559</v>
      </c>
      <c r="G4323">
        <v>5</v>
      </c>
    </row>
    <row r="4324" spans="1:15" x14ac:dyDescent="0.2">
      <c r="A4324" t="s">
        <v>4921</v>
      </c>
      <c r="B4324" t="s">
        <v>4890</v>
      </c>
      <c r="C4324">
        <v>6</v>
      </c>
      <c r="D4324" s="6" t="s">
        <v>4822</v>
      </c>
      <c r="E4324">
        <v>14</v>
      </c>
      <c r="F4324" t="s">
        <v>1559</v>
      </c>
      <c r="G4324">
        <v>4</v>
      </c>
    </row>
    <row r="4325" spans="1:15" x14ac:dyDescent="0.2">
      <c r="A4325" t="s">
        <v>4921</v>
      </c>
      <c r="B4325" t="s">
        <v>4890</v>
      </c>
      <c r="C4325">
        <v>6</v>
      </c>
      <c r="D4325" s="6" t="s">
        <v>4822</v>
      </c>
      <c r="E4325">
        <v>15</v>
      </c>
      <c r="F4325" t="s">
        <v>1559</v>
      </c>
      <c r="G4325">
        <v>2</v>
      </c>
    </row>
    <row r="4326" spans="1:15" x14ac:dyDescent="0.2">
      <c r="A4326" t="s">
        <v>4921</v>
      </c>
      <c r="B4326" t="s">
        <v>4890</v>
      </c>
      <c r="C4326">
        <v>6</v>
      </c>
      <c r="D4326" s="6" t="s">
        <v>4822</v>
      </c>
      <c r="E4326">
        <v>30</v>
      </c>
      <c r="F4326" t="s">
        <v>1559</v>
      </c>
      <c r="G4326">
        <v>2</v>
      </c>
    </row>
    <row r="4327" spans="1:15" x14ac:dyDescent="0.2">
      <c r="A4327" t="s">
        <v>4921</v>
      </c>
      <c r="B4327" t="s">
        <v>4890</v>
      </c>
      <c r="C4327">
        <v>6</v>
      </c>
      <c r="D4327" s="6" t="s">
        <v>4822</v>
      </c>
      <c r="E4327">
        <v>37</v>
      </c>
      <c r="F4327" t="s">
        <v>1559</v>
      </c>
      <c r="G4327">
        <v>5</v>
      </c>
    </row>
    <row r="4328" spans="1:15" x14ac:dyDescent="0.2">
      <c r="A4328" t="s">
        <v>4921</v>
      </c>
      <c r="B4328" t="s">
        <v>4890</v>
      </c>
      <c r="C4328">
        <v>6</v>
      </c>
      <c r="D4328" s="6" t="s">
        <v>4822</v>
      </c>
      <c r="E4328">
        <v>63</v>
      </c>
      <c r="F4328" t="s">
        <v>1559</v>
      </c>
      <c r="G4328">
        <v>3</v>
      </c>
      <c r="M4328">
        <v>3</v>
      </c>
    </row>
    <row r="4329" spans="1:15" x14ac:dyDescent="0.2">
      <c r="A4329" t="s">
        <v>4921</v>
      </c>
      <c r="B4329" t="s">
        <v>4890</v>
      </c>
      <c r="C4329">
        <v>6</v>
      </c>
      <c r="D4329" s="6" t="s">
        <v>4822</v>
      </c>
      <c r="E4329">
        <v>50</v>
      </c>
      <c r="F4329" t="s">
        <v>112</v>
      </c>
      <c r="G4329">
        <v>123</v>
      </c>
      <c r="O4329" t="s">
        <v>5123</v>
      </c>
    </row>
    <row r="4330" spans="1:15" x14ac:dyDescent="0.2">
      <c r="A4330" t="s">
        <v>4921</v>
      </c>
      <c r="B4330" t="s">
        <v>4890</v>
      </c>
      <c r="C4330">
        <v>6</v>
      </c>
      <c r="D4330" s="6" t="s">
        <v>4822</v>
      </c>
      <c r="E4330">
        <v>46</v>
      </c>
      <c r="F4330" t="s">
        <v>871</v>
      </c>
      <c r="G4330">
        <v>31</v>
      </c>
      <c r="O4330" t="s">
        <v>5124</v>
      </c>
    </row>
    <row r="4331" spans="1:15" x14ac:dyDescent="0.2">
      <c r="A4331" t="s">
        <v>4921</v>
      </c>
      <c r="B4331" t="s">
        <v>4890</v>
      </c>
      <c r="C4331">
        <v>6</v>
      </c>
      <c r="D4331" s="6" t="s">
        <v>4822</v>
      </c>
      <c r="E4331">
        <v>49</v>
      </c>
      <c r="F4331" t="s">
        <v>5125</v>
      </c>
      <c r="G4331">
        <v>9</v>
      </c>
    </row>
    <row r="4332" spans="1:15" x14ac:dyDescent="0.2">
      <c r="A4332" t="s">
        <v>4921</v>
      </c>
      <c r="B4332" t="s">
        <v>4890</v>
      </c>
      <c r="C4332">
        <v>6</v>
      </c>
      <c r="D4332" s="6" t="s">
        <v>4822</v>
      </c>
      <c r="E4332">
        <v>48</v>
      </c>
      <c r="F4332" t="s">
        <v>3875</v>
      </c>
      <c r="G4332">
        <v>27</v>
      </c>
    </row>
    <row r="4333" spans="1:15" x14ac:dyDescent="0.2">
      <c r="A4333" t="s">
        <v>4921</v>
      </c>
      <c r="B4333" t="s">
        <v>4890</v>
      </c>
      <c r="C4333">
        <v>6</v>
      </c>
      <c r="D4333" s="6" t="s">
        <v>4822</v>
      </c>
      <c r="E4333">
        <v>47</v>
      </c>
      <c r="F4333" t="s">
        <v>5705</v>
      </c>
      <c r="G4333">
        <v>62</v>
      </c>
    </row>
    <row r="4334" spans="1:15" x14ac:dyDescent="0.2">
      <c r="A4334" t="s">
        <v>4921</v>
      </c>
      <c r="B4334" t="s">
        <v>4890</v>
      </c>
      <c r="C4334">
        <v>6</v>
      </c>
      <c r="D4334" s="6" t="s">
        <v>4822</v>
      </c>
      <c r="E4334">
        <v>51</v>
      </c>
      <c r="F4334" t="s">
        <v>2553</v>
      </c>
      <c r="G4334" t="s">
        <v>114</v>
      </c>
      <c r="O4334" t="s">
        <v>5126</v>
      </c>
    </row>
    <row r="4335" spans="1:15" x14ac:dyDescent="0.2">
      <c r="A4335" t="s">
        <v>4921</v>
      </c>
      <c r="B4335" t="s">
        <v>4890</v>
      </c>
      <c r="C4335">
        <v>6</v>
      </c>
      <c r="D4335" s="6" t="s">
        <v>4822</v>
      </c>
      <c r="E4335" t="s">
        <v>5056</v>
      </c>
      <c r="F4335" t="s">
        <v>5127</v>
      </c>
      <c r="G4335">
        <v>7</v>
      </c>
    </row>
    <row r="4336" spans="1:15" x14ac:dyDescent="0.2">
      <c r="A4336" t="s">
        <v>4921</v>
      </c>
      <c r="B4336" t="s">
        <v>4890</v>
      </c>
      <c r="C4336">
        <v>6</v>
      </c>
      <c r="D4336" s="6" t="s">
        <v>4822</v>
      </c>
      <c r="E4336">
        <v>45</v>
      </c>
      <c r="F4336" t="s">
        <v>3962</v>
      </c>
      <c r="G4336">
        <v>18</v>
      </c>
    </row>
    <row r="4337" spans="1:15" x14ac:dyDescent="0.2">
      <c r="A4337" t="s">
        <v>4921</v>
      </c>
      <c r="B4337" t="s">
        <v>4890</v>
      </c>
      <c r="C4337">
        <v>6</v>
      </c>
      <c r="D4337" s="6" t="s">
        <v>4822</v>
      </c>
      <c r="E4337">
        <v>39</v>
      </c>
      <c r="F4337" t="s">
        <v>3023</v>
      </c>
      <c r="G4337">
        <v>2</v>
      </c>
    </row>
    <row r="4338" spans="1:15" x14ac:dyDescent="0.2">
      <c r="A4338" t="s">
        <v>4921</v>
      </c>
      <c r="B4338" t="s">
        <v>4890</v>
      </c>
      <c r="C4338">
        <v>6</v>
      </c>
      <c r="D4338" s="6" t="s">
        <v>4822</v>
      </c>
      <c r="E4338">
        <v>40</v>
      </c>
      <c r="F4338" t="s">
        <v>3023</v>
      </c>
      <c r="G4338">
        <v>2</v>
      </c>
    </row>
    <row r="4339" spans="1:15" x14ac:dyDescent="0.2">
      <c r="A4339" t="s">
        <v>4921</v>
      </c>
      <c r="B4339" t="s">
        <v>4890</v>
      </c>
      <c r="C4339">
        <v>6</v>
      </c>
      <c r="D4339" s="6" t="s">
        <v>4822</v>
      </c>
      <c r="E4339">
        <v>41</v>
      </c>
      <c r="F4339" t="s">
        <v>3023</v>
      </c>
      <c r="G4339">
        <v>1</v>
      </c>
    </row>
    <row r="4340" spans="1:15" x14ac:dyDescent="0.2">
      <c r="A4340" t="s">
        <v>4921</v>
      </c>
      <c r="B4340" t="s">
        <v>4890</v>
      </c>
      <c r="C4340">
        <v>6</v>
      </c>
      <c r="D4340" s="6" t="s">
        <v>4822</v>
      </c>
      <c r="E4340">
        <v>42</v>
      </c>
      <c r="F4340" t="s">
        <v>3023</v>
      </c>
      <c r="G4340">
        <v>3</v>
      </c>
    </row>
    <row r="4341" spans="1:15" x14ac:dyDescent="0.2">
      <c r="A4341" t="s">
        <v>4921</v>
      </c>
      <c r="B4341" t="s">
        <v>4890</v>
      </c>
      <c r="C4341">
        <v>6</v>
      </c>
      <c r="D4341" s="6" t="s">
        <v>4822</v>
      </c>
      <c r="E4341">
        <v>43</v>
      </c>
      <c r="F4341" t="s">
        <v>3023</v>
      </c>
      <c r="G4341">
        <v>1</v>
      </c>
    </row>
    <row r="4342" spans="1:15" x14ac:dyDescent="0.2">
      <c r="A4342" t="s">
        <v>4921</v>
      </c>
      <c r="B4342" t="s">
        <v>4890</v>
      </c>
      <c r="C4342">
        <v>6</v>
      </c>
      <c r="D4342" s="6" t="s">
        <v>4822</v>
      </c>
      <c r="E4342">
        <v>44</v>
      </c>
      <c r="F4342" t="s">
        <v>3023</v>
      </c>
      <c r="G4342">
        <v>7</v>
      </c>
      <c r="M4342">
        <v>5</v>
      </c>
    </row>
    <row r="4343" spans="1:15" x14ac:dyDescent="0.2">
      <c r="A4343" t="s">
        <v>4921</v>
      </c>
      <c r="B4343" t="s">
        <v>4890</v>
      </c>
      <c r="C4343">
        <v>6</v>
      </c>
      <c r="D4343" s="6" t="s">
        <v>4822</v>
      </c>
      <c r="E4343" t="s">
        <v>5056</v>
      </c>
      <c r="F4343" t="s">
        <v>3023</v>
      </c>
      <c r="G4343">
        <v>14</v>
      </c>
      <c r="M4343">
        <v>11</v>
      </c>
    </row>
    <row r="4344" spans="1:15" x14ac:dyDescent="0.2">
      <c r="A4344" t="s">
        <v>4921</v>
      </c>
      <c r="B4344" t="s">
        <v>4890</v>
      </c>
      <c r="C4344">
        <v>6</v>
      </c>
      <c r="D4344" s="6" t="s">
        <v>4822</v>
      </c>
      <c r="E4344">
        <v>52</v>
      </c>
      <c r="F4344" t="s">
        <v>698</v>
      </c>
      <c r="G4344">
        <v>1</v>
      </c>
      <c r="M4344">
        <v>4</v>
      </c>
    </row>
    <row r="4345" spans="1:15" x14ac:dyDescent="0.2">
      <c r="A4345" t="s">
        <v>4921</v>
      </c>
      <c r="B4345" t="s">
        <v>4890</v>
      </c>
      <c r="C4345">
        <v>1</v>
      </c>
      <c r="D4345" s="6" t="s">
        <v>4822</v>
      </c>
      <c r="E4345" t="s">
        <v>5056</v>
      </c>
      <c r="F4345" t="s">
        <v>1264</v>
      </c>
      <c r="G4345">
        <f>26600-1800</f>
        <v>24800</v>
      </c>
    </row>
    <row r="4346" spans="1:15" x14ac:dyDescent="0.2">
      <c r="A4346" t="s">
        <v>4921</v>
      </c>
      <c r="B4346" t="s">
        <v>4890</v>
      </c>
      <c r="C4346">
        <v>1</v>
      </c>
      <c r="D4346" s="6" t="s">
        <v>4822</v>
      </c>
      <c r="E4346" t="s">
        <v>5130</v>
      </c>
      <c r="F4346" t="s">
        <v>998</v>
      </c>
      <c r="G4346">
        <f>3700-587</f>
        <v>3113</v>
      </c>
    </row>
    <row r="4347" spans="1:15" x14ac:dyDescent="0.2">
      <c r="A4347" t="s">
        <v>4921</v>
      </c>
      <c r="B4347" t="s">
        <v>4890</v>
      </c>
      <c r="C4347">
        <v>1</v>
      </c>
      <c r="D4347" s="6" t="s">
        <v>4822</v>
      </c>
      <c r="E4347" t="s">
        <v>5130</v>
      </c>
      <c r="F4347" t="s">
        <v>112</v>
      </c>
      <c r="G4347">
        <v>113</v>
      </c>
      <c r="M4347">
        <v>15</v>
      </c>
    </row>
    <row r="4348" spans="1:15" x14ac:dyDescent="0.2">
      <c r="A4348" t="s">
        <v>4921</v>
      </c>
      <c r="B4348" t="s">
        <v>4890</v>
      </c>
      <c r="C4348">
        <v>1</v>
      </c>
      <c r="D4348" s="6" t="s">
        <v>4822</v>
      </c>
      <c r="E4348" t="s">
        <v>5056</v>
      </c>
      <c r="F4348" t="s">
        <v>5128</v>
      </c>
      <c r="G4348">
        <f>552-345</f>
        <v>207</v>
      </c>
    </row>
    <row r="4349" spans="1:15" x14ac:dyDescent="0.2">
      <c r="A4349" t="s">
        <v>4921</v>
      </c>
      <c r="B4349" t="s">
        <v>4890</v>
      </c>
      <c r="C4349">
        <v>1</v>
      </c>
      <c r="D4349" s="6" t="s">
        <v>4822</v>
      </c>
      <c r="E4349" t="s">
        <v>5130</v>
      </c>
      <c r="F4349" t="s">
        <v>3875</v>
      </c>
      <c r="G4349">
        <v>158</v>
      </c>
    </row>
    <row r="4350" spans="1:15" x14ac:dyDescent="0.2">
      <c r="A4350" t="s">
        <v>4921</v>
      </c>
      <c r="B4350" t="s">
        <v>4890</v>
      </c>
      <c r="C4350">
        <v>1</v>
      </c>
      <c r="D4350" s="6" t="s">
        <v>4822</v>
      </c>
      <c r="E4350" t="s">
        <v>5130</v>
      </c>
      <c r="F4350" t="s">
        <v>871</v>
      </c>
      <c r="G4350">
        <v>17</v>
      </c>
      <c r="O4350" t="s">
        <v>5129</v>
      </c>
    </row>
    <row r="4351" spans="1:15" x14ac:dyDescent="0.2">
      <c r="A4351" t="s">
        <v>4924</v>
      </c>
      <c r="B4351" t="s">
        <v>4891</v>
      </c>
      <c r="C4351">
        <v>2</v>
      </c>
      <c r="D4351" s="6" t="s">
        <v>4925</v>
      </c>
      <c r="E4351" s="8" t="s">
        <v>5081</v>
      </c>
      <c r="F4351" t="s">
        <v>1264</v>
      </c>
      <c r="G4351">
        <f>0.765-0.261</f>
        <v>0.504</v>
      </c>
      <c r="O4351" t="s">
        <v>5164</v>
      </c>
    </row>
    <row r="4352" spans="1:15" x14ac:dyDescent="0.2">
      <c r="A4352" t="s">
        <v>4924</v>
      </c>
      <c r="B4352" t="s">
        <v>4891</v>
      </c>
      <c r="C4352">
        <v>2</v>
      </c>
      <c r="D4352" s="6" t="s">
        <v>4925</v>
      </c>
      <c r="E4352" s="24" t="s">
        <v>5139</v>
      </c>
      <c r="F4352" t="s">
        <v>5163</v>
      </c>
      <c r="G4352">
        <f>0.418-0.285</f>
        <v>0.13300000000000001</v>
      </c>
      <c r="O4352" t="s">
        <v>5165</v>
      </c>
    </row>
    <row r="4353" spans="1:17" x14ac:dyDescent="0.2">
      <c r="A4353" t="s">
        <v>4924</v>
      </c>
      <c r="B4353" t="s">
        <v>4891</v>
      </c>
      <c r="C4353">
        <v>2</v>
      </c>
      <c r="D4353" s="6" t="s">
        <v>4925</v>
      </c>
      <c r="E4353" s="8" t="s">
        <v>5140</v>
      </c>
      <c r="F4353" t="s">
        <v>1389</v>
      </c>
      <c r="G4353">
        <v>10</v>
      </c>
      <c r="Q4353" t="s">
        <v>6637</v>
      </c>
    </row>
    <row r="4354" spans="1:17" x14ac:dyDescent="0.2">
      <c r="A4354" t="s">
        <v>4924</v>
      </c>
      <c r="B4354" t="s">
        <v>4891</v>
      </c>
      <c r="C4354">
        <v>2</v>
      </c>
      <c r="D4354" s="6" t="s">
        <v>4925</v>
      </c>
      <c r="E4354" s="8" t="s">
        <v>5141</v>
      </c>
      <c r="F4354" t="s">
        <v>1389</v>
      </c>
      <c r="G4354">
        <v>5</v>
      </c>
      <c r="Q4354" t="s">
        <v>6636</v>
      </c>
    </row>
    <row r="4355" spans="1:17" x14ac:dyDescent="0.2">
      <c r="A4355" t="s">
        <v>4924</v>
      </c>
      <c r="B4355" t="s">
        <v>4891</v>
      </c>
      <c r="C4355">
        <v>2</v>
      </c>
      <c r="D4355" s="6" t="s">
        <v>4925</v>
      </c>
      <c r="E4355" s="8" t="s">
        <v>5142</v>
      </c>
      <c r="F4355" t="s">
        <v>1389</v>
      </c>
      <c r="G4355">
        <v>3</v>
      </c>
      <c r="Q4355" t="s">
        <v>6635</v>
      </c>
    </row>
    <row r="4356" spans="1:17" x14ac:dyDescent="0.2">
      <c r="A4356" t="s">
        <v>4924</v>
      </c>
      <c r="B4356" t="s">
        <v>4891</v>
      </c>
      <c r="C4356">
        <v>2</v>
      </c>
      <c r="D4356" s="6" t="s">
        <v>4925</v>
      </c>
      <c r="E4356" s="8" t="s">
        <v>5143</v>
      </c>
      <c r="F4356" t="s">
        <v>1389</v>
      </c>
      <c r="G4356">
        <v>1</v>
      </c>
      <c r="Q4356" t="s">
        <v>6634</v>
      </c>
    </row>
    <row r="4357" spans="1:17" x14ac:dyDescent="0.2">
      <c r="A4357" t="s">
        <v>4924</v>
      </c>
      <c r="B4357" t="s">
        <v>4891</v>
      </c>
      <c r="C4357">
        <v>2</v>
      </c>
      <c r="D4357" s="6" t="s">
        <v>4925</v>
      </c>
      <c r="E4357" s="8" t="s">
        <v>5144</v>
      </c>
      <c r="F4357" t="s">
        <v>1389</v>
      </c>
      <c r="G4357" t="s">
        <v>114</v>
      </c>
      <c r="Q4357" t="s">
        <v>6633</v>
      </c>
    </row>
    <row r="4358" spans="1:17" x14ac:dyDescent="0.2">
      <c r="A4358" t="s">
        <v>4924</v>
      </c>
      <c r="B4358" t="s">
        <v>4891</v>
      </c>
      <c r="C4358">
        <v>2</v>
      </c>
      <c r="D4358" s="6" t="s">
        <v>4925</v>
      </c>
      <c r="E4358" s="8" t="s">
        <v>5145</v>
      </c>
      <c r="F4358" t="s">
        <v>1389</v>
      </c>
      <c r="G4358">
        <v>15</v>
      </c>
      <c r="M4358">
        <v>6</v>
      </c>
    </row>
    <row r="4359" spans="1:17" x14ac:dyDescent="0.2">
      <c r="A4359" t="s">
        <v>4924</v>
      </c>
      <c r="B4359" t="s">
        <v>4891</v>
      </c>
      <c r="C4359">
        <v>2</v>
      </c>
      <c r="D4359" s="6" t="s">
        <v>4925</v>
      </c>
      <c r="E4359" s="8" t="s">
        <v>5146</v>
      </c>
      <c r="F4359" t="s">
        <v>5930</v>
      </c>
      <c r="G4359">
        <v>1</v>
      </c>
      <c r="Q4359" t="s">
        <v>6212</v>
      </c>
    </row>
    <row r="4360" spans="1:17" x14ac:dyDescent="0.2">
      <c r="A4360" t="s">
        <v>4924</v>
      </c>
      <c r="B4360" t="s">
        <v>4891</v>
      </c>
      <c r="C4360">
        <v>2</v>
      </c>
      <c r="D4360" s="6" t="s">
        <v>4925</v>
      </c>
      <c r="E4360" s="8" t="s">
        <v>5147</v>
      </c>
      <c r="F4360" t="s">
        <v>1311</v>
      </c>
      <c r="G4360">
        <v>4</v>
      </c>
      <c r="Q4360" t="s">
        <v>6647</v>
      </c>
    </row>
    <row r="4361" spans="1:17" x14ac:dyDescent="0.2">
      <c r="A4361" t="s">
        <v>4924</v>
      </c>
      <c r="B4361" t="s">
        <v>4891</v>
      </c>
      <c r="C4361">
        <v>2</v>
      </c>
      <c r="D4361" s="6" t="s">
        <v>4925</v>
      </c>
      <c r="E4361" s="8" t="s">
        <v>5148</v>
      </c>
      <c r="F4361" t="s">
        <v>1311</v>
      </c>
      <c r="G4361">
        <v>3</v>
      </c>
      <c r="Q4361" t="s">
        <v>6646</v>
      </c>
    </row>
    <row r="4362" spans="1:17" x14ac:dyDescent="0.2">
      <c r="A4362" t="s">
        <v>4924</v>
      </c>
      <c r="B4362" t="s">
        <v>4891</v>
      </c>
      <c r="C4362">
        <v>2</v>
      </c>
      <c r="D4362" s="6" t="s">
        <v>4925</v>
      </c>
      <c r="E4362" s="8" t="s">
        <v>5149</v>
      </c>
      <c r="F4362" t="s">
        <v>1311</v>
      </c>
      <c r="G4362">
        <v>3</v>
      </c>
      <c r="Q4362" t="s">
        <v>6645</v>
      </c>
    </row>
    <row r="4363" spans="1:17" x14ac:dyDescent="0.2">
      <c r="A4363" t="s">
        <v>4924</v>
      </c>
      <c r="B4363" t="s">
        <v>4891</v>
      </c>
      <c r="C4363">
        <v>2</v>
      </c>
      <c r="D4363" s="6" t="s">
        <v>4925</v>
      </c>
      <c r="E4363" s="8" t="s">
        <v>5150</v>
      </c>
      <c r="F4363" t="s">
        <v>1311</v>
      </c>
      <c r="G4363">
        <v>2</v>
      </c>
      <c r="Q4363" t="s">
        <v>6644</v>
      </c>
    </row>
    <row r="4364" spans="1:17" x14ac:dyDescent="0.2">
      <c r="A4364" t="s">
        <v>4924</v>
      </c>
      <c r="B4364" t="s">
        <v>4891</v>
      </c>
      <c r="C4364">
        <v>2</v>
      </c>
      <c r="D4364" s="6" t="s">
        <v>4925</v>
      </c>
      <c r="E4364" s="8" t="s">
        <v>5151</v>
      </c>
      <c r="F4364" t="s">
        <v>1311</v>
      </c>
      <c r="G4364">
        <v>2</v>
      </c>
      <c r="Q4364" t="s">
        <v>6643</v>
      </c>
    </row>
    <row r="4365" spans="1:17" x14ac:dyDescent="0.2">
      <c r="A4365" t="s">
        <v>4924</v>
      </c>
      <c r="B4365" t="s">
        <v>4891</v>
      </c>
      <c r="C4365">
        <v>2</v>
      </c>
      <c r="D4365" s="6" t="s">
        <v>4925</v>
      </c>
      <c r="E4365" s="8" t="s">
        <v>5152</v>
      </c>
      <c r="F4365" t="s">
        <v>1311</v>
      </c>
      <c r="G4365">
        <v>5</v>
      </c>
      <c r="M4365">
        <v>2</v>
      </c>
    </row>
    <row r="4366" spans="1:17" x14ac:dyDescent="0.2">
      <c r="A4366" t="s">
        <v>4924</v>
      </c>
      <c r="B4366" t="s">
        <v>4891</v>
      </c>
      <c r="C4366">
        <v>2</v>
      </c>
      <c r="D4366" s="6" t="s">
        <v>4925</v>
      </c>
      <c r="E4366" s="8" t="s">
        <v>5153</v>
      </c>
      <c r="F4366" t="s">
        <v>1425</v>
      </c>
      <c r="G4366">
        <v>1</v>
      </c>
      <c r="Q4366" t="s">
        <v>6642</v>
      </c>
    </row>
    <row r="4367" spans="1:17" x14ac:dyDescent="0.2">
      <c r="A4367" t="s">
        <v>4924</v>
      </c>
      <c r="B4367" t="s">
        <v>4891</v>
      </c>
      <c r="C4367">
        <v>2</v>
      </c>
      <c r="D4367" s="6" t="s">
        <v>4925</v>
      </c>
      <c r="E4367" s="8" t="s">
        <v>5154</v>
      </c>
      <c r="F4367" t="s">
        <v>1425</v>
      </c>
      <c r="G4367">
        <v>4</v>
      </c>
      <c r="Q4367" t="s">
        <v>6641</v>
      </c>
    </row>
    <row r="4368" spans="1:17" x14ac:dyDescent="0.2">
      <c r="A4368" t="s">
        <v>4924</v>
      </c>
      <c r="B4368" t="s">
        <v>4891</v>
      </c>
      <c r="C4368">
        <v>2</v>
      </c>
      <c r="D4368" s="6" t="s">
        <v>4925</v>
      </c>
      <c r="E4368" s="8" t="s">
        <v>5155</v>
      </c>
      <c r="F4368" t="s">
        <v>1425</v>
      </c>
      <c r="G4368">
        <v>7</v>
      </c>
      <c r="Q4368" t="s">
        <v>6640</v>
      </c>
    </row>
    <row r="4369" spans="1:17" x14ac:dyDescent="0.2">
      <c r="A4369" t="s">
        <v>4924</v>
      </c>
      <c r="B4369" t="s">
        <v>4891</v>
      </c>
      <c r="C4369">
        <v>2</v>
      </c>
      <c r="D4369" s="6" t="s">
        <v>4925</v>
      </c>
      <c r="E4369" s="8" t="s">
        <v>5156</v>
      </c>
      <c r="F4369" t="s">
        <v>1425</v>
      </c>
      <c r="G4369">
        <v>5</v>
      </c>
      <c r="Q4369" t="s">
        <v>6639</v>
      </c>
    </row>
    <row r="4370" spans="1:17" x14ac:dyDescent="0.2">
      <c r="A4370" t="s">
        <v>4924</v>
      </c>
      <c r="B4370" t="s">
        <v>4891</v>
      </c>
      <c r="C4370">
        <v>2</v>
      </c>
      <c r="D4370" s="6" t="s">
        <v>4925</v>
      </c>
      <c r="E4370" s="8" t="s">
        <v>5157</v>
      </c>
      <c r="F4370" t="s">
        <v>1425</v>
      </c>
      <c r="G4370">
        <v>16</v>
      </c>
      <c r="Q4370" t="s">
        <v>6638</v>
      </c>
    </row>
    <row r="4371" spans="1:17" x14ac:dyDescent="0.2">
      <c r="A4371" t="s">
        <v>4924</v>
      </c>
      <c r="B4371" t="s">
        <v>4891</v>
      </c>
      <c r="C4371">
        <v>2</v>
      </c>
      <c r="D4371" s="6" t="s">
        <v>4925</v>
      </c>
      <c r="E4371" s="8" t="s">
        <v>5158</v>
      </c>
      <c r="F4371" t="s">
        <v>1425</v>
      </c>
      <c r="G4371">
        <v>13</v>
      </c>
      <c r="M4371">
        <v>3</v>
      </c>
    </row>
    <row r="4372" spans="1:17" x14ac:dyDescent="0.2">
      <c r="A4372" t="s">
        <v>4924</v>
      </c>
      <c r="B4372" t="s">
        <v>4891</v>
      </c>
      <c r="C4372">
        <v>2</v>
      </c>
      <c r="D4372" s="6" t="s">
        <v>4925</v>
      </c>
      <c r="E4372" s="8" t="s">
        <v>5159</v>
      </c>
      <c r="F4372" t="s">
        <v>1559</v>
      </c>
      <c r="G4372">
        <v>1</v>
      </c>
      <c r="Q4372" t="s">
        <v>6648</v>
      </c>
    </row>
    <row r="4373" spans="1:17" x14ac:dyDescent="0.2">
      <c r="A4373" t="s">
        <v>4924</v>
      </c>
      <c r="B4373" t="s">
        <v>4891</v>
      </c>
      <c r="C4373">
        <v>2</v>
      </c>
      <c r="D4373" s="6" t="s">
        <v>4925</v>
      </c>
      <c r="E4373" s="8" t="s">
        <v>5160</v>
      </c>
      <c r="F4373" t="s">
        <v>1559</v>
      </c>
      <c r="G4373" t="s">
        <v>114</v>
      </c>
      <c r="Q4373" t="s">
        <v>6649</v>
      </c>
    </row>
    <row r="4374" spans="1:17" x14ac:dyDescent="0.2">
      <c r="A4374" t="s">
        <v>4924</v>
      </c>
      <c r="B4374" t="s">
        <v>4891</v>
      </c>
      <c r="C4374">
        <v>2</v>
      </c>
      <c r="D4374" s="6" t="s">
        <v>4925</v>
      </c>
      <c r="E4374" s="8" t="s">
        <v>5161</v>
      </c>
      <c r="F4374" t="s">
        <v>1559</v>
      </c>
      <c r="G4374" t="s">
        <v>114</v>
      </c>
      <c r="Q4374" t="s">
        <v>6650</v>
      </c>
    </row>
    <row r="4375" spans="1:17" x14ac:dyDescent="0.2">
      <c r="A4375" t="s">
        <v>4924</v>
      </c>
      <c r="B4375" t="s">
        <v>4891</v>
      </c>
      <c r="C4375">
        <v>2</v>
      </c>
      <c r="D4375" s="6" t="s">
        <v>4925</v>
      </c>
      <c r="E4375" s="8" t="s">
        <v>5162</v>
      </c>
      <c r="F4375" t="s">
        <v>698</v>
      </c>
      <c r="G4375" t="s">
        <v>114</v>
      </c>
      <c r="Q4375" t="s">
        <v>6651</v>
      </c>
    </row>
    <row r="4376" spans="1:17" x14ac:dyDescent="0.2">
      <c r="A4376" t="s">
        <v>4924</v>
      </c>
      <c r="B4376" t="s">
        <v>4891</v>
      </c>
      <c r="C4376">
        <v>2</v>
      </c>
      <c r="D4376" s="6" t="s">
        <v>4925</v>
      </c>
      <c r="E4376" s="8" t="s">
        <v>5082</v>
      </c>
      <c r="F4376" t="s">
        <v>6654</v>
      </c>
      <c r="G4376">
        <v>197</v>
      </c>
      <c r="Q4376" t="s">
        <v>6652</v>
      </c>
    </row>
    <row r="4377" spans="1:17" x14ac:dyDescent="0.2">
      <c r="A4377" t="s">
        <v>4924</v>
      </c>
      <c r="B4377" t="s">
        <v>4891</v>
      </c>
      <c r="C4377">
        <v>2</v>
      </c>
      <c r="D4377" s="6" t="s">
        <v>4925</v>
      </c>
      <c r="E4377" s="8" t="s">
        <v>5089</v>
      </c>
      <c r="F4377" t="s">
        <v>6654</v>
      </c>
      <c r="G4377">
        <v>27</v>
      </c>
      <c r="Q4377" t="s">
        <v>6653</v>
      </c>
    </row>
    <row r="4378" spans="1:17" x14ac:dyDescent="0.2">
      <c r="A4378" t="s">
        <v>4924</v>
      </c>
      <c r="B4378" t="s">
        <v>4891</v>
      </c>
      <c r="C4378">
        <v>2</v>
      </c>
      <c r="D4378" s="6" t="s">
        <v>4925</v>
      </c>
      <c r="E4378" s="8" t="s">
        <v>5090</v>
      </c>
      <c r="F4378" t="s">
        <v>1538</v>
      </c>
      <c r="G4378">
        <v>25</v>
      </c>
      <c r="Q4378" t="s">
        <v>6665</v>
      </c>
    </row>
    <row r="4379" spans="1:17" x14ac:dyDescent="0.2">
      <c r="A4379" t="s">
        <v>4924</v>
      </c>
      <c r="B4379" t="s">
        <v>4891</v>
      </c>
      <c r="C4379">
        <v>2</v>
      </c>
      <c r="D4379" s="6" t="s">
        <v>4925</v>
      </c>
      <c r="E4379" s="8" t="s">
        <v>5091</v>
      </c>
      <c r="F4379" t="s">
        <v>1538</v>
      </c>
      <c r="G4379">
        <v>21</v>
      </c>
      <c r="Q4379" t="s">
        <v>6664</v>
      </c>
    </row>
    <row r="4380" spans="1:17" x14ac:dyDescent="0.2">
      <c r="A4380" t="s">
        <v>4924</v>
      </c>
      <c r="B4380" t="s">
        <v>4891</v>
      </c>
      <c r="C4380">
        <v>2</v>
      </c>
      <c r="D4380" s="6" t="s">
        <v>4925</v>
      </c>
      <c r="E4380" s="8" t="s">
        <v>5092</v>
      </c>
      <c r="F4380" t="s">
        <v>1538</v>
      </c>
      <c r="G4380">
        <v>19</v>
      </c>
      <c r="Q4380" t="s">
        <v>6663</v>
      </c>
    </row>
    <row r="4381" spans="1:17" x14ac:dyDescent="0.2">
      <c r="A4381" t="s">
        <v>4924</v>
      </c>
      <c r="B4381" t="s">
        <v>4891</v>
      </c>
      <c r="C4381">
        <v>2</v>
      </c>
      <c r="D4381" s="6" t="s">
        <v>4925</v>
      </c>
      <c r="E4381" s="8" t="s">
        <v>5094</v>
      </c>
      <c r="F4381" t="s">
        <v>1538</v>
      </c>
      <c r="G4381">
        <v>2</v>
      </c>
      <c r="Q4381" t="s">
        <v>6662</v>
      </c>
    </row>
    <row r="4382" spans="1:17" x14ac:dyDescent="0.2">
      <c r="A4382" t="s">
        <v>4924</v>
      </c>
      <c r="B4382" t="s">
        <v>4891</v>
      </c>
      <c r="C4382">
        <v>2</v>
      </c>
      <c r="D4382" s="6" t="s">
        <v>4925</v>
      </c>
      <c r="E4382" s="8" t="s">
        <v>5097</v>
      </c>
      <c r="F4382" t="s">
        <v>6379</v>
      </c>
      <c r="G4382">
        <v>10</v>
      </c>
      <c r="O4382" t="s">
        <v>6244</v>
      </c>
      <c r="Q4382" t="s">
        <v>6661</v>
      </c>
    </row>
    <row r="4383" spans="1:17" x14ac:dyDescent="0.2">
      <c r="A4383" t="s">
        <v>4924</v>
      </c>
      <c r="B4383" t="s">
        <v>4891</v>
      </c>
      <c r="C4383">
        <v>2</v>
      </c>
      <c r="D4383" s="6" t="s">
        <v>4925</v>
      </c>
      <c r="E4383" s="8" t="s">
        <v>5098</v>
      </c>
      <c r="F4383" t="s">
        <v>6231</v>
      </c>
      <c r="G4383">
        <v>8</v>
      </c>
      <c r="Q4383" t="s">
        <v>6666</v>
      </c>
    </row>
    <row r="4384" spans="1:17" x14ac:dyDescent="0.2">
      <c r="A4384" t="s">
        <v>4924</v>
      </c>
      <c r="B4384" t="s">
        <v>4891</v>
      </c>
      <c r="C4384">
        <v>2</v>
      </c>
      <c r="D4384" s="6" t="s">
        <v>4925</v>
      </c>
      <c r="E4384" s="8" t="s">
        <v>5166</v>
      </c>
      <c r="F4384" t="s">
        <v>1538</v>
      </c>
      <c r="G4384">
        <v>15</v>
      </c>
      <c r="O4384" t="s">
        <v>5178</v>
      </c>
      <c r="Q4384" t="s">
        <v>6660</v>
      </c>
    </row>
    <row r="4385" spans="1:17" x14ac:dyDescent="0.2">
      <c r="A4385" t="s">
        <v>4924</v>
      </c>
      <c r="B4385" t="s">
        <v>4891</v>
      </c>
      <c r="C4385">
        <v>2</v>
      </c>
      <c r="D4385" s="6" t="s">
        <v>4925</v>
      </c>
      <c r="E4385" s="8" t="s">
        <v>5167</v>
      </c>
      <c r="F4385" t="s">
        <v>1538</v>
      </c>
      <c r="G4385">
        <v>9</v>
      </c>
      <c r="O4385" t="s">
        <v>5178</v>
      </c>
      <c r="Q4385" t="s">
        <v>6659</v>
      </c>
    </row>
    <row r="4386" spans="1:17" x14ac:dyDescent="0.2">
      <c r="A4386" t="s">
        <v>4924</v>
      </c>
      <c r="B4386" t="s">
        <v>4891</v>
      </c>
      <c r="C4386">
        <v>2</v>
      </c>
      <c r="D4386" s="6" t="s">
        <v>4925</v>
      </c>
      <c r="E4386" s="8" t="s">
        <v>5168</v>
      </c>
      <c r="F4386" t="s">
        <v>1538</v>
      </c>
      <c r="G4386">
        <v>5</v>
      </c>
      <c r="Q4386" t="s">
        <v>6658</v>
      </c>
    </row>
    <row r="4387" spans="1:17" x14ac:dyDescent="0.2">
      <c r="A4387" t="s">
        <v>4924</v>
      </c>
      <c r="B4387" t="s">
        <v>4891</v>
      </c>
      <c r="C4387">
        <v>2</v>
      </c>
      <c r="D4387" s="6" t="s">
        <v>4925</v>
      </c>
      <c r="E4387" s="8" t="s">
        <v>5169</v>
      </c>
      <c r="F4387" t="s">
        <v>1538</v>
      </c>
      <c r="G4387">
        <v>4</v>
      </c>
      <c r="Q4387" t="s">
        <v>6657</v>
      </c>
    </row>
    <row r="4388" spans="1:17" x14ac:dyDescent="0.2">
      <c r="A4388" t="s">
        <v>4924</v>
      </c>
      <c r="B4388" t="s">
        <v>4891</v>
      </c>
      <c r="C4388">
        <v>2</v>
      </c>
      <c r="D4388" s="6" t="s">
        <v>4925</v>
      </c>
      <c r="E4388" s="8" t="s">
        <v>5170</v>
      </c>
      <c r="F4388" t="s">
        <v>1538</v>
      </c>
      <c r="G4388">
        <v>4</v>
      </c>
      <c r="Q4388" t="s">
        <v>6656</v>
      </c>
    </row>
    <row r="4389" spans="1:17" x14ac:dyDescent="0.2">
      <c r="A4389" t="s">
        <v>4924</v>
      </c>
      <c r="B4389" t="s">
        <v>4891</v>
      </c>
      <c r="C4389">
        <v>2</v>
      </c>
      <c r="D4389" s="6" t="s">
        <v>4925</v>
      </c>
      <c r="E4389" s="8" t="s">
        <v>5171</v>
      </c>
      <c r="F4389" t="s">
        <v>1538</v>
      </c>
      <c r="G4389">
        <v>1</v>
      </c>
      <c r="Q4389" t="s">
        <v>6655</v>
      </c>
    </row>
    <row r="4390" spans="1:17" x14ac:dyDescent="0.2">
      <c r="A4390" t="s">
        <v>4924</v>
      </c>
      <c r="B4390" t="s">
        <v>4891</v>
      </c>
      <c r="C4390">
        <v>2</v>
      </c>
      <c r="D4390" s="6" t="s">
        <v>4925</v>
      </c>
      <c r="E4390" s="8" t="s">
        <v>5172</v>
      </c>
      <c r="F4390" t="s">
        <v>1458</v>
      </c>
      <c r="G4390">
        <v>10</v>
      </c>
      <c r="O4390" t="s">
        <v>5179</v>
      </c>
    </row>
    <row r="4391" spans="1:17" x14ac:dyDescent="0.2">
      <c r="A4391" t="s">
        <v>4924</v>
      </c>
      <c r="B4391" t="s">
        <v>4891</v>
      </c>
      <c r="C4391">
        <v>2</v>
      </c>
      <c r="D4391" s="6" t="s">
        <v>4925</v>
      </c>
      <c r="E4391" s="8" t="s">
        <v>5173</v>
      </c>
      <c r="F4391" t="s">
        <v>3875</v>
      </c>
      <c r="G4391">
        <v>26</v>
      </c>
    </row>
    <row r="4392" spans="1:17" x14ac:dyDescent="0.2">
      <c r="A4392" t="s">
        <v>4924</v>
      </c>
      <c r="B4392" t="s">
        <v>4891</v>
      </c>
      <c r="C4392">
        <v>2</v>
      </c>
      <c r="D4392" s="6" t="s">
        <v>4925</v>
      </c>
      <c r="E4392" s="8" t="s">
        <v>5174</v>
      </c>
      <c r="F4392" t="s">
        <v>3927</v>
      </c>
      <c r="G4392">
        <v>3</v>
      </c>
      <c r="O4392" t="s">
        <v>5180</v>
      </c>
    </row>
    <row r="4393" spans="1:17" x14ac:dyDescent="0.2">
      <c r="A4393" t="s">
        <v>4924</v>
      </c>
      <c r="B4393" t="s">
        <v>4891</v>
      </c>
      <c r="C4393">
        <v>2</v>
      </c>
      <c r="D4393" s="6" t="s">
        <v>4925</v>
      </c>
      <c r="E4393" s="8" t="s">
        <v>5175</v>
      </c>
      <c r="F4393" t="s">
        <v>106</v>
      </c>
      <c r="G4393">
        <v>5</v>
      </c>
      <c r="M4393">
        <v>5</v>
      </c>
    </row>
    <row r="4394" spans="1:17" x14ac:dyDescent="0.2">
      <c r="A4394" t="s">
        <v>4924</v>
      </c>
      <c r="B4394" t="s">
        <v>4891</v>
      </c>
      <c r="C4394">
        <v>3</v>
      </c>
      <c r="D4394" s="6" t="s">
        <v>4925</v>
      </c>
      <c r="E4394" s="8" t="s">
        <v>5169</v>
      </c>
      <c r="F4394" t="s">
        <v>1264</v>
      </c>
      <c r="H4394">
        <f>18.1-1.8</f>
        <v>16.3</v>
      </c>
      <c r="O4394" t="s">
        <v>5181</v>
      </c>
    </row>
    <row r="4395" spans="1:17" x14ac:dyDescent="0.2">
      <c r="A4395" t="s">
        <v>4924</v>
      </c>
      <c r="B4395" t="s">
        <v>4891</v>
      </c>
      <c r="C4395">
        <v>3</v>
      </c>
      <c r="D4395" s="6" t="s">
        <v>4925</v>
      </c>
      <c r="E4395" s="8" t="s">
        <v>5082</v>
      </c>
      <c r="F4395" t="s">
        <v>1389</v>
      </c>
      <c r="G4395">
        <v>13</v>
      </c>
      <c r="Q4395" t="s">
        <v>6680</v>
      </c>
    </row>
    <row r="4396" spans="1:17" x14ac:dyDescent="0.2">
      <c r="A4396" t="s">
        <v>4924</v>
      </c>
      <c r="B4396" t="s">
        <v>4891</v>
      </c>
      <c r="C4396">
        <v>3</v>
      </c>
      <c r="D4396" s="6" t="s">
        <v>4925</v>
      </c>
      <c r="E4396" s="8" t="s">
        <v>5089</v>
      </c>
      <c r="F4396" t="s">
        <v>1389</v>
      </c>
      <c r="G4396">
        <v>7</v>
      </c>
      <c r="Q4396" t="s">
        <v>6681</v>
      </c>
    </row>
    <row r="4397" spans="1:17" x14ac:dyDescent="0.2">
      <c r="A4397" t="s">
        <v>4924</v>
      </c>
      <c r="B4397" t="s">
        <v>4891</v>
      </c>
      <c r="C4397">
        <v>3</v>
      </c>
      <c r="D4397" s="6" t="s">
        <v>4925</v>
      </c>
      <c r="E4397" s="8" t="s">
        <v>5094</v>
      </c>
      <c r="F4397" t="s">
        <v>1389</v>
      </c>
      <c r="G4397">
        <v>25</v>
      </c>
    </row>
    <row r="4398" spans="1:17" x14ac:dyDescent="0.2">
      <c r="A4398" t="s">
        <v>4924</v>
      </c>
      <c r="B4398" t="s">
        <v>4891</v>
      </c>
      <c r="C4398">
        <v>3</v>
      </c>
      <c r="D4398" s="6" t="s">
        <v>4925</v>
      </c>
      <c r="E4398" t="s">
        <v>5056</v>
      </c>
      <c r="F4398" t="s">
        <v>1389</v>
      </c>
      <c r="G4398">
        <v>144</v>
      </c>
    </row>
    <row r="4399" spans="1:17" x14ac:dyDescent="0.2">
      <c r="A4399" t="s">
        <v>4924</v>
      </c>
      <c r="B4399" t="s">
        <v>4891</v>
      </c>
      <c r="C4399">
        <v>3</v>
      </c>
      <c r="D4399" s="6" t="s">
        <v>4925</v>
      </c>
      <c r="E4399" s="8" t="s">
        <v>5144</v>
      </c>
      <c r="F4399" t="s">
        <v>1425</v>
      </c>
      <c r="G4399">
        <v>45</v>
      </c>
      <c r="Q4399" t="s">
        <v>6671</v>
      </c>
    </row>
    <row r="4400" spans="1:17" x14ac:dyDescent="0.2">
      <c r="A4400" t="s">
        <v>4924</v>
      </c>
      <c r="B4400" t="s">
        <v>4891</v>
      </c>
      <c r="C4400">
        <v>3</v>
      </c>
      <c r="D4400" s="6" t="s">
        <v>4925</v>
      </c>
      <c r="E4400" s="8" t="s">
        <v>5143</v>
      </c>
      <c r="F4400" t="s">
        <v>6674</v>
      </c>
      <c r="G4400">
        <v>13</v>
      </c>
      <c r="Q4400" t="s">
        <v>6673</v>
      </c>
    </row>
    <row r="4401" spans="1:17" x14ac:dyDescent="0.2">
      <c r="A4401" t="s">
        <v>4924</v>
      </c>
      <c r="B4401" t="s">
        <v>4891</v>
      </c>
      <c r="C4401">
        <v>3</v>
      </c>
      <c r="D4401" s="6" t="s">
        <v>4925</v>
      </c>
      <c r="E4401" s="8" t="s">
        <v>5149</v>
      </c>
      <c r="F4401" t="s">
        <v>5869</v>
      </c>
      <c r="G4401">
        <v>32</v>
      </c>
      <c r="Q4401" t="s">
        <v>5881</v>
      </c>
    </row>
    <row r="4402" spans="1:17" x14ac:dyDescent="0.2">
      <c r="A4402" t="s">
        <v>4924</v>
      </c>
      <c r="B4402" t="s">
        <v>4891</v>
      </c>
      <c r="C4402">
        <v>3</v>
      </c>
      <c r="D4402" s="6" t="s">
        <v>4925</v>
      </c>
      <c r="E4402" s="8" t="s">
        <v>5150</v>
      </c>
      <c r="F4402" t="s">
        <v>5869</v>
      </c>
      <c r="G4402">
        <v>42</v>
      </c>
      <c r="Q4402" t="s">
        <v>5882</v>
      </c>
    </row>
    <row r="4403" spans="1:17" x14ac:dyDescent="0.2">
      <c r="A4403" t="s">
        <v>4924</v>
      </c>
      <c r="B4403" t="s">
        <v>4891</v>
      </c>
      <c r="C4403">
        <v>3</v>
      </c>
      <c r="D4403" s="6" t="s">
        <v>4925</v>
      </c>
      <c r="E4403" s="8" t="s">
        <v>5142</v>
      </c>
      <c r="F4403" t="s">
        <v>2588</v>
      </c>
      <c r="G4403">
        <v>1</v>
      </c>
      <c r="Q4403" t="s">
        <v>6675</v>
      </c>
    </row>
    <row r="4404" spans="1:17" x14ac:dyDescent="0.2">
      <c r="A4404" t="s">
        <v>4924</v>
      </c>
      <c r="B4404" t="s">
        <v>4891</v>
      </c>
      <c r="C4404">
        <v>3</v>
      </c>
      <c r="D4404" s="6" t="s">
        <v>4925</v>
      </c>
      <c r="E4404" s="8" t="s">
        <v>5141</v>
      </c>
      <c r="F4404" t="s">
        <v>2588</v>
      </c>
      <c r="G4404">
        <v>1</v>
      </c>
      <c r="Q4404" t="s">
        <v>6676</v>
      </c>
    </row>
    <row r="4405" spans="1:17" x14ac:dyDescent="0.2">
      <c r="A4405" t="s">
        <v>4924</v>
      </c>
      <c r="B4405" t="s">
        <v>4891</v>
      </c>
      <c r="C4405">
        <v>3</v>
      </c>
      <c r="D4405" s="6" t="s">
        <v>4925</v>
      </c>
      <c r="E4405" s="8" t="s">
        <v>5170</v>
      </c>
      <c r="F4405" t="s">
        <v>5087</v>
      </c>
      <c r="G4405">
        <v>53</v>
      </c>
      <c r="Q4405" t="s">
        <v>6677</v>
      </c>
    </row>
    <row r="4406" spans="1:17" x14ac:dyDescent="0.2">
      <c r="A4406" t="s">
        <v>4924</v>
      </c>
      <c r="B4406" t="s">
        <v>4891</v>
      </c>
      <c r="C4406">
        <v>3</v>
      </c>
      <c r="D4406" s="6" t="s">
        <v>4925</v>
      </c>
      <c r="E4406" s="8" t="s">
        <v>5171</v>
      </c>
      <c r="F4406" t="s">
        <v>5087</v>
      </c>
      <c r="G4406">
        <v>9</v>
      </c>
      <c r="Q4406" t="s">
        <v>6678</v>
      </c>
    </row>
    <row r="4407" spans="1:17" x14ac:dyDescent="0.2">
      <c r="A4407" t="s">
        <v>4924</v>
      </c>
      <c r="B4407" t="s">
        <v>4891</v>
      </c>
      <c r="C4407">
        <v>3</v>
      </c>
      <c r="D4407" s="6" t="s">
        <v>4925</v>
      </c>
      <c r="E4407" s="8" t="s">
        <v>5140</v>
      </c>
      <c r="F4407" t="s">
        <v>5087</v>
      </c>
      <c r="G4407">
        <v>6</v>
      </c>
      <c r="Q4407" t="s">
        <v>6679</v>
      </c>
    </row>
    <row r="4408" spans="1:17" x14ac:dyDescent="0.2">
      <c r="A4408" t="s">
        <v>4924</v>
      </c>
      <c r="B4408" t="s">
        <v>4891</v>
      </c>
      <c r="C4408">
        <v>3</v>
      </c>
      <c r="D4408" s="6" t="s">
        <v>4925</v>
      </c>
      <c r="E4408" s="8" t="s">
        <v>5145</v>
      </c>
      <c r="F4408" t="s">
        <v>1425</v>
      </c>
      <c r="G4408">
        <v>31</v>
      </c>
      <c r="Q4408" t="s">
        <v>6672</v>
      </c>
    </row>
    <row r="4409" spans="1:17" x14ac:dyDescent="0.2">
      <c r="A4409" t="s">
        <v>4924</v>
      </c>
      <c r="B4409" t="s">
        <v>4891</v>
      </c>
      <c r="C4409">
        <v>3</v>
      </c>
      <c r="D4409" s="6" t="s">
        <v>4925</v>
      </c>
      <c r="E4409" s="8" t="s">
        <v>5146</v>
      </c>
      <c r="F4409" t="s">
        <v>3930</v>
      </c>
      <c r="G4409">
        <v>11</v>
      </c>
      <c r="Q4409" t="s">
        <v>6669</v>
      </c>
    </row>
    <row r="4410" spans="1:17" x14ac:dyDescent="0.2">
      <c r="A4410" t="s">
        <v>4924</v>
      </c>
      <c r="B4410" t="s">
        <v>4891</v>
      </c>
      <c r="C4410">
        <v>3</v>
      </c>
      <c r="D4410" s="6" t="s">
        <v>4925</v>
      </c>
      <c r="E4410" s="8" t="s">
        <v>5147</v>
      </c>
      <c r="F4410" t="s">
        <v>5620</v>
      </c>
      <c r="G4410">
        <v>9</v>
      </c>
      <c r="Q4410" t="s">
        <v>6668</v>
      </c>
    </row>
    <row r="4411" spans="1:17" x14ac:dyDescent="0.2">
      <c r="A4411" t="s">
        <v>4924</v>
      </c>
      <c r="B4411" t="s">
        <v>4891</v>
      </c>
      <c r="C4411">
        <v>3</v>
      </c>
      <c r="D4411" s="6" t="s">
        <v>4925</v>
      </c>
      <c r="E4411" s="8" t="s">
        <v>5148</v>
      </c>
      <c r="F4411" t="s">
        <v>6231</v>
      </c>
      <c r="G4411">
        <v>6</v>
      </c>
      <c r="Q4411" t="s">
        <v>6667</v>
      </c>
    </row>
    <row r="4412" spans="1:17" x14ac:dyDescent="0.2">
      <c r="A4412" t="s">
        <v>4924</v>
      </c>
      <c r="B4412" t="s">
        <v>4891</v>
      </c>
      <c r="C4412">
        <v>3</v>
      </c>
      <c r="D4412" s="6" t="s">
        <v>4925</v>
      </c>
      <c r="E4412" s="8" t="s">
        <v>5097</v>
      </c>
      <c r="F4412" t="s">
        <v>1311</v>
      </c>
      <c r="G4412">
        <v>4</v>
      </c>
      <c r="Q4412" t="s">
        <v>6689</v>
      </c>
    </row>
    <row r="4413" spans="1:17" x14ac:dyDescent="0.2">
      <c r="A4413" t="s">
        <v>4924</v>
      </c>
      <c r="B4413" t="s">
        <v>4891</v>
      </c>
      <c r="C4413">
        <v>3</v>
      </c>
      <c r="D4413" s="6" t="s">
        <v>4925</v>
      </c>
      <c r="E4413" s="8" t="s">
        <v>5098</v>
      </c>
      <c r="F4413" t="s">
        <v>1311</v>
      </c>
      <c r="G4413">
        <v>2</v>
      </c>
      <c r="Q4413" t="s">
        <v>6687</v>
      </c>
    </row>
    <row r="4414" spans="1:17" x14ac:dyDescent="0.2">
      <c r="A4414" t="s">
        <v>4924</v>
      </c>
      <c r="B4414" t="s">
        <v>4891</v>
      </c>
      <c r="C4414">
        <v>3</v>
      </c>
      <c r="D4414" s="6" t="s">
        <v>4925</v>
      </c>
      <c r="E4414" s="8" t="s">
        <v>5166</v>
      </c>
      <c r="F4414" t="s">
        <v>1311</v>
      </c>
      <c r="G4414">
        <v>1</v>
      </c>
      <c r="Q4414" t="s">
        <v>6688</v>
      </c>
    </row>
    <row r="4415" spans="1:17" x14ac:dyDescent="0.2">
      <c r="A4415" t="s">
        <v>4924</v>
      </c>
      <c r="B4415" t="s">
        <v>4891</v>
      </c>
      <c r="C4415">
        <v>3</v>
      </c>
      <c r="D4415" s="6" t="s">
        <v>4925</v>
      </c>
      <c r="E4415" s="8" t="s">
        <v>5167</v>
      </c>
      <c r="F4415" t="s">
        <v>1311</v>
      </c>
      <c r="G4415">
        <v>1</v>
      </c>
      <c r="Q4415" t="s">
        <v>6684</v>
      </c>
    </row>
    <row r="4416" spans="1:17" x14ac:dyDescent="0.2">
      <c r="A4416" t="s">
        <v>4924</v>
      </c>
      <c r="B4416" t="s">
        <v>4891</v>
      </c>
      <c r="C4416">
        <v>3</v>
      </c>
      <c r="D4416" s="6" t="s">
        <v>4925</v>
      </c>
      <c r="E4416" s="8" t="s">
        <v>5168</v>
      </c>
      <c r="F4416" t="s">
        <v>1311</v>
      </c>
      <c r="G4416">
        <v>1</v>
      </c>
      <c r="M4416">
        <v>5</v>
      </c>
      <c r="Q4416" t="s">
        <v>6683</v>
      </c>
    </row>
    <row r="4417" spans="1:17" x14ac:dyDescent="0.2">
      <c r="A4417" t="s">
        <v>4924</v>
      </c>
      <c r="B4417" t="s">
        <v>4891</v>
      </c>
      <c r="C4417">
        <v>3</v>
      </c>
      <c r="D4417" s="6" t="s">
        <v>4925</v>
      </c>
      <c r="E4417" s="8" t="s">
        <v>5151</v>
      </c>
      <c r="F4417" t="s">
        <v>1311</v>
      </c>
      <c r="G4417">
        <v>9</v>
      </c>
    </row>
    <row r="4418" spans="1:17" x14ac:dyDescent="0.2">
      <c r="A4418" t="s">
        <v>4924</v>
      </c>
      <c r="B4418" t="s">
        <v>4891</v>
      </c>
      <c r="C4418">
        <v>3</v>
      </c>
      <c r="D4418" s="6" t="s">
        <v>4925</v>
      </c>
      <c r="E4418" s="8" t="s">
        <v>5152</v>
      </c>
      <c r="F4418" t="s">
        <v>1559</v>
      </c>
      <c r="G4418" t="s">
        <v>114</v>
      </c>
      <c r="O4418" t="s">
        <v>5190</v>
      </c>
      <c r="Q4418" t="s">
        <v>6686</v>
      </c>
    </row>
    <row r="4419" spans="1:17" x14ac:dyDescent="0.2">
      <c r="A4419" t="s">
        <v>4924</v>
      </c>
      <c r="B4419" t="s">
        <v>4891</v>
      </c>
      <c r="C4419">
        <v>3</v>
      </c>
      <c r="D4419" s="6" t="s">
        <v>4925</v>
      </c>
      <c r="E4419" s="8" t="s">
        <v>5153</v>
      </c>
      <c r="F4419" t="s">
        <v>1559</v>
      </c>
      <c r="G4419">
        <v>1</v>
      </c>
      <c r="Q4419" t="s">
        <v>6685</v>
      </c>
    </row>
    <row r="4420" spans="1:17" x14ac:dyDescent="0.2">
      <c r="A4420" t="s">
        <v>4924</v>
      </c>
      <c r="B4420" t="s">
        <v>4891</v>
      </c>
      <c r="C4420">
        <v>3</v>
      </c>
      <c r="D4420" s="6" t="s">
        <v>4925</v>
      </c>
      <c r="E4420" s="8" t="s">
        <v>5154</v>
      </c>
      <c r="F4420" t="s">
        <v>1559</v>
      </c>
      <c r="G4420">
        <v>1</v>
      </c>
      <c r="M4420">
        <v>10</v>
      </c>
      <c r="Q4420" t="s">
        <v>6682</v>
      </c>
    </row>
    <row r="4421" spans="1:17" x14ac:dyDescent="0.2">
      <c r="A4421" t="s">
        <v>4924</v>
      </c>
      <c r="B4421" t="s">
        <v>4891</v>
      </c>
      <c r="C4421">
        <v>3</v>
      </c>
      <c r="D4421" s="6" t="s">
        <v>4925</v>
      </c>
      <c r="E4421" t="s">
        <v>5056</v>
      </c>
      <c r="F4421" t="s">
        <v>1389</v>
      </c>
      <c r="G4421">
        <v>17</v>
      </c>
      <c r="M4421">
        <v>53</v>
      </c>
    </row>
    <row r="4422" spans="1:17" x14ac:dyDescent="0.2">
      <c r="A4422" t="s">
        <v>4924</v>
      </c>
      <c r="B4422" t="s">
        <v>4891</v>
      </c>
      <c r="C4422">
        <v>3</v>
      </c>
      <c r="D4422" s="6" t="s">
        <v>4925</v>
      </c>
      <c r="E4422" t="s">
        <v>5056</v>
      </c>
      <c r="F4422" t="s">
        <v>1311</v>
      </c>
      <c r="G4422">
        <v>86</v>
      </c>
      <c r="M4422">
        <v>1</v>
      </c>
      <c r="O4422" t="s">
        <v>5191</v>
      </c>
    </row>
    <row r="4423" spans="1:17" x14ac:dyDescent="0.2">
      <c r="A4423" t="s">
        <v>4924</v>
      </c>
      <c r="B4423" t="s">
        <v>4891</v>
      </c>
      <c r="C4423">
        <v>3</v>
      </c>
      <c r="D4423" s="6" t="s">
        <v>4925</v>
      </c>
      <c r="E4423" t="s">
        <v>5056</v>
      </c>
      <c r="F4423" t="s">
        <v>1425</v>
      </c>
      <c r="G4423">
        <v>2</v>
      </c>
    </row>
    <row r="4424" spans="1:17" x14ac:dyDescent="0.2">
      <c r="A4424" t="s">
        <v>4924</v>
      </c>
      <c r="B4424" t="s">
        <v>4891</v>
      </c>
      <c r="C4424">
        <v>3</v>
      </c>
      <c r="D4424" s="6" t="s">
        <v>4925</v>
      </c>
      <c r="E4424" s="8" t="s">
        <v>5090</v>
      </c>
      <c r="F4424" t="s">
        <v>1389</v>
      </c>
      <c r="G4424">
        <v>3</v>
      </c>
      <c r="Q4424" t="s">
        <v>6690</v>
      </c>
    </row>
    <row r="4425" spans="1:17" x14ac:dyDescent="0.2">
      <c r="A4425" t="s">
        <v>4924</v>
      </c>
      <c r="B4425" t="s">
        <v>4891</v>
      </c>
      <c r="C4425">
        <v>3</v>
      </c>
      <c r="D4425" s="6" t="s">
        <v>4925</v>
      </c>
      <c r="E4425" s="8" t="s">
        <v>5091</v>
      </c>
      <c r="F4425" t="s">
        <v>1389</v>
      </c>
      <c r="G4425">
        <v>1</v>
      </c>
      <c r="Q4425" t="s">
        <v>6692</v>
      </c>
    </row>
    <row r="4426" spans="1:17" x14ac:dyDescent="0.2">
      <c r="A4426" t="s">
        <v>4924</v>
      </c>
      <c r="B4426" t="s">
        <v>4891</v>
      </c>
      <c r="C4426">
        <v>3</v>
      </c>
      <c r="D4426" s="6" t="s">
        <v>4925</v>
      </c>
      <c r="E4426" s="8" t="s">
        <v>5092</v>
      </c>
      <c r="F4426" t="s">
        <v>1389</v>
      </c>
      <c r="G4426" t="s">
        <v>114</v>
      </c>
      <c r="M4426">
        <v>56</v>
      </c>
      <c r="Q4426" t="s">
        <v>6691</v>
      </c>
    </row>
    <row r="4427" spans="1:17" x14ac:dyDescent="0.2">
      <c r="A4427" t="s">
        <v>4924</v>
      </c>
      <c r="B4427" t="s">
        <v>4891</v>
      </c>
      <c r="C4427">
        <v>3</v>
      </c>
      <c r="D4427" s="6" t="s">
        <v>4925</v>
      </c>
      <c r="E4427" t="s">
        <v>5056</v>
      </c>
      <c r="F4427" t="s">
        <v>1389</v>
      </c>
      <c r="G4427">
        <v>102</v>
      </c>
    </row>
    <row r="4428" spans="1:17" x14ac:dyDescent="0.2">
      <c r="A4428" t="s">
        <v>4924</v>
      </c>
      <c r="B4428" t="s">
        <v>4891</v>
      </c>
      <c r="C4428">
        <v>3</v>
      </c>
      <c r="D4428" s="6" t="s">
        <v>4925</v>
      </c>
      <c r="E4428" s="8" t="s">
        <v>5175</v>
      </c>
      <c r="F4428" t="s">
        <v>1425</v>
      </c>
      <c r="G4428">
        <v>20</v>
      </c>
      <c r="Q4428" t="s">
        <v>6694</v>
      </c>
    </row>
    <row r="4429" spans="1:17" x14ac:dyDescent="0.2">
      <c r="A4429" t="s">
        <v>4924</v>
      </c>
      <c r="B4429" t="s">
        <v>4891</v>
      </c>
      <c r="C4429">
        <v>3</v>
      </c>
      <c r="D4429" s="6" t="s">
        <v>4925</v>
      </c>
      <c r="E4429" s="8" t="s">
        <v>5139</v>
      </c>
      <c r="F4429" t="s">
        <v>1425</v>
      </c>
      <c r="G4429">
        <v>2</v>
      </c>
      <c r="Q4429" t="s">
        <v>6697</v>
      </c>
    </row>
    <row r="4430" spans="1:17" x14ac:dyDescent="0.2">
      <c r="A4430" t="s">
        <v>4924</v>
      </c>
      <c r="B4430" t="s">
        <v>4891</v>
      </c>
      <c r="C4430">
        <v>3</v>
      </c>
      <c r="D4430" s="6" t="s">
        <v>4925</v>
      </c>
      <c r="E4430" s="8" t="s">
        <v>5162</v>
      </c>
      <c r="F4430" t="s">
        <v>1425</v>
      </c>
      <c r="G4430">
        <v>4</v>
      </c>
      <c r="Q4430" t="s">
        <v>6698</v>
      </c>
    </row>
    <row r="4431" spans="1:17" x14ac:dyDescent="0.2">
      <c r="A4431" t="s">
        <v>4924</v>
      </c>
      <c r="B4431" t="s">
        <v>4891</v>
      </c>
      <c r="C4431">
        <v>3</v>
      </c>
      <c r="D4431" s="6" t="s">
        <v>4925</v>
      </c>
      <c r="E4431" s="8" t="s">
        <v>5159</v>
      </c>
      <c r="F4431" t="s">
        <v>1425</v>
      </c>
      <c r="G4431">
        <v>7</v>
      </c>
      <c r="Q4431" t="s">
        <v>6696</v>
      </c>
    </row>
    <row r="4432" spans="1:17" x14ac:dyDescent="0.2">
      <c r="A4432" t="s">
        <v>4924</v>
      </c>
      <c r="B4432" t="s">
        <v>4891</v>
      </c>
      <c r="C4432">
        <v>3</v>
      </c>
      <c r="D4432" s="6" t="s">
        <v>4925</v>
      </c>
      <c r="E4432" s="8" t="s">
        <v>5160</v>
      </c>
      <c r="F4432" t="s">
        <v>1425</v>
      </c>
      <c r="G4432">
        <v>8</v>
      </c>
      <c r="M4432">
        <v>5</v>
      </c>
      <c r="Q4432" t="s">
        <v>6695</v>
      </c>
    </row>
    <row r="4433" spans="1:17" x14ac:dyDescent="0.2">
      <c r="A4433" t="s">
        <v>4924</v>
      </c>
      <c r="B4433" t="s">
        <v>4891</v>
      </c>
      <c r="C4433">
        <v>3</v>
      </c>
      <c r="D4433" s="6" t="s">
        <v>4925</v>
      </c>
      <c r="E4433" s="8" t="s">
        <v>5161</v>
      </c>
      <c r="F4433" t="s">
        <v>1425</v>
      </c>
      <c r="G4433">
        <v>35</v>
      </c>
      <c r="M4433">
        <v>10</v>
      </c>
    </row>
    <row r="4434" spans="1:17" x14ac:dyDescent="0.2">
      <c r="A4434" t="s">
        <v>4924</v>
      </c>
      <c r="B4434" t="s">
        <v>4891</v>
      </c>
      <c r="C4434">
        <v>3</v>
      </c>
      <c r="D4434" s="6" t="s">
        <v>4925</v>
      </c>
      <c r="E4434" t="s">
        <v>5056</v>
      </c>
      <c r="F4434" t="s">
        <v>1425</v>
      </c>
      <c r="G4434">
        <v>70</v>
      </c>
      <c r="M4434">
        <v>3</v>
      </c>
    </row>
    <row r="4435" spans="1:17" x14ac:dyDescent="0.2">
      <c r="A4435" t="s">
        <v>4924</v>
      </c>
      <c r="B4435" t="s">
        <v>4891</v>
      </c>
      <c r="C4435">
        <v>3</v>
      </c>
      <c r="D4435" s="6" t="s">
        <v>4925</v>
      </c>
      <c r="E4435" s="8" t="s">
        <v>5182</v>
      </c>
      <c r="F4435" t="s">
        <v>6239</v>
      </c>
      <c r="G4435">
        <v>1</v>
      </c>
      <c r="Q4435" t="s">
        <v>6693</v>
      </c>
    </row>
    <row r="4436" spans="1:17" x14ac:dyDescent="0.2">
      <c r="A4436" t="s">
        <v>4924</v>
      </c>
      <c r="B4436" t="s">
        <v>4891</v>
      </c>
      <c r="C4436">
        <v>3</v>
      </c>
      <c r="D4436" s="6" t="s">
        <v>4925</v>
      </c>
      <c r="E4436" s="8" t="s">
        <v>5183</v>
      </c>
      <c r="F4436" t="s">
        <v>4973</v>
      </c>
      <c r="G4436">
        <v>4</v>
      </c>
    </row>
    <row r="4437" spans="1:17" x14ac:dyDescent="0.2">
      <c r="A4437" t="s">
        <v>4924</v>
      </c>
      <c r="B4437" t="s">
        <v>4891</v>
      </c>
      <c r="C4437">
        <v>3</v>
      </c>
      <c r="D4437" s="6" t="s">
        <v>4925</v>
      </c>
      <c r="E4437" s="8" t="s">
        <v>5184</v>
      </c>
      <c r="F4437" t="s">
        <v>5995</v>
      </c>
      <c r="G4437" t="s">
        <v>114</v>
      </c>
      <c r="Q4437" t="s">
        <v>6213</v>
      </c>
    </row>
    <row r="4438" spans="1:17" x14ac:dyDescent="0.2">
      <c r="A4438" t="s">
        <v>4924</v>
      </c>
      <c r="B4438" t="s">
        <v>4891</v>
      </c>
      <c r="C4438">
        <v>3</v>
      </c>
      <c r="D4438" s="6" t="s">
        <v>4925</v>
      </c>
      <c r="E4438" s="8" t="s">
        <v>5185</v>
      </c>
      <c r="F4438" t="s">
        <v>5995</v>
      </c>
      <c r="G4438">
        <v>1</v>
      </c>
      <c r="Q4438" t="s">
        <v>6216</v>
      </c>
    </row>
    <row r="4439" spans="1:17" x14ac:dyDescent="0.2">
      <c r="A4439" t="s">
        <v>4924</v>
      </c>
      <c r="B4439" t="s">
        <v>4891</v>
      </c>
      <c r="C4439">
        <v>3</v>
      </c>
      <c r="D4439" s="6" t="s">
        <v>4925</v>
      </c>
      <c r="E4439" s="8" t="s">
        <v>5186</v>
      </c>
      <c r="F4439" t="s">
        <v>5995</v>
      </c>
      <c r="G4439">
        <v>1</v>
      </c>
      <c r="Q4439" t="s">
        <v>6214</v>
      </c>
    </row>
    <row r="4440" spans="1:17" x14ac:dyDescent="0.2">
      <c r="A4440" t="s">
        <v>4924</v>
      </c>
      <c r="B4440" t="s">
        <v>4891</v>
      </c>
      <c r="C4440">
        <v>3</v>
      </c>
      <c r="D4440" s="6" t="s">
        <v>4925</v>
      </c>
      <c r="E4440" s="8" t="s">
        <v>5187</v>
      </c>
      <c r="F4440" t="s">
        <v>5995</v>
      </c>
      <c r="G4440" t="s">
        <v>114</v>
      </c>
      <c r="Q4440" t="s">
        <v>6217</v>
      </c>
    </row>
    <row r="4441" spans="1:17" x14ac:dyDescent="0.2">
      <c r="A4441" t="s">
        <v>4924</v>
      </c>
      <c r="B4441" t="s">
        <v>4891</v>
      </c>
      <c r="C4441">
        <v>3</v>
      </c>
      <c r="D4441" s="6" t="s">
        <v>4925</v>
      </c>
      <c r="E4441" s="8" t="s">
        <v>5188</v>
      </c>
      <c r="F4441" t="s">
        <v>5995</v>
      </c>
      <c r="G4441" t="s">
        <v>114</v>
      </c>
      <c r="Q4441" t="s">
        <v>6215</v>
      </c>
    </row>
    <row r="4442" spans="1:17" x14ac:dyDescent="0.2">
      <c r="A4442" t="s">
        <v>4924</v>
      </c>
      <c r="B4442" t="s">
        <v>4891</v>
      </c>
      <c r="C4442">
        <v>3</v>
      </c>
      <c r="D4442" s="6" t="s">
        <v>4925</v>
      </c>
      <c r="E4442" s="8" t="s">
        <v>5189</v>
      </c>
      <c r="F4442" t="s">
        <v>5995</v>
      </c>
      <c r="G4442">
        <v>2</v>
      </c>
      <c r="Q4442" t="s">
        <v>6218</v>
      </c>
    </row>
    <row r="4443" spans="1:17" x14ac:dyDescent="0.2">
      <c r="A4443" t="s">
        <v>4924</v>
      </c>
      <c r="B4443" t="s">
        <v>4891</v>
      </c>
      <c r="C4443">
        <v>3</v>
      </c>
      <c r="D4443" s="6" t="s">
        <v>4925</v>
      </c>
      <c r="E4443" s="8" t="s">
        <v>5081</v>
      </c>
      <c r="F4443" t="s">
        <v>7192</v>
      </c>
      <c r="H4443">
        <v>1.534</v>
      </c>
      <c r="I4443">
        <v>471</v>
      </c>
      <c r="J4443">
        <v>432</v>
      </c>
      <c r="K4443">
        <v>400</v>
      </c>
      <c r="Q4443" t="s">
        <v>6700</v>
      </c>
    </row>
    <row r="4444" spans="1:17" x14ac:dyDescent="0.2">
      <c r="A4444" t="s">
        <v>4924</v>
      </c>
      <c r="B4444" t="s">
        <v>4891</v>
      </c>
      <c r="C4444">
        <v>3</v>
      </c>
      <c r="D4444" s="6" t="s">
        <v>4925</v>
      </c>
      <c r="E4444" s="8" t="s">
        <v>5174</v>
      </c>
      <c r="F4444" t="s">
        <v>2218</v>
      </c>
      <c r="G4444">
        <v>23</v>
      </c>
    </row>
    <row r="4445" spans="1:17" x14ac:dyDescent="0.2">
      <c r="A4445" t="s">
        <v>4924</v>
      </c>
      <c r="B4445" t="s">
        <v>4891</v>
      </c>
      <c r="C4445">
        <v>3</v>
      </c>
      <c r="D4445" s="6" t="s">
        <v>4925</v>
      </c>
      <c r="E4445" s="8" t="s">
        <v>5173</v>
      </c>
      <c r="F4445" t="s">
        <v>3927</v>
      </c>
      <c r="G4445">
        <v>23</v>
      </c>
    </row>
    <row r="4446" spans="1:17" x14ac:dyDescent="0.2">
      <c r="A4446" t="s">
        <v>4924</v>
      </c>
      <c r="B4446" t="s">
        <v>4891</v>
      </c>
      <c r="C4446">
        <v>3</v>
      </c>
      <c r="D4446" s="6" t="s">
        <v>4925</v>
      </c>
      <c r="E4446" s="8" t="s">
        <v>5172</v>
      </c>
      <c r="F4446" t="s">
        <v>3875</v>
      </c>
      <c r="G4446">
        <v>21</v>
      </c>
    </row>
    <row r="4447" spans="1:17" x14ac:dyDescent="0.2">
      <c r="A4447" t="s">
        <v>4924</v>
      </c>
      <c r="B4447" t="s">
        <v>4891</v>
      </c>
      <c r="C4447">
        <v>3</v>
      </c>
      <c r="D4447" s="6" t="s">
        <v>4925</v>
      </c>
      <c r="E4447" s="8" t="s">
        <v>5173</v>
      </c>
      <c r="F4447" t="s">
        <v>106</v>
      </c>
      <c r="G4447">
        <v>6</v>
      </c>
    </row>
    <row r="4448" spans="1:17" x14ac:dyDescent="0.2">
      <c r="A4448" t="s">
        <v>4924</v>
      </c>
      <c r="B4448" t="s">
        <v>4891</v>
      </c>
      <c r="C4448">
        <v>3</v>
      </c>
      <c r="D4448" s="6" t="s">
        <v>4925</v>
      </c>
      <c r="E4448" s="8" t="s">
        <v>5157</v>
      </c>
      <c r="F4448" t="s">
        <v>7138</v>
      </c>
      <c r="G4448">
        <v>8</v>
      </c>
      <c r="M4448">
        <v>5</v>
      </c>
      <c r="Q4448" t="s">
        <v>6699</v>
      </c>
    </row>
    <row r="4449" spans="1:17" x14ac:dyDescent="0.2">
      <c r="A4449" t="s">
        <v>4924</v>
      </c>
      <c r="B4449" t="s">
        <v>4891</v>
      </c>
      <c r="C4449">
        <v>3</v>
      </c>
      <c r="D4449" s="6" t="s">
        <v>4925</v>
      </c>
      <c r="E4449" s="8" t="s">
        <v>5172</v>
      </c>
      <c r="F4449" t="s">
        <v>810</v>
      </c>
      <c r="G4449">
        <v>21</v>
      </c>
      <c r="O4449" t="s">
        <v>5194</v>
      </c>
    </row>
    <row r="4450" spans="1:17" x14ac:dyDescent="0.2">
      <c r="A4450" t="s">
        <v>4924</v>
      </c>
      <c r="B4450" t="s">
        <v>4891</v>
      </c>
      <c r="C4450">
        <v>3</v>
      </c>
      <c r="D4450" s="6" t="s">
        <v>4925</v>
      </c>
      <c r="E4450" s="8" t="s">
        <v>5155</v>
      </c>
      <c r="F4450" t="s">
        <v>2222</v>
      </c>
      <c r="G4450">
        <v>331</v>
      </c>
    </row>
    <row r="4451" spans="1:17" x14ac:dyDescent="0.2">
      <c r="A4451" t="s">
        <v>4924</v>
      </c>
      <c r="B4451" t="s">
        <v>4891</v>
      </c>
      <c r="C4451">
        <v>4</v>
      </c>
      <c r="D4451" s="6" t="s">
        <v>4925</v>
      </c>
      <c r="E4451" s="8" t="s">
        <v>5081</v>
      </c>
      <c r="F4451" t="s">
        <v>5195</v>
      </c>
      <c r="G4451">
        <f>0.721-0.285</f>
        <v>0.436</v>
      </c>
      <c r="O4451" t="s">
        <v>5193</v>
      </c>
    </row>
    <row r="4452" spans="1:17" x14ac:dyDescent="0.2">
      <c r="A4452" t="s">
        <v>4924</v>
      </c>
      <c r="B4452" t="s">
        <v>4891</v>
      </c>
      <c r="C4452">
        <v>4</v>
      </c>
      <c r="D4452" s="6" t="s">
        <v>4925</v>
      </c>
      <c r="E4452" s="8" t="s">
        <v>5082</v>
      </c>
      <c r="F4452" t="s">
        <v>1425</v>
      </c>
      <c r="G4452">
        <v>26</v>
      </c>
      <c r="Q4452" t="s">
        <v>6751</v>
      </c>
    </row>
    <row r="4453" spans="1:17" x14ac:dyDescent="0.2">
      <c r="A4453" t="s">
        <v>4924</v>
      </c>
      <c r="B4453" t="s">
        <v>4891</v>
      </c>
      <c r="C4453">
        <v>4</v>
      </c>
      <c r="D4453" s="6" t="s">
        <v>4925</v>
      </c>
      <c r="E4453" s="8" t="s">
        <v>5089</v>
      </c>
      <c r="F4453" t="s">
        <v>1425</v>
      </c>
      <c r="G4453">
        <v>39</v>
      </c>
      <c r="Q4453" t="s">
        <v>6752</v>
      </c>
    </row>
    <row r="4454" spans="1:17" x14ac:dyDescent="0.2">
      <c r="A4454" t="s">
        <v>4924</v>
      </c>
      <c r="B4454" t="s">
        <v>4891</v>
      </c>
      <c r="C4454">
        <v>4</v>
      </c>
      <c r="D4454" s="6" t="s">
        <v>4925</v>
      </c>
      <c r="E4454" s="8" t="s">
        <v>5091</v>
      </c>
      <c r="F4454" t="s">
        <v>1425</v>
      </c>
      <c r="G4454">
        <v>4</v>
      </c>
      <c r="Q4454" t="s">
        <v>6753</v>
      </c>
    </row>
    <row r="4455" spans="1:17" x14ac:dyDescent="0.2">
      <c r="A4455" t="s">
        <v>4924</v>
      </c>
      <c r="B4455" t="s">
        <v>4891</v>
      </c>
      <c r="C4455">
        <v>4</v>
      </c>
      <c r="D4455" s="6" t="s">
        <v>4925</v>
      </c>
      <c r="E4455" s="8" t="s">
        <v>5092</v>
      </c>
      <c r="F4455" t="s">
        <v>1425</v>
      </c>
      <c r="G4455">
        <v>5</v>
      </c>
      <c r="Q4455" t="s">
        <v>6754</v>
      </c>
    </row>
    <row r="4456" spans="1:17" x14ac:dyDescent="0.2">
      <c r="A4456" t="s">
        <v>4924</v>
      </c>
      <c r="B4456" t="s">
        <v>4891</v>
      </c>
      <c r="C4456">
        <v>4</v>
      </c>
      <c r="D4456" s="6" t="s">
        <v>4925</v>
      </c>
      <c r="E4456" s="8" t="s">
        <v>5090</v>
      </c>
      <c r="F4456" t="s">
        <v>1425</v>
      </c>
      <c r="G4456">
        <v>9</v>
      </c>
      <c r="Q4456" t="s">
        <v>6755</v>
      </c>
    </row>
    <row r="4457" spans="1:17" x14ac:dyDescent="0.2">
      <c r="A4457" t="s">
        <v>4924</v>
      </c>
      <c r="B4457" t="s">
        <v>4891</v>
      </c>
      <c r="C4457">
        <v>4</v>
      </c>
      <c r="D4457" s="6" t="s">
        <v>4925</v>
      </c>
      <c r="E4457" s="8" t="s">
        <v>5094</v>
      </c>
      <c r="F4457" t="s">
        <v>1425</v>
      </c>
      <c r="G4457">
        <v>21</v>
      </c>
      <c r="M4457">
        <v>3</v>
      </c>
    </row>
    <row r="4458" spans="1:17" x14ac:dyDescent="0.2">
      <c r="A4458" t="s">
        <v>4924</v>
      </c>
      <c r="B4458" t="s">
        <v>4891</v>
      </c>
      <c r="C4458">
        <v>4</v>
      </c>
      <c r="D4458" s="6" t="s">
        <v>4925</v>
      </c>
      <c r="E4458" s="8" t="s">
        <v>5166</v>
      </c>
      <c r="F4458" t="s">
        <v>1389</v>
      </c>
      <c r="G4458">
        <v>6</v>
      </c>
      <c r="Q4458" t="s">
        <v>6744</v>
      </c>
    </row>
    <row r="4459" spans="1:17" x14ac:dyDescent="0.2">
      <c r="A4459" t="s">
        <v>4924</v>
      </c>
      <c r="B4459" t="s">
        <v>4891</v>
      </c>
      <c r="C4459">
        <v>4</v>
      </c>
      <c r="D4459" s="6" t="s">
        <v>4925</v>
      </c>
      <c r="E4459" s="8" t="s">
        <v>5168</v>
      </c>
      <c r="F4459" t="s">
        <v>1389</v>
      </c>
      <c r="G4459">
        <v>3</v>
      </c>
      <c r="Q4459" t="s">
        <v>6746</v>
      </c>
    </row>
    <row r="4460" spans="1:17" x14ac:dyDescent="0.2">
      <c r="A4460" t="s">
        <v>4924</v>
      </c>
      <c r="B4460" t="s">
        <v>4891</v>
      </c>
      <c r="C4460">
        <v>4</v>
      </c>
      <c r="D4460" s="6" t="s">
        <v>4925</v>
      </c>
      <c r="E4460" s="8" t="s">
        <v>5170</v>
      </c>
      <c r="F4460" t="s">
        <v>1389</v>
      </c>
      <c r="G4460">
        <v>2</v>
      </c>
      <c r="Q4460" t="s">
        <v>6745</v>
      </c>
    </row>
    <row r="4461" spans="1:17" x14ac:dyDescent="0.2">
      <c r="A4461" t="s">
        <v>4924</v>
      </c>
      <c r="B4461" t="s">
        <v>4891</v>
      </c>
      <c r="C4461">
        <v>4</v>
      </c>
      <c r="D4461" s="6" t="s">
        <v>4925</v>
      </c>
      <c r="E4461" s="8" t="s">
        <v>5169</v>
      </c>
      <c r="F4461" t="s">
        <v>1389</v>
      </c>
      <c r="G4461">
        <v>1</v>
      </c>
      <c r="Q4461" t="s">
        <v>6747</v>
      </c>
    </row>
    <row r="4462" spans="1:17" x14ac:dyDescent="0.2">
      <c r="A4462" t="s">
        <v>4924</v>
      </c>
      <c r="B4462" t="s">
        <v>4891</v>
      </c>
      <c r="C4462">
        <v>4</v>
      </c>
      <c r="D4462" s="6" t="s">
        <v>4925</v>
      </c>
      <c r="E4462" s="8" t="s">
        <v>5167</v>
      </c>
      <c r="F4462" t="s">
        <v>1389</v>
      </c>
      <c r="G4462" t="s">
        <v>114</v>
      </c>
      <c r="M4462">
        <v>5</v>
      </c>
    </row>
    <row r="4463" spans="1:17" x14ac:dyDescent="0.2">
      <c r="A4463" t="s">
        <v>4924</v>
      </c>
      <c r="B4463" t="s">
        <v>4891</v>
      </c>
      <c r="C4463">
        <v>4</v>
      </c>
      <c r="D4463" s="6" t="s">
        <v>4925</v>
      </c>
      <c r="E4463" s="8" t="s">
        <v>5171</v>
      </c>
      <c r="F4463" t="s">
        <v>1389</v>
      </c>
      <c r="G4463">
        <v>5</v>
      </c>
      <c r="M4463">
        <v>6</v>
      </c>
    </row>
    <row r="4464" spans="1:17" x14ac:dyDescent="0.2">
      <c r="A4464" t="s">
        <v>4924</v>
      </c>
      <c r="B4464" t="s">
        <v>4891</v>
      </c>
      <c r="C4464">
        <v>4</v>
      </c>
      <c r="D4464" s="6" t="s">
        <v>4925</v>
      </c>
      <c r="E4464" s="8" t="s">
        <v>5098</v>
      </c>
      <c r="F4464" t="s">
        <v>2218</v>
      </c>
      <c r="G4464">
        <v>6</v>
      </c>
      <c r="M4464">
        <v>3</v>
      </c>
    </row>
    <row r="4465" spans="1:17" x14ac:dyDescent="0.2">
      <c r="A4465" t="s">
        <v>4924</v>
      </c>
      <c r="B4465" t="s">
        <v>4891</v>
      </c>
      <c r="C4465">
        <v>4</v>
      </c>
      <c r="D4465" s="6" t="s">
        <v>4925</v>
      </c>
      <c r="E4465" s="8" t="s">
        <v>5140</v>
      </c>
      <c r="F4465" t="s">
        <v>1311</v>
      </c>
      <c r="G4465">
        <v>2</v>
      </c>
      <c r="Q4465" t="s">
        <v>6748</v>
      </c>
    </row>
    <row r="4466" spans="1:17" x14ac:dyDescent="0.2">
      <c r="A4466" t="s">
        <v>4924</v>
      </c>
      <c r="B4466" t="s">
        <v>4891</v>
      </c>
      <c r="C4466">
        <v>4</v>
      </c>
      <c r="D4466" s="6" t="s">
        <v>4925</v>
      </c>
      <c r="E4466" s="8" t="s">
        <v>5141</v>
      </c>
      <c r="F4466" t="s">
        <v>1311</v>
      </c>
      <c r="G4466">
        <v>2</v>
      </c>
      <c r="Q4466" t="s">
        <v>6749</v>
      </c>
    </row>
    <row r="4467" spans="1:17" x14ac:dyDescent="0.2">
      <c r="A4467" t="s">
        <v>4924</v>
      </c>
      <c r="B4467" t="s">
        <v>4891</v>
      </c>
      <c r="C4467">
        <v>4</v>
      </c>
      <c r="D4467" s="6" t="s">
        <v>4925</v>
      </c>
      <c r="E4467" s="8" t="s">
        <v>5142</v>
      </c>
      <c r="F4467" t="s">
        <v>1311</v>
      </c>
      <c r="G4467">
        <v>3</v>
      </c>
      <c r="Q4467" t="s">
        <v>6750</v>
      </c>
    </row>
    <row r="4468" spans="1:17" x14ac:dyDescent="0.2">
      <c r="A4468" t="s">
        <v>4924</v>
      </c>
      <c r="B4468" t="s">
        <v>4891</v>
      </c>
      <c r="C4468">
        <v>4</v>
      </c>
      <c r="D4468" s="6" t="s">
        <v>4925</v>
      </c>
      <c r="E4468" s="8" t="s">
        <v>5097</v>
      </c>
      <c r="F4468" t="s">
        <v>6231</v>
      </c>
      <c r="G4468">
        <v>6</v>
      </c>
      <c r="Q4468" t="s">
        <v>6738</v>
      </c>
    </row>
    <row r="4469" spans="1:17" x14ac:dyDescent="0.2">
      <c r="A4469" t="s">
        <v>4924</v>
      </c>
      <c r="B4469" t="s">
        <v>4891</v>
      </c>
      <c r="C4469">
        <v>4</v>
      </c>
      <c r="D4469" s="6" t="s">
        <v>4925</v>
      </c>
      <c r="E4469" s="8" t="s">
        <v>5143</v>
      </c>
      <c r="F4469" t="s">
        <v>1559</v>
      </c>
      <c r="G4469" t="s">
        <v>114</v>
      </c>
      <c r="Q4469" t="s">
        <v>6743</v>
      </c>
    </row>
    <row r="4470" spans="1:17" x14ac:dyDescent="0.2">
      <c r="A4470" t="s">
        <v>4924</v>
      </c>
      <c r="B4470" t="s">
        <v>4891</v>
      </c>
      <c r="C4470">
        <v>4</v>
      </c>
      <c r="D4470" s="6" t="s">
        <v>4925</v>
      </c>
      <c r="E4470" s="8" t="s">
        <v>5144</v>
      </c>
      <c r="F4470" t="s">
        <v>1559</v>
      </c>
      <c r="G4470">
        <v>3</v>
      </c>
      <c r="Q4470" t="s">
        <v>6740</v>
      </c>
    </row>
    <row r="4471" spans="1:17" x14ac:dyDescent="0.2">
      <c r="A4471" t="s">
        <v>4924</v>
      </c>
      <c r="B4471" t="s">
        <v>4891</v>
      </c>
      <c r="C4471">
        <v>4</v>
      </c>
      <c r="D4471" s="6" t="s">
        <v>4925</v>
      </c>
      <c r="E4471" s="8" t="s">
        <v>5145</v>
      </c>
      <c r="F4471" t="s">
        <v>1559</v>
      </c>
      <c r="G4471">
        <v>2</v>
      </c>
      <c r="Q4471" t="s">
        <v>6739</v>
      </c>
    </row>
    <row r="4472" spans="1:17" x14ac:dyDescent="0.2">
      <c r="A4472" t="s">
        <v>4924</v>
      </c>
      <c r="B4472" t="s">
        <v>4891</v>
      </c>
      <c r="C4472">
        <v>4</v>
      </c>
      <c r="D4472" s="6" t="s">
        <v>4925</v>
      </c>
      <c r="E4472" s="8" t="s">
        <v>5146</v>
      </c>
      <c r="F4472" t="s">
        <v>1559</v>
      </c>
      <c r="G4472">
        <v>1</v>
      </c>
      <c r="Q4472" t="s">
        <v>6741</v>
      </c>
    </row>
    <row r="4473" spans="1:17" x14ac:dyDescent="0.2">
      <c r="A4473" t="s">
        <v>4924</v>
      </c>
      <c r="B4473" t="s">
        <v>4891</v>
      </c>
      <c r="C4473">
        <v>4</v>
      </c>
      <c r="D4473" s="6" t="s">
        <v>4925</v>
      </c>
      <c r="E4473" s="8" t="s">
        <v>5147</v>
      </c>
      <c r="F4473" t="s">
        <v>1559</v>
      </c>
      <c r="G4473">
        <v>1</v>
      </c>
      <c r="Q4473" t="s">
        <v>6742</v>
      </c>
    </row>
    <row r="4474" spans="1:17" x14ac:dyDescent="0.2">
      <c r="A4474" t="s">
        <v>4924</v>
      </c>
      <c r="B4474" t="s">
        <v>4891</v>
      </c>
      <c r="C4474">
        <v>4</v>
      </c>
      <c r="D4474" s="6" t="s">
        <v>4925</v>
      </c>
      <c r="E4474" s="8" t="s">
        <v>5148</v>
      </c>
      <c r="F4474" t="s">
        <v>1559</v>
      </c>
      <c r="G4474">
        <v>7</v>
      </c>
      <c r="M4474">
        <v>5</v>
      </c>
    </row>
    <row r="4475" spans="1:17" x14ac:dyDescent="0.2">
      <c r="A4475" t="s">
        <v>4924</v>
      </c>
      <c r="B4475" t="s">
        <v>4891</v>
      </c>
      <c r="C4475">
        <v>4</v>
      </c>
      <c r="D4475" s="6" t="s">
        <v>4925</v>
      </c>
      <c r="E4475" t="s">
        <v>5056</v>
      </c>
      <c r="F4475" t="s">
        <v>1559</v>
      </c>
      <c r="G4475">
        <v>4</v>
      </c>
      <c r="M4475">
        <v>3</v>
      </c>
    </row>
    <row r="4476" spans="1:17" x14ac:dyDescent="0.2">
      <c r="A4476" t="s">
        <v>4924</v>
      </c>
      <c r="B4476" t="s">
        <v>4891</v>
      </c>
      <c r="C4476">
        <v>4</v>
      </c>
      <c r="D4476" s="6" t="s">
        <v>4925</v>
      </c>
      <c r="E4476" s="8" t="s">
        <v>5149</v>
      </c>
      <c r="F4476" t="s">
        <v>504</v>
      </c>
      <c r="G4476">
        <f>0.86-0.323</f>
        <v>0.53699999999999992</v>
      </c>
      <c r="O4476" t="s">
        <v>3978</v>
      </c>
    </row>
    <row r="4477" spans="1:17" x14ac:dyDescent="0.2">
      <c r="A4477" t="s">
        <v>4924</v>
      </c>
      <c r="B4477" t="s">
        <v>4891</v>
      </c>
      <c r="C4477">
        <v>4</v>
      </c>
      <c r="D4477" s="6" t="s">
        <v>4925</v>
      </c>
      <c r="E4477" s="8" t="s">
        <v>5150</v>
      </c>
      <c r="F4477" t="s">
        <v>3875</v>
      </c>
      <c r="G4477">
        <v>268</v>
      </c>
    </row>
    <row r="4478" spans="1:17" x14ac:dyDescent="0.2">
      <c r="A4478" t="s">
        <v>4924</v>
      </c>
      <c r="B4478" t="s">
        <v>4891</v>
      </c>
      <c r="C4478">
        <v>4</v>
      </c>
      <c r="D4478" s="6" t="s">
        <v>4925</v>
      </c>
      <c r="E4478" s="8" t="s">
        <v>5153</v>
      </c>
      <c r="F4478" t="s">
        <v>3927</v>
      </c>
      <c r="G4478">
        <v>36</v>
      </c>
    </row>
    <row r="4479" spans="1:17" x14ac:dyDescent="0.2">
      <c r="A4479" t="s">
        <v>4924</v>
      </c>
      <c r="B4479" t="s">
        <v>4891</v>
      </c>
      <c r="C4479">
        <v>4</v>
      </c>
      <c r="D4479" s="6" t="s">
        <v>4925</v>
      </c>
      <c r="E4479" s="8" t="s">
        <v>5154</v>
      </c>
      <c r="F4479" t="s">
        <v>6756</v>
      </c>
      <c r="G4479">
        <v>1</v>
      </c>
    </row>
    <row r="4480" spans="1:17" x14ac:dyDescent="0.2">
      <c r="A4480" t="s">
        <v>4924</v>
      </c>
      <c r="B4480" t="s">
        <v>4891</v>
      </c>
      <c r="C4480">
        <v>4</v>
      </c>
      <c r="D4480" s="6" t="s">
        <v>4925</v>
      </c>
      <c r="E4480" s="8" t="s">
        <v>5152</v>
      </c>
      <c r="F4480" t="s">
        <v>106</v>
      </c>
      <c r="G4480">
        <v>29</v>
      </c>
    </row>
    <row r="4481" spans="1:17" x14ac:dyDescent="0.2">
      <c r="A4481" t="s">
        <v>4924</v>
      </c>
      <c r="B4481" t="s">
        <v>4891</v>
      </c>
      <c r="C4481">
        <v>4</v>
      </c>
      <c r="D4481" s="6" t="s">
        <v>4925</v>
      </c>
      <c r="E4481" s="8" t="s">
        <v>5151</v>
      </c>
      <c r="F4481" t="s">
        <v>3982</v>
      </c>
      <c r="G4481">
        <v>1</v>
      </c>
    </row>
    <row r="4482" spans="1:17" x14ac:dyDescent="0.2">
      <c r="A4482" t="s">
        <v>4924</v>
      </c>
      <c r="B4482" t="s">
        <v>4891</v>
      </c>
      <c r="C4482">
        <v>4</v>
      </c>
      <c r="D4482" s="6" t="s">
        <v>4925</v>
      </c>
      <c r="E4482" s="8" t="s">
        <v>5155</v>
      </c>
      <c r="F4482" t="s">
        <v>112</v>
      </c>
      <c r="G4482" t="s">
        <v>114</v>
      </c>
    </row>
    <row r="4483" spans="1:17" x14ac:dyDescent="0.2">
      <c r="A4483" t="s">
        <v>4924</v>
      </c>
      <c r="B4483" t="s">
        <v>4891</v>
      </c>
      <c r="C4483">
        <v>5</v>
      </c>
      <c r="D4483" s="6" t="s">
        <v>4925</v>
      </c>
      <c r="E4483" s="8" t="s">
        <v>5081</v>
      </c>
      <c r="F4483" t="s">
        <v>1264</v>
      </c>
      <c r="H4483">
        <f>1.71-0.285</f>
        <v>1.425</v>
      </c>
      <c r="O4483" t="s">
        <v>5198</v>
      </c>
    </row>
    <row r="4484" spans="1:17" x14ac:dyDescent="0.2">
      <c r="A4484" t="s">
        <v>4924</v>
      </c>
      <c r="B4484" t="s">
        <v>4891</v>
      </c>
      <c r="C4484">
        <v>5</v>
      </c>
      <c r="D4484" s="6" t="s">
        <v>4925</v>
      </c>
      <c r="E4484" s="8" t="s">
        <v>5082</v>
      </c>
      <c r="F4484" t="s">
        <v>504</v>
      </c>
      <c r="H4484">
        <f>1.29-0.261</f>
        <v>1.0289999999999999</v>
      </c>
      <c r="O4484" t="s">
        <v>5199</v>
      </c>
    </row>
    <row r="4485" spans="1:17" x14ac:dyDescent="0.2">
      <c r="A4485" t="s">
        <v>4924</v>
      </c>
      <c r="B4485" t="s">
        <v>4891</v>
      </c>
      <c r="C4485">
        <v>5</v>
      </c>
      <c r="D4485" s="6" t="s">
        <v>4925</v>
      </c>
      <c r="E4485" s="8" t="s">
        <v>5089</v>
      </c>
      <c r="F4485" t="s">
        <v>1389</v>
      </c>
      <c r="G4485">
        <v>3</v>
      </c>
      <c r="Q4485" t="s">
        <v>6702</v>
      </c>
    </row>
    <row r="4486" spans="1:17" x14ac:dyDescent="0.2">
      <c r="A4486" t="s">
        <v>4924</v>
      </c>
      <c r="B4486" t="s">
        <v>4891</v>
      </c>
      <c r="C4486">
        <v>5</v>
      </c>
      <c r="D4486" s="6" t="s">
        <v>4925</v>
      </c>
      <c r="E4486" s="8" t="s">
        <v>5090</v>
      </c>
      <c r="F4486" t="s">
        <v>1389</v>
      </c>
      <c r="G4486">
        <v>1</v>
      </c>
      <c r="Q4486" t="s">
        <v>6703</v>
      </c>
    </row>
    <row r="4487" spans="1:17" x14ac:dyDescent="0.2">
      <c r="A4487" t="s">
        <v>4924</v>
      </c>
      <c r="B4487" t="s">
        <v>4891</v>
      </c>
      <c r="C4487">
        <v>5</v>
      </c>
      <c r="D4487" s="6" t="s">
        <v>4925</v>
      </c>
      <c r="E4487" s="8" t="s">
        <v>5091</v>
      </c>
      <c r="F4487" t="s">
        <v>1389</v>
      </c>
      <c r="G4487">
        <v>2</v>
      </c>
      <c r="Q4487" t="s">
        <v>6704</v>
      </c>
    </row>
    <row r="4488" spans="1:17" x14ac:dyDescent="0.2">
      <c r="A4488" t="s">
        <v>4924</v>
      </c>
      <c r="B4488" t="s">
        <v>4891</v>
      </c>
      <c r="C4488">
        <v>5</v>
      </c>
      <c r="D4488" s="6" t="s">
        <v>4925</v>
      </c>
      <c r="E4488" s="8" t="s">
        <v>5092</v>
      </c>
      <c r="F4488" t="s">
        <v>5930</v>
      </c>
      <c r="G4488" t="s">
        <v>114</v>
      </c>
      <c r="Q4488" t="s">
        <v>6219</v>
      </c>
    </row>
    <row r="4489" spans="1:17" x14ac:dyDescent="0.2">
      <c r="A4489" t="s">
        <v>4924</v>
      </c>
      <c r="B4489" t="s">
        <v>4891</v>
      </c>
      <c r="C4489">
        <v>5</v>
      </c>
      <c r="D4489" s="6" t="s">
        <v>4925</v>
      </c>
      <c r="E4489" s="8" t="s">
        <v>5144</v>
      </c>
      <c r="F4489" t="s">
        <v>7138</v>
      </c>
      <c r="G4489" t="s">
        <v>114</v>
      </c>
      <c r="Q4489" t="s">
        <v>6701</v>
      </c>
    </row>
    <row r="4490" spans="1:17" x14ac:dyDescent="0.2">
      <c r="A4490" t="s">
        <v>4924</v>
      </c>
      <c r="B4490" t="s">
        <v>4891</v>
      </c>
      <c r="C4490">
        <v>5</v>
      </c>
      <c r="D4490" s="6" t="s">
        <v>4925</v>
      </c>
      <c r="E4490" s="8" t="s">
        <v>5146</v>
      </c>
      <c r="F4490" t="s">
        <v>5197</v>
      </c>
      <c r="G4490">
        <v>1</v>
      </c>
    </row>
    <row r="4491" spans="1:17" x14ac:dyDescent="0.2">
      <c r="A4491" t="s">
        <v>4924</v>
      </c>
      <c r="B4491" t="s">
        <v>4891</v>
      </c>
      <c r="C4491">
        <v>5</v>
      </c>
      <c r="D4491" s="6" t="s">
        <v>4925</v>
      </c>
      <c r="E4491" s="8" t="s">
        <v>5143</v>
      </c>
      <c r="F4491" t="s">
        <v>6969</v>
      </c>
      <c r="G4491">
        <v>2</v>
      </c>
      <c r="Q4491" t="s">
        <v>10596</v>
      </c>
    </row>
    <row r="4492" spans="1:17" x14ac:dyDescent="0.2">
      <c r="A4492" t="s">
        <v>4924</v>
      </c>
      <c r="B4492" t="s">
        <v>4891</v>
      </c>
      <c r="C4492">
        <v>5</v>
      </c>
      <c r="D4492" s="6" t="s">
        <v>4925</v>
      </c>
      <c r="E4492" s="8" t="s">
        <v>5142</v>
      </c>
      <c r="F4492" t="s">
        <v>106</v>
      </c>
      <c r="G4492">
        <v>1</v>
      </c>
    </row>
    <row r="4493" spans="1:17" x14ac:dyDescent="0.2">
      <c r="A4493" t="s">
        <v>4924</v>
      </c>
      <c r="B4493" t="s">
        <v>4891</v>
      </c>
      <c r="C4493">
        <v>5</v>
      </c>
      <c r="D4493" s="6" t="s">
        <v>4925</v>
      </c>
      <c r="E4493" s="8" t="s">
        <v>5141</v>
      </c>
      <c r="F4493" t="s">
        <v>116</v>
      </c>
      <c r="G4493">
        <v>3</v>
      </c>
    </row>
    <row r="4494" spans="1:17" x14ac:dyDescent="0.2">
      <c r="A4494" t="s">
        <v>4924</v>
      </c>
      <c r="B4494" t="s">
        <v>4891</v>
      </c>
      <c r="C4494">
        <v>5</v>
      </c>
      <c r="D4494" s="6" t="s">
        <v>4925</v>
      </c>
      <c r="E4494" s="8" t="s">
        <v>5148</v>
      </c>
      <c r="F4494" t="s">
        <v>126</v>
      </c>
      <c r="G4494" t="s">
        <v>114</v>
      </c>
    </row>
    <row r="4495" spans="1:17" x14ac:dyDescent="0.2">
      <c r="A4495" t="s">
        <v>4924</v>
      </c>
      <c r="B4495" t="s">
        <v>4891</v>
      </c>
      <c r="C4495">
        <v>5</v>
      </c>
      <c r="D4495" s="6" t="s">
        <v>4925</v>
      </c>
      <c r="E4495" s="8" t="s">
        <v>5146</v>
      </c>
      <c r="F4495" t="s">
        <v>3875</v>
      </c>
      <c r="G4495">
        <v>28</v>
      </c>
    </row>
    <row r="4496" spans="1:17" x14ac:dyDescent="0.2">
      <c r="A4496" t="s">
        <v>4924</v>
      </c>
      <c r="B4496" t="s">
        <v>4891</v>
      </c>
      <c r="C4496">
        <v>5</v>
      </c>
      <c r="D4496" s="6" t="s">
        <v>4925</v>
      </c>
      <c r="E4496" s="8" t="s">
        <v>5147</v>
      </c>
      <c r="F4496" t="s">
        <v>3927</v>
      </c>
      <c r="G4496">
        <v>7</v>
      </c>
    </row>
    <row r="4497" spans="1:17" x14ac:dyDescent="0.2">
      <c r="A4497" t="s">
        <v>4924</v>
      </c>
      <c r="B4497" t="s">
        <v>4891</v>
      </c>
      <c r="C4497">
        <v>5</v>
      </c>
      <c r="D4497" s="6" t="s">
        <v>4925</v>
      </c>
      <c r="E4497" s="8" t="s">
        <v>5094</v>
      </c>
      <c r="F4497" t="s">
        <v>1311</v>
      </c>
      <c r="G4497">
        <v>3</v>
      </c>
      <c r="Q4497" t="s">
        <v>6705</v>
      </c>
    </row>
    <row r="4498" spans="1:17" x14ac:dyDescent="0.2">
      <c r="A4498" t="s">
        <v>4924</v>
      </c>
      <c r="B4498" t="s">
        <v>4891</v>
      </c>
      <c r="C4498">
        <v>5</v>
      </c>
      <c r="D4498" s="6" t="s">
        <v>4925</v>
      </c>
      <c r="E4498" s="8" t="s">
        <v>5097</v>
      </c>
      <c r="F4498" t="s">
        <v>1311</v>
      </c>
      <c r="G4498">
        <v>1</v>
      </c>
      <c r="Q4498" t="s">
        <v>6706</v>
      </c>
    </row>
    <row r="4499" spans="1:17" x14ac:dyDescent="0.2">
      <c r="A4499" t="s">
        <v>4924</v>
      </c>
      <c r="B4499" t="s">
        <v>4891</v>
      </c>
      <c r="C4499">
        <v>5</v>
      </c>
      <c r="D4499" s="6" t="s">
        <v>4925</v>
      </c>
      <c r="E4499" s="8" t="s">
        <v>5098</v>
      </c>
      <c r="F4499" t="s">
        <v>1311</v>
      </c>
      <c r="G4499">
        <v>1</v>
      </c>
      <c r="Q4499" t="s">
        <v>6707</v>
      </c>
    </row>
    <row r="4500" spans="1:17" x14ac:dyDescent="0.2">
      <c r="A4500" t="s">
        <v>4924</v>
      </c>
      <c r="B4500" t="s">
        <v>4891</v>
      </c>
      <c r="C4500">
        <v>5</v>
      </c>
      <c r="D4500" s="6" t="s">
        <v>4925</v>
      </c>
      <c r="E4500" s="8" t="s">
        <v>5166</v>
      </c>
      <c r="F4500" t="s">
        <v>1311</v>
      </c>
      <c r="G4500">
        <v>1</v>
      </c>
      <c r="Q4500" t="s">
        <v>6708</v>
      </c>
    </row>
    <row r="4501" spans="1:17" x14ac:dyDescent="0.2">
      <c r="A4501" t="s">
        <v>4924</v>
      </c>
      <c r="B4501" t="s">
        <v>4891</v>
      </c>
      <c r="C4501">
        <v>5</v>
      </c>
      <c r="D4501" s="6" t="s">
        <v>4925</v>
      </c>
      <c r="E4501" s="8" t="s">
        <v>5167</v>
      </c>
      <c r="F4501" t="s">
        <v>1311</v>
      </c>
      <c r="G4501">
        <v>3</v>
      </c>
      <c r="Q4501" t="s">
        <v>6714</v>
      </c>
    </row>
    <row r="4502" spans="1:17" x14ac:dyDescent="0.2">
      <c r="A4502" t="s">
        <v>4924</v>
      </c>
      <c r="B4502" t="s">
        <v>4891</v>
      </c>
      <c r="C4502">
        <v>5</v>
      </c>
      <c r="D4502" s="6" t="s">
        <v>4925</v>
      </c>
      <c r="E4502" s="8" t="s">
        <v>5168</v>
      </c>
      <c r="F4502" t="s">
        <v>1559</v>
      </c>
      <c r="G4502" t="s">
        <v>114</v>
      </c>
      <c r="Q4502" t="s">
        <v>6709</v>
      </c>
    </row>
    <row r="4503" spans="1:17" x14ac:dyDescent="0.2">
      <c r="A4503" t="s">
        <v>4924</v>
      </c>
      <c r="B4503" t="s">
        <v>4891</v>
      </c>
      <c r="C4503">
        <v>5</v>
      </c>
      <c r="D4503" s="6" t="s">
        <v>4925</v>
      </c>
      <c r="E4503" s="8" t="s">
        <v>5169</v>
      </c>
      <c r="F4503" t="s">
        <v>1559</v>
      </c>
      <c r="G4503">
        <v>1</v>
      </c>
      <c r="Q4503" t="s">
        <v>6710</v>
      </c>
    </row>
    <row r="4504" spans="1:17" x14ac:dyDescent="0.2">
      <c r="A4504" t="s">
        <v>4924</v>
      </c>
      <c r="B4504" t="s">
        <v>4891</v>
      </c>
      <c r="C4504">
        <v>5</v>
      </c>
      <c r="D4504" s="6" t="s">
        <v>4925</v>
      </c>
      <c r="E4504" s="8" t="s">
        <v>5170</v>
      </c>
      <c r="F4504" t="s">
        <v>1559</v>
      </c>
      <c r="G4504">
        <v>2</v>
      </c>
      <c r="Q4504" t="s">
        <v>6711</v>
      </c>
    </row>
    <row r="4505" spans="1:17" x14ac:dyDescent="0.2">
      <c r="A4505" t="s">
        <v>4924</v>
      </c>
      <c r="B4505" t="s">
        <v>4891</v>
      </c>
      <c r="C4505">
        <v>5</v>
      </c>
      <c r="D4505" s="6" t="s">
        <v>4925</v>
      </c>
      <c r="E4505" s="8" t="s">
        <v>5171</v>
      </c>
      <c r="F4505" t="s">
        <v>1559</v>
      </c>
      <c r="G4505">
        <v>2</v>
      </c>
      <c r="Q4505" t="s">
        <v>6712</v>
      </c>
    </row>
    <row r="4506" spans="1:17" x14ac:dyDescent="0.2">
      <c r="A4506" t="s">
        <v>4924</v>
      </c>
      <c r="B4506" t="s">
        <v>4891</v>
      </c>
      <c r="C4506">
        <v>5</v>
      </c>
      <c r="D4506" s="6" t="s">
        <v>4925</v>
      </c>
      <c r="E4506" s="8" t="s">
        <v>5140</v>
      </c>
      <c r="F4506" t="s">
        <v>1559</v>
      </c>
      <c r="G4506">
        <v>2</v>
      </c>
      <c r="Q4506" t="s">
        <v>6713</v>
      </c>
    </row>
    <row r="4507" spans="1:17" x14ac:dyDescent="0.2">
      <c r="A4507" t="s">
        <v>4924</v>
      </c>
      <c r="B4507" t="s">
        <v>4891</v>
      </c>
      <c r="C4507">
        <v>6</v>
      </c>
      <c r="D4507" s="6" t="s">
        <v>4925</v>
      </c>
      <c r="E4507" s="8" t="s">
        <v>5081</v>
      </c>
      <c r="F4507" t="s">
        <v>1264</v>
      </c>
      <c r="H4507">
        <f>1.549-0.295</f>
        <v>1.254</v>
      </c>
      <c r="O4507" t="s">
        <v>5201</v>
      </c>
    </row>
    <row r="4508" spans="1:17" x14ac:dyDescent="0.2">
      <c r="A4508" t="s">
        <v>4924</v>
      </c>
      <c r="B4508" t="s">
        <v>4891</v>
      </c>
      <c r="C4508">
        <v>6</v>
      </c>
      <c r="D4508" s="6" t="s">
        <v>4925</v>
      </c>
      <c r="E4508" s="8" t="s">
        <v>5167</v>
      </c>
      <c r="F4508" t="s">
        <v>6716</v>
      </c>
      <c r="G4508">
        <v>30</v>
      </c>
      <c r="Q4508" t="s">
        <v>6715</v>
      </c>
    </row>
    <row r="4509" spans="1:17" x14ac:dyDescent="0.2">
      <c r="A4509" t="s">
        <v>4924</v>
      </c>
      <c r="B4509" t="s">
        <v>4891</v>
      </c>
      <c r="C4509">
        <v>6</v>
      </c>
      <c r="D4509" s="6" t="s">
        <v>4925</v>
      </c>
      <c r="E4509" s="8" t="s">
        <v>5141</v>
      </c>
      <c r="F4509" t="s">
        <v>5207</v>
      </c>
      <c r="H4509">
        <f>1.076-0.345</f>
        <v>0.73100000000000009</v>
      </c>
      <c r="O4509" t="s">
        <v>5202</v>
      </c>
    </row>
    <row r="4510" spans="1:17" x14ac:dyDescent="0.2">
      <c r="A4510" t="s">
        <v>4924</v>
      </c>
      <c r="B4510" t="s">
        <v>4891</v>
      </c>
      <c r="C4510">
        <v>6</v>
      </c>
      <c r="D4510" s="6" t="s">
        <v>4925</v>
      </c>
      <c r="E4510" s="8" t="s">
        <v>5082</v>
      </c>
      <c r="F4510" t="s">
        <v>5869</v>
      </c>
      <c r="G4510">
        <v>25</v>
      </c>
      <c r="Q4510" t="s">
        <v>5883</v>
      </c>
    </row>
    <row r="4511" spans="1:17" x14ac:dyDescent="0.2">
      <c r="A4511" t="s">
        <v>4924</v>
      </c>
      <c r="B4511" t="s">
        <v>4891</v>
      </c>
      <c r="C4511">
        <v>6</v>
      </c>
      <c r="D4511" s="6" t="s">
        <v>4925</v>
      </c>
      <c r="E4511" s="8" t="s">
        <v>5089</v>
      </c>
      <c r="F4511" t="s">
        <v>6670</v>
      </c>
      <c r="G4511">
        <v>18</v>
      </c>
      <c r="Q4511" t="s">
        <v>6722</v>
      </c>
    </row>
    <row r="4512" spans="1:17" x14ac:dyDescent="0.2">
      <c r="A4512" t="s">
        <v>4924</v>
      </c>
      <c r="B4512" t="s">
        <v>4891</v>
      </c>
      <c r="C4512">
        <v>6</v>
      </c>
      <c r="D4512" s="6" t="s">
        <v>4925</v>
      </c>
      <c r="E4512" s="8" t="s">
        <v>5090</v>
      </c>
      <c r="F4512" t="s">
        <v>1311</v>
      </c>
      <c r="G4512">
        <v>3</v>
      </c>
      <c r="Q4512" t="s">
        <v>6721</v>
      </c>
    </row>
    <row r="4513" spans="1:17" x14ac:dyDescent="0.2">
      <c r="A4513" t="s">
        <v>4924</v>
      </c>
      <c r="B4513" t="s">
        <v>4891</v>
      </c>
      <c r="C4513">
        <v>6</v>
      </c>
      <c r="D4513" s="6" t="s">
        <v>4925</v>
      </c>
      <c r="E4513" s="8" t="s">
        <v>5091</v>
      </c>
      <c r="F4513" t="s">
        <v>1311</v>
      </c>
      <c r="G4513">
        <v>3</v>
      </c>
      <c r="Q4513" t="s">
        <v>6719</v>
      </c>
    </row>
    <row r="4514" spans="1:17" x14ac:dyDescent="0.2">
      <c r="A4514" t="s">
        <v>4924</v>
      </c>
      <c r="B4514" t="s">
        <v>4891</v>
      </c>
      <c r="C4514">
        <v>6</v>
      </c>
      <c r="D4514" s="6" t="s">
        <v>4925</v>
      </c>
      <c r="E4514" s="8" t="s">
        <v>5097</v>
      </c>
      <c r="F4514" t="s">
        <v>1311</v>
      </c>
      <c r="G4514">
        <v>3</v>
      </c>
      <c r="Q4514" t="s">
        <v>6720</v>
      </c>
    </row>
    <row r="4515" spans="1:17" x14ac:dyDescent="0.2">
      <c r="A4515" t="s">
        <v>4924</v>
      </c>
      <c r="B4515" t="s">
        <v>4891</v>
      </c>
      <c r="C4515">
        <v>6</v>
      </c>
      <c r="D4515" s="6" t="s">
        <v>4925</v>
      </c>
      <c r="E4515" s="8" t="s">
        <v>5092</v>
      </c>
      <c r="F4515" t="s">
        <v>1311</v>
      </c>
      <c r="G4515">
        <v>2</v>
      </c>
      <c r="Q4515" t="s">
        <v>6718</v>
      </c>
    </row>
    <row r="4516" spans="1:17" x14ac:dyDescent="0.2">
      <c r="A4516" t="s">
        <v>4924</v>
      </c>
      <c r="B4516" t="s">
        <v>4891</v>
      </c>
      <c r="C4516">
        <v>6</v>
      </c>
      <c r="D4516" s="6" t="s">
        <v>4925</v>
      </c>
      <c r="E4516" s="8" t="s">
        <v>5094</v>
      </c>
      <c r="F4516" t="s">
        <v>1311</v>
      </c>
      <c r="G4516">
        <v>2</v>
      </c>
      <c r="Q4516" t="s">
        <v>6717</v>
      </c>
    </row>
    <row r="4517" spans="1:17" x14ac:dyDescent="0.2">
      <c r="A4517" t="s">
        <v>4924</v>
      </c>
      <c r="B4517" t="s">
        <v>4891</v>
      </c>
      <c r="C4517">
        <v>6</v>
      </c>
      <c r="D4517" s="6" t="s">
        <v>4925</v>
      </c>
      <c r="E4517" s="8" t="s">
        <v>5098</v>
      </c>
      <c r="F4517" t="s">
        <v>1311</v>
      </c>
      <c r="G4517">
        <v>9</v>
      </c>
      <c r="M4517">
        <v>5</v>
      </c>
    </row>
    <row r="4518" spans="1:17" x14ac:dyDescent="0.2">
      <c r="A4518" t="s">
        <v>4924</v>
      </c>
      <c r="B4518" t="s">
        <v>4891</v>
      </c>
      <c r="C4518">
        <v>6</v>
      </c>
      <c r="D4518" s="6" t="s">
        <v>4925</v>
      </c>
      <c r="E4518" t="s">
        <v>5056</v>
      </c>
      <c r="F4518" t="s">
        <v>1311</v>
      </c>
      <c r="G4518">
        <v>41</v>
      </c>
      <c r="M4518">
        <v>30</v>
      </c>
      <c r="O4518" t="s">
        <v>5203</v>
      </c>
    </row>
    <row r="4519" spans="1:17" x14ac:dyDescent="0.2">
      <c r="A4519" t="s">
        <v>4924</v>
      </c>
      <c r="B4519" t="s">
        <v>4891</v>
      </c>
      <c r="C4519">
        <v>6</v>
      </c>
      <c r="D4519" s="6" t="s">
        <v>4925</v>
      </c>
      <c r="E4519" t="s">
        <v>5056</v>
      </c>
      <c r="F4519" t="s">
        <v>1389</v>
      </c>
      <c r="G4519">
        <v>2</v>
      </c>
      <c r="M4519">
        <v>1</v>
      </c>
    </row>
    <row r="4520" spans="1:17" x14ac:dyDescent="0.2">
      <c r="A4520" t="s">
        <v>4924</v>
      </c>
      <c r="B4520" t="s">
        <v>4891</v>
      </c>
      <c r="C4520">
        <v>6</v>
      </c>
      <c r="D4520" s="6" t="s">
        <v>4925</v>
      </c>
      <c r="E4520" s="8" t="s">
        <v>5167</v>
      </c>
      <c r="F4520" t="s">
        <v>1538</v>
      </c>
      <c r="G4520">
        <v>32</v>
      </c>
      <c r="Q4520" t="s">
        <v>6727</v>
      </c>
    </row>
    <row r="4521" spans="1:17" x14ac:dyDescent="0.2">
      <c r="A4521" t="s">
        <v>4924</v>
      </c>
      <c r="B4521" t="s">
        <v>4891</v>
      </c>
      <c r="C4521">
        <v>6</v>
      </c>
      <c r="D4521" s="6" t="s">
        <v>4925</v>
      </c>
      <c r="E4521" s="8" t="s">
        <v>5169</v>
      </c>
      <c r="F4521" t="s">
        <v>1538</v>
      </c>
      <c r="G4521">
        <v>18</v>
      </c>
      <c r="Q4521" t="s">
        <v>6729</v>
      </c>
    </row>
    <row r="4522" spans="1:17" x14ac:dyDescent="0.2">
      <c r="A4522" t="s">
        <v>4924</v>
      </c>
      <c r="B4522" t="s">
        <v>4891</v>
      </c>
      <c r="C4522">
        <v>6</v>
      </c>
      <c r="D4522" s="6" t="s">
        <v>4925</v>
      </c>
      <c r="E4522" s="8" t="s">
        <v>5168</v>
      </c>
      <c r="F4522" t="s">
        <v>1538</v>
      </c>
      <c r="G4522">
        <v>7</v>
      </c>
      <c r="Q4522" t="s">
        <v>6726</v>
      </c>
    </row>
    <row r="4523" spans="1:17" x14ac:dyDescent="0.2">
      <c r="A4523" t="s">
        <v>4924</v>
      </c>
      <c r="B4523" t="s">
        <v>4891</v>
      </c>
      <c r="C4523">
        <v>6</v>
      </c>
      <c r="D4523" s="6" t="s">
        <v>4925</v>
      </c>
      <c r="E4523" s="8" t="s">
        <v>5170</v>
      </c>
      <c r="F4523" t="s">
        <v>1538</v>
      </c>
      <c r="G4523">
        <v>6</v>
      </c>
      <c r="Q4523" t="s">
        <v>6728</v>
      </c>
    </row>
    <row r="4524" spans="1:17" x14ac:dyDescent="0.2">
      <c r="A4524" t="s">
        <v>4924</v>
      </c>
      <c r="B4524" t="s">
        <v>4891</v>
      </c>
      <c r="C4524">
        <v>6</v>
      </c>
      <c r="D4524" s="6" t="s">
        <v>4925</v>
      </c>
      <c r="E4524" s="8" t="s">
        <v>5171</v>
      </c>
      <c r="F4524" t="s">
        <v>1538</v>
      </c>
      <c r="G4524">
        <v>4</v>
      </c>
      <c r="Q4524" t="s">
        <v>6725</v>
      </c>
    </row>
    <row r="4525" spans="1:17" x14ac:dyDescent="0.2">
      <c r="A4525" t="s">
        <v>4924</v>
      </c>
      <c r="B4525" t="s">
        <v>4891</v>
      </c>
      <c r="C4525">
        <v>6</v>
      </c>
      <c r="D4525" s="6" t="s">
        <v>4925</v>
      </c>
      <c r="E4525" s="8" t="s">
        <v>5140</v>
      </c>
      <c r="F4525" t="s">
        <v>1538</v>
      </c>
      <c r="G4525">
        <v>43</v>
      </c>
      <c r="M4525">
        <v>5</v>
      </c>
    </row>
    <row r="4526" spans="1:17" x14ac:dyDescent="0.2">
      <c r="A4526" t="s">
        <v>4924</v>
      </c>
      <c r="B4526" t="s">
        <v>4891</v>
      </c>
      <c r="C4526">
        <v>6</v>
      </c>
      <c r="D4526" s="6" t="s">
        <v>4925</v>
      </c>
      <c r="E4526" s="8" t="s">
        <v>5144</v>
      </c>
      <c r="F4526" t="s">
        <v>6760</v>
      </c>
      <c r="G4526">
        <v>13</v>
      </c>
    </row>
    <row r="4527" spans="1:17" x14ac:dyDescent="0.2">
      <c r="A4527" t="s">
        <v>4924</v>
      </c>
      <c r="B4527" t="s">
        <v>4891</v>
      </c>
      <c r="C4527">
        <v>6</v>
      </c>
      <c r="D4527" s="6" t="s">
        <v>4925</v>
      </c>
      <c r="E4527" s="8" t="s">
        <v>5142</v>
      </c>
      <c r="F4527" t="s">
        <v>1538</v>
      </c>
      <c r="G4527">
        <v>8</v>
      </c>
      <c r="Q4527" t="s">
        <v>6724</v>
      </c>
    </row>
    <row r="4528" spans="1:17" x14ac:dyDescent="0.2">
      <c r="A4528" t="s">
        <v>4924</v>
      </c>
      <c r="B4528" t="s">
        <v>4891</v>
      </c>
      <c r="C4528">
        <v>6</v>
      </c>
      <c r="D4528" s="6" t="s">
        <v>4925</v>
      </c>
      <c r="E4528" s="8" t="s">
        <v>5143</v>
      </c>
      <c r="F4528" t="s">
        <v>1538</v>
      </c>
      <c r="G4528">
        <v>7</v>
      </c>
      <c r="M4528" t="s">
        <v>5204</v>
      </c>
      <c r="Q4528" t="s">
        <v>6723</v>
      </c>
    </row>
    <row r="4529" spans="1:17" x14ac:dyDescent="0.2">
      <c r="A4529" t="s">
        <v>4924</v>
      </c>
      <c r="B4529" t="s">
        <v>4891</v>
      </c>
      <c r="C4529">
        <v>6</v>
      </c>
      <c r="D4529" s="6" t="s">
        <v>4925</v>
      </c>
      <c r="E4529" t="s">
        <v>5056</v>
      </c>
      <c r="F4529" t="s">
        <v>1538</v>
      </c>
      <c r="G4529">
        <v>16</v>
      </c>
      <c r="M4529">
        <v>3</v>
      </c>
    </row>
    <row r="4530" spans="1:17" x14ac:dyDescent="0.2">
      <c r="A4530" t="s">
        <v>4924</v>
      </c>
      <c r="B4530" t="s">
        <v>4891</v>
      </c>
      <c r="C4530">
        <v>6</v>
      </c>
      <c r="D4530" s="6" t="s">
        <v>4925</v>
      </c>
      <c r="E4530" s="8" t="s">
        <v>5145</v>
      </c>
      <c r="F4530" t="s">
        <v>6239</v>
      </c>
      <c r="G4530">
        <v>4</v>
      </c>
      <c r="M4530">
        <v>5</v>
      </c>
      <c r="O4530" t="s">
        <v>5206</v>
      </c>
    </row>
    <row r="4531" spans="1:17" x14ac:dyDescent="0.2">
      <c r="A4531" t="s">
        <v>4924</v>
      </c>
      <c r="B4531" t="s">
        <v>4891</v>
      </c>
      <c r="C4531">
        <v>6</v>
      </c>
      <c r="D4531" s="6" t="s">
        <v>4925</v>
      </c>
      <c r="E4531" s="8" t="s">
        <v>5147</v>
      </c>
      <c r="F4531" t="s">
        <v>5995</v>
      </c>
      <c r="G4531" t="s">
        <v>114</v>
      </c>
      <c r="Q4531" t="s">
        <v>6220</v>
      </c>
    </row>
    <row r="4532" spans="1:17" x14ac:dyDescent="0.2">
      <c r="A4532" t="s">
        <v>4924</v>
      </c>
      <c r="B4532" t="s">
        <v>4891</v>
      </c>
      <c r="C4532">
        <v>6</v>
      </c>
      <c r="D4532" s="6" t="s">
        <v>4925</v>
      </c>
      <c r="E4532" t="s">
        <v>5056</v>
      </c>
      <c r="F4532" t="s">
        <v>6239</v>
      </c>
      <c r="G4532">
        <v>2</v>
      </c>
      <c r="M4532">
        <v>4</v>
      </c>
    </row>
    <row r="4533" spans="1:17" x14ac:dyDescent="0.2">
      <c r="A4533" t="s">
        <v>4924</v>
      </c>
      <c r="B4533" t="s">
        <v>4891</v>
      </c>
      <c r="C4533">
        <v>6</v>
      </c>
      <c r="D4533" s="6" t="s">
        <v>4925</v>
      </c>
      <c r="E4533" s="8" t="s">
        <v>5156</v>
      </c>
      <c r="F4533" t="s">
        <v>6756</v>
      </c>
      <c r="G4533">
        <v>5</v>
      </c>
      <c r="Q4533" t="s">
        <v>6757</v>
      </c>
    </row>
    <row r="4534" spans="1:17" x14ac:dyDescent="0.2">
      <c r="A4534" t="s">
        <v>4924</v>
      </c>
      <c r="B4534" t="s">
        <v>4891</v>
      </c>
      <c r="C4534">
        <v>6</v>
      </c>
      <c r="D4534" s="6" t="s">
        <v>4925</v>
      </c>
      <c r="E4534" s="8" t="s">
        <v>5155</v>
      </c>
      <c r="F4534" t="s">
        <v>3875</v>
      </c>
      <c r="G4534">
        <v>6</v>
      </c>
      <c r="M4534">
        <v>2</v>
      </c>
    </row>
    <row r="4535" spans="1:17" x14ac:dyDescent="0.2">
      <c r="A4535" t="s">
        <v>4924</v>
      </c>
      <c r="B4535" t="s">
        <v>4891</v>
      </c>
      <c r="C4535">
        <v>6</v>
      </c>
      <c r="D4535" s="6" t="s">
        <v>4925</v>
      </c>
      <c r="E4535" s="8" t="s">
        <v>5151</v>
      </c>
      <c r="F4535" t="s">
        <v>3982</v>
      </c>
      <c r="G4535">
        <v>3</v>
      </c>
      <c r="M4535">
        <v>4</v>
      </c>
    </row>
    <row r="4536" spans="1:17" x14ac:dyDescent="0.2">
      <c r="A4536" t="s">
        <v>4924</v>
      </c>
      <c r="B4536" t="s">
        <v>4891</v>
      </c>
      <c r="C4536">
        <v>6</v>
      </c>
      <c r="D4536" s="6" t="s">
        <v>4925</v>
      </c>
      <c r="E4536" s="8" t="s">
        <v>5153</v>
      </c>
      <c r="F4536" t="s">
        <v>5209</v>
      </c>
      <c r="G4536">
        <v>2</v>
      </c>
      <c r="O4536" t="s">
        <v>5205</v>
      </c>
    </row>
    <row r="4537" spans="1:17" x14ac:dyDescent="0.2">
      <c r="A4537" t="s">
        <v>4924</v>
      </c>
      <c r="B4537" t="s">
        <v>4891</v>
      </c>
      <c r="C4537">
        <v>6</v>
      </c>
      <c r="D4537" s="6" t="s">
        <v>4925</v>
      </c>
      <c r="E4537" s="8" t="s">
        <v>5146</v>
      </c>
      <c r="F4537" t="s">
        <v>121</v>
      </c>
      <c r="G4537">
        <v>21</v>
      </c>
    </row>
    <row r="4538" spans="1:17" x14ac:dyDescent="0.2">
      <c r="A4538" t="s">
        <v>4924</v>
      </c>
      <c r="B4538" t="s">
        <v>4891</v>
      </c>
      <c r="C4538">
        <v>6</v>
      </c>
      <c r="D4538" s="6" t="s">
        <v>4925</v>
      </c>
      <c r="E4538" s="8" t="s">
        <v>5154</v>
      </c>
      <c r="F4538" t="s">
        <v>3927</v>
      </c>
      <c r="G4538">
        <v>6</v>
      </c>
    </row>
    <row r="4539" spans="1:17" x14ac:dyDescent="0.2">
      <c r="A4539" t="s">
        <v>4924</v>
      </c>
      <c r="B4539" t="s">
        <v>4891</v>
      </c>
      <c r="C4539">
        <v>6</v>
      </c>
      <c r="D4539" s="6" t="s">
        <v>4925</v>
      </c>
      <c r="E4539" s="8" t="s">
        <v>5152</v>
      </c>
      <c r="F4539" t="s">
        <v>106</v>
      </c>
      <c r="G4539">
        <v>1</v>
      </c>
    </row>
    <row r="4540" spans="1:17" x14ac:dyDescent="0.2">
      <c r="A4540" t="s">
        <v>4924</v>
      </c>
      <c r="B4540" t="s">
        <v>4891</v>
      </c>
      <c r="C4540">
        <v>6</v>
      </c>
      <c r="D4540" s="6" t="s">
        <v>4925</v>
      </c>
      <c r="E4540" s="8" t="s">
        <v>5148</v>
      </c>
      <c r="F4540" t="s">
        <v>6933</v>
      </c>
      <c r="G4540">
        <v>50</v>
      </c>
      <c r="M4540">
        <v>3</v>
      </c>
      <c r="Q4540" t="s">
        <v>6730</v>
      </c>
    </row>
    <row r="4541" spans="1:17" x14ac:dyDescent="0.2">
      <c r="A4541" t="s">
        <v>4924</v>
      </c>
      <c r="B4541" t="s">
        <v>4891</v>
      </c>
      <c r="C4541">
        <v>6</v>
      </c>
      <c r="D4541" s="6" t="s">
        <v>4925</v>
      </c>
      <c r="E4541" s="8" t="s">
        <v>5149</v>
      </c>
      <c r="F4541" t="s">
        <v>6579</v>
      </c>
      <c r="G4541">
        <v>60</v>
      </c>
      <c r="O4541" t="s">
        <v>5217</v>
      </c>
      <c r="Q4541" t="s">
        <v>6730</v>
      </c>
    </row>
    <row r="4542" spans="1:17" x14ac:dyDescent="0.2">
      <c r="A4542" t="s">
        <v>4924</v>
      </c>
      <c r="B4542" t="s">
        <v>4891</v>
      </c>
      <c r="C4542">
        <v>6</v>
      </c>
      <c r="D4542" s="6" t="s">
        <v>4925</v>
      </c>
      <c r="E4542" s="8" t="s">
        <v>5150</v>
      </c>
      <c r="F4542" t="s">
        <v>10597</v>
      </c>
      <c r="G4542">
        <v>16</v>
      </c>
      <c r="O4542" t="s">
        <v>5218</v>
      </c>
      <c r="Q4542" t="s">
        <v>6730</v>
      </c>
    </row>
    <row r="4543" spans="1:17" x14ac:dyDescent="0.2">
      <c r="A4543" t="s">
        <v>4924</v>
      </c>
      <c r="B4543" t="s">
        <v>4891</v>
      </c>
      <c r="C4543">
        <v>6</v>
      </c>
      <c r="D4543" s="6" t="s">
        <v>4925</v>
      </c>
      <c r="E4543" s="8" t="s">
        <v>5157</v>
      </c>
      <c r="F4543" t="s">
        <v>6654</v>
      </c>
      <c r="G4543">
        <v>4</v>
      </c>
      <c r="Q4543" t="s">
        <v>6731</v>
      </c>
    </row>
    <row r="4544" spans="1:17" x14ac:dyDescent="0.2">
      <c r="A4544" t="s">
        <v>4924</v>
      </c>
      <c r="B4544" t="s">
        <v>4891</v>
      </c>
      <c r="C4544">
        <v>6</v>
      </c>
      <c r="D4544" s="6" t="s">
        <v>4925</v>
      </c>
      <c r="E4544" s="8" t="s">
        <v>5158</v>
      </c>
      <c r="F4544" t="s">
        <v>6231</v>
      </c>
      <c r="G4544">
        <v>7</v>
      </c>
      <c r="Q4544" t="s">
        <v>6732</v>
      </c>
    </row>
    <row r="4545" spans="1:17" x14ac:dyDescent="0.2">
      <c r="A4545" t="s">
        <v>4924</v>
      </c>
      <c r="B4545" t="s">
        <v>4891</v>
      </c>
      <c r="C4545">
        <v>6</v>
      </c>
      <c r="D4545" s="6" t="s">
        <v>4925</v>
      </c>
      <c r="E4545" s="8" t="s">
        <v>5173</v>
      </c>
      <c r="F4545" t="s">
        <v>1425</v>
      </c>
      <c r="G4545">
        <v>4</v>
      </c>
      <c r="Q4545" t="s">
        <v>6759</v>
      </c>
    </row>
    <row r="4546" spans="1:17" x14ac:dyDescent="0.2">
      <c r="A4546" t="s">
        <v>4924</v>
      </c>
      <c r="B4546" t="s">
        <v>4891</v>
      </c>
      <c r="C4546">
        <v>6</v>
      </c>
      <c r="D4546" s="6" t="s">
        <v>4925</v>
      </c>
      <c r="E4546" s="8" t="s">
        <v>5172</v>
      </c>
      <c r="F4546" t="s">
        <v>1425</v>
      </c>
      <c r="G4546">
        <v>2</v>
      </c>
      <c r="Q4546" t="s">
        <v>6758</v>
      </c>
    </row>
    <row r="4547" spans="1:17" x14ac:dyDescent="0.2">
      <c r="A4547" t="s">
        <v>4924</v>
      </c>
      <c r="B4547" t="s">
        <v>4891</v>
      </c>
      <c r="C4547">
        <v>6</v>
      </c>
      <c r="D4547" s="6" t="s">
        <v>4925</v>
      </c>
      <c r="E4547" s="8" t="s">
        <v>5174</v>
      </c>
      <c r="F4547" t="s">
        <v>5995</v>
      </c>
      <c r="G4547" t="s">
        <v>114</v>
      </c>
      <c r="Q4547" t="s">
        <v>6221</v>
      </c>
    </row>
    <row r="4548" spans="1:17" x14ac:dyDescent="0.2">
      <c r="A4548" t="s">
        <v>4924</v>
      </c>
      <c r="B4548" t="s">
        <v>4891</v>
      </c>
      <c r="C4548">
        <v>6</v>
      </c>
      <c r="D4548" s="6" t="s">
        <v>4925</v>
      </c>
      <c r="E4548" s="8" t="s">
        <v>5175</v>
      </c>
      <c r="F4548" t="s">
        <v>5995</v>
      </c>
      <c r="G4548" t="s">
        <v>114</v>
      </c>
      <c r="Q4548" t="s">
        <v>6222</v>
      </c>
    </row>
    <row r="4549" spans="1:17" x14ac:dyDescent="0.2">
      <c r="A4549" t="s">
        <v>4924</v>
      </c>
      <c r="B4549" t="s">
        <v>4891</v>
      </c>
      <c r="C4549">
        <v>6</v>
      </c>
      <c r="D4549" s="6" t="s">
        <v>4925</v>
      </c>
      <c r="E4549" s="8" t="s">
        <v>5139</v>
      </c>
      <c r="F4549" t="s">
        <v>5995</v>
      </c>
      <c r="G4549">
        <v>1</v>
      </c>
      <c r="Q4549" t="s">
        <v>6223</v>
      </c>
    </row>
    <row r="4550" spans="1:17" x14ac:dyDescent="0.2">
      <c r="A4550" t="s">
        <v>4924</v>
      </c>
      <c r="B4550" t="s">
        <v>4891</v>
      </c>
      <c r="C4550">
        <v>6</v>
      </c>
      <c r="D4550" s="6" t="s">
        <v>4925</v>
      </c>
      <c r="E4550" s="8" t="s">
        <v>5162</v>
      </c>
      <c r="F4550" t="s">
        <v>5995</v>
      </c>
      <c r="G4550" t="s">
        <v>114</v>
      </c>
      <c r="Q4550" t="s">
        <v>6224</v>
      </c>
    </row>
    <row r="4551" spans="1:17" x14ac:dyDescent="0.2">
      <c r="A4551" t="s">
        <v>4924</v>
      </c>
      <c r="B4551" t="s">
        <v>4891</v>
      </c>
      <c r="C4551">
        <v>6</v>
      </c>
      <c r="D4551" s="6" t="s">
        <v>4925</v>
      </c>
      <c r="E4551" s="8" t="s">
        <v>5159</v>
      </c>
      <c r="F4551" t="s">
        <v>5995</v>
      </c>
      <c r="G4551" t="s">
        <v>114</v>
      </c>
      <c r="Q4551" t="s">
        <v>6225</v>
      </c>
    </row>
    <row r="4552" spans="1:17" x14ac:dyDescent="0.2">
      <c r="A4552" t="s">
        <v>4924</v>
      </c>
      <c r="B4552" t="s">
        <v>4891</v>
      </c>
      <c r="C4552">
        <v>6</v>
      </c>
      <c r="D4552" s="6" t="s">
        <v>4925</v>
      </c>
      <c r="E4552" s="8" t="s">
        <v>5160</v>
      </c>
      <c r="F4552" t="s">
        <v>5995</v>
      </c>
      <c r="G4552" t="s">
        <v>114</v>
      </c>
      <c r="M4552">
        <v>2</v>
      </c>
    </row>
    <row r="4553" spans="1:17" x14ac:dyDescent="0.2">
      <c r="A4553" t="s">
        <v>4924</v>
      </c>
      <c r="B4553" t="s">
        <v>4891</v>
      </c>
      <c r="C4553">
        <v>6</v>
      </c>
      <c r="D4553" s="6" t="s">
        <v>4925</v>
      </c>
      <c r="E4553" s="8" t="s">
        <v>5161</v>
      </c>
      <c r="F4553" t="s">
        <v>1389</v>
      </c>
      <c r="G4553">
        <v>5</v>
      </c>
      <c r="Q4553" t="s">
        <v>6736</v>
      </c>
    </row>
    <row r="4554" spans="1:17" x14ac:dyDescent="0.2">
      <c r="A4554" t="s">
        <v>4924</v>
      </c>
      <c r="B4554" t="s">
        <v>4891</v>
      </c>
      <c r="C4554">
        <v>6</v>
      </c>
      <c r="D4554" s="6" t="s">
        <v>4925</v>
      </c>
      <c r="E4554" s="8" t="s">
        <v>5184</v>
      </c>
      <c r="F4554" t="s">
        <v>1389</v>
      </c>
      <c r="G4554">
        <v>7</v>
      </c>
      <c r="Q4554" t="s">
        <v>6735</v>
      </c>
    </row>
    <row r="4555" spans="1:17" x14ac:dyDescent="0.2">
      <c r="A4555" t="s">
        <v>4924</v>
      </c>
      <c r="B4555" t="s">
        <v>4891</v>
      </c>
      <c r="C4555">
        <v>6</v>
      </c>
      <c r="D4555" s="6" t="s">
        <v>4925</v>
      </c>
      <c r="E4555" s="8" t="s">
        <v>5185</v>
      </c>
      <c r="F4555" t="s">
        <v>1389</v>
      </c>
      <c r="G4555">
        <v>1</v>
      </c>
      <c r="Q4555" t="s">
        <v>6734</v>
      </c>
    </row>
    <row r="4556" spans="1:17" x14ac:dyDescent="0.2">
      <c r="A4556" t="s">
        <v>4924</v>
      </c>
      <c r="B4556" t="s">
        <v>4891</v>
      </c>
      <c r="C4556">
        <v>6</v>
      </c>
      <c r="D4556" s="6" t="s">
        <v>4925</v>
      </c>
      <c r="E4556" s="8" t="s">
        <v>5186</v>
      </c>
      <c r="F4556" t="s">
        <v>1389</v>
      </c>
      <c r="G4556">
        <v>2</v>
      </c>
      <c r="Q4556" t="s">
        <v>6733</v>
      </c>
    </row>
    <row r="4557" spans="1:17" x14ac:dyDescent="0.2">
      <c r="A4557" t="s">
        <v>4924</v>
      </c>
      <c r="B4557" t="s">
        <v>4891</v>
      </c>
      <c r="C4557">
        <v>6</v>
      </c>
      <c r="D4557" s="6" t="s">
        <v>4925</v>
      </c>
      <c r="E4557" s="8" t="s">
        <v>5184</v>
      </c>
      <c r="F4557" t="s">
        <v>1389</v>
      </c>
      <c r="G4557">
        <v>3</v>
      </c>
      <c r="M4557">
        <v>6</v>
      </c>
      <c r="P4557" t="s">
        <v>6761</v>
      </c>
    </row>
    <row r="4558" spans="1:17" x14ac:dyDescent="0.2">
      <c r="A4558" t="s">
        <v>4924</v>
      </c>
      <c r="B4558" t="s">
        <v>4891</v>
      </c>
      <c r="C4558">
        <v>6</v>
      </c>
      <c r="D4558" s="6" t="s">
        <v>4925</v>
      </c>
      <c r="E4558" t="s">
        <v>5056</v>
      </c>
      <c r="F4558" t="s">
        <v>1425</v>
      </c>
      <c r="G4558">
        <v>1</v>
      </c>
    </row>
    <row r="4559" spans="1:17" x14ac:dyDescent="0.2">
      <c r="A4559" t="s">
        <v>4924</v>
      </c>
      <c r="B4559" t="s">
        <v>4891</v>
      </c>
      <c r="C4559">
        <v>6</v>
      </c>
      <c r="D4559" s="6" t="s">
        <v>4925</v>
      </c>
      <c r="E4559" t="s">
        <v>5056</v>
      </c>
      <c r="F4559" t="s">
        <v>1389</v>
      </c>
      <c r="G4559">
        <v>3</v>
      </c>
      <c r="M4559">
        <v>4</v>
      </c>
    </row>
    <row r="4560" spans="1:17" x14ac:dyDescent="0.2">
      <c r="A4560" t="s">
        <v>4924</v>
      </c>
      <c r="B4560" t="s">
        <v>4891</v>
      </c>
      <c r="C4560">
        <v>6</v>
      </c>
      <c r="D4560" s="6" t="s">
        <v>4925</v>
      </c>
      <c r="E4560" t="s">
        <v>5056</v>
      </c>
      <c r="F4560" t="s">
        <v>1311</v>
      </c>
      <c r="G4560">
        <v>1</v>
      </c>
      <c r="M4560">
        <v>4</v>
      </c>
    </row>
    <row r="4561" spans="1:17" x14ac:dyDescent="0.2">
      <c r="A4561" t="s">
        <v>4924</v>
      </c>
      <c r="B4561" t="s">
        <v>4891</v>
      </c>
      <c r="C4561">
        <v>6</v>
      </c>
      <c r="D4561" s="6" t="s">
        <v>4925</v>
      </c>
      <c r="E4561" t="s">
        <v>5056</v>
      </c>
      <c r="F4561" t="s">
        <v>1538</v>
      </c>
      <c r="G4561">
        <v>2</v>
      </c>
      <c r="M4561">
        <v>6</v>
      </c>
    </row>
    <row r="4562" spans="1:17" x14ac:dyDescent="0.2">
      <c r="A4562" t="s">
        <v>4924</v>
      </c>
      <c r="B4562" t="s">
        <v>4891</v>
      </c>
      <c r="C4562">
        <v>1</v>
      </c>
      <c r="D4562" s="6" t="s">
        <v>4925</v>
      </c>
      <c r="E4562" s="8" t="s">
        <v>5091</v>
      </c>
      <c r="F4562" t="s">
        <v>7192</v>
      </c>
      <c r="H4562">
        <f>1.838-0.285</f>
        <v>1.5530000000000002</v>
      </c>
    </row>
    <row r="4563" spans="1:17" x14ac:dyDescent="0.2">
      <c r="A4563" t="s">
        <v>4924</v>
      </c>
      <c r="B4563" t="s">
        <v>4891</v>
      </c>
      <c r="C4563">
        <v>1</v>
      </c>
      <c r="D4563" s="6" t="s">
        <v>4925</v>
      </c>
      <c r="E4563" t="s">
        <v>5056</v>
      </c>
      <c r="F4563" t="s">
        <v>5212</v>
      </c>
      <c r="G4563">
        <v>491</v>
      </c>
    </row>
    <row r="4564" spans="1:17" x14ac:dyDescent="0.2">
      <c r="A4564" t="s">
        <v>4924</v>
      </c>
      <c r="B4564" t="s">
        <v>4891</v>
      </c>
      <c r="C4564">
        <v>1</v>
      </c>
      <c r="D4564" s="6" t="s">
        <v>4925</v>
      </c>
      <c r="E4564" s="8" t="s">
        <v>5090</v>
      </c>
      <c r="F4564" t="s">
        <v>3940</v>
      </c>
      <c r="G4564">
        <v>242</v>
      </c>
    </row>
    <row r="4565" spans="1:17" x14ac:dyDescent="0.2">
      <c r="A4565" t="s">
        <v>4924</v>
      </c>
      <c r="B4565" t="s">
        <v>4891</v>
      </c>
      <c r="C4565">
        <v>1</v>
      </c>
      <c r="D4565" s="6" t="s">
        <v>4925</v>
      </c>
      <c r="E4565" s="8" t="s">
        <v>5089</v>
      </c>
      <c r="F4565" t="s">
        <v>112</v>
      </c>
      <c r="G4565">
        <v>112</v>
      </c>
      <c r="M4565">
        <v>4</v>
      </c>
    </row>
    <row r="4566" spans="1:17" x14ac:dyDescent="0.2">
      <c r="A4566" t="s">
        <v>4924</v>
      </c>
      <c r="B4566" t="s">
        <v>4891</v>
      </c>
      <c r="C4566">
        <v>1</v>
      </c>
      <c r="D4566" s="6" t="s">
        <v>4925</v>
      </c>
      <c r="E4566" t="s">
        <v>5056</v>
      </c>
      <c r="F4566" t="s">
        <v>2185</v>
      </c>
      <c r="H4566">
        <f>5.8-0.59</f>
        <v>5.21</v>
      </c>
      <c r="P4566" t="s">
        <v>5570</v>
      </c>
    </row>
    <row r="4567" spans="1:17" x14ac:dyDescent="0.2">
      <c r="A4567" t="s">
        <v>4924</v>
      </c>
      <c r="B4567" t="s">
        <v>4891</v>
      </c>
      <c r="C4567">
        <v>1</v>
      </c>
      <c r="D4567" s="6" t="s">
        <v>4925</v>
      </c>
      <c r="E4567" s="8" t="s">
        <v>5082</v>
      </c>
      <c r="F4567" t="s">
        <v>5213</v>
      </c>
      <c r="G4567">
        <v>356</v>
      </c>
    </row>
    <row r="4568" spans="1:17" x14ac:dyDescent="0.2">
      <c r="A4568" t="s">
        <v>4924</v>
      </c>
      <c r="B4568" t="s">
        <v>4891</v>
      </c>
      <c r="C4568">
        <v>1</v>
      </c>
      <c r="D4568" s="6" t="s">
        <v>4925</v>
      </c>
      <c r="E4568" s="8" t="s">
        <v>5056</v>
      </c>
      <c r="F4568" t="s">
        <v>2222</v>
      </c>
      <c r="G4568">
        <f>0.745-0.323</f>
        <v>0.42199999999999999</v>
      </c>
      <c r="O4568" t="s">
        <v>5216</v>
      </c>
      <c r="P4568" t="s">
        <v>5570</v>
      </c>
    </row>
    <row r="4569" spans="1:17" x14ac:dyDescent="0.2">
      <c r="A4569" t="s">
        <v>4924</v>
      </c>
      <c r="B4569" t="s">
        <v>4891</v>
      </c>
      <c r="C4569">
        <v>1</v>
      </c>
      <c r="D4569" s="6" t="s">
        <v>4925</v>
      </c>
      <c r="E4569" t="s">
        <v>5056</v>
      </c>
      <c r="F4569" t="s">
        <v>1264</v>
      </c>
      <c r="H4569">
        <f>17.5-1.8</f>
        <v>15.7</v>
      </c>
    </row>
    <row r="4570" spans="1:17" x14ac:dyDescent="0.2">
      <c r="A4570" t="s">
        <v>4924</v>
      </c>
      <c r="B4570" t="s">
        <v>4891</v>
      </c>
      <c r="C4570">
        <v>1</v>
      </c>
      <c r="D4570" s="6" t="s">
        <v>4925</v>
      </c>
      <c r="E4570" s="8" t="s">
        <v>5081</v>
      </c>
      <c r="F4570" t="s">
        <v>5214</v>
      </c>
      <c r="G4570">
        <v>41</v>
      </c>
      <c r="O4570" t="s">
        <v>5215</v>
      </c>
    </row>
    <row r="4571" spans="1:17" x14ac:dyDescent="0.2">
      <c r="A4571" t="s">
        <v>4929</v>
      </c>
      <c r="B4571" t="s">
        <v>4892</v>
      </c>
      <c r="C4571">
        <v>2</v>
      </c>
      <c r="D4571" s="6" t="s">
        <v>4925</v>
      </c>
      <c r="E4571" s="8" t="s">
        <v>5081</v>
      </c>
      <c r="F4571" t="s">
        <v>1538</v>
      </c>
      <c r="G4571">
        <v>10</v>
      </c>
      <c r="Q4571" t="s">
        <v>6764</v>
      </c>
    </row>
    <row r="4572" spans="1:17" x14ac:dyDescent="0.2">
      <c r="A4572" t="s">
        <v>4929</v>
      </c>
      <c r="B4572" t="s">
        <v>4892</v>
      </c>
      <c r="C4572">
        <v>2</v>
      </c>
      <c r="D4572" s="6" t="s">
        <v>4925</v>
      </c>
      <c r="E4572" s="8" t="s">
        <v>5082</v>
      </c>
      <c r="F4572" t="s">
        <v>1425</v>
      </c>
      <c r="G4572">
        <v>4</v>
      </c>
      <c r="Q4572" t="s">
        <v>6765</v>
      </c>
    </row>
    <row r="4573" spans="1:17" x14ac:dyDescent="0.2">
      <c r="A4573" t="s">
        <v>4929</v>
      </c>
      <c r="B4573" t="s">
        <v>4892</v>
      </c>
      <c r="C4573">
        <v>2</v>
      </c>
      <c r="D4573" s="6" t="s">
        <v>4925</v>
      </c>
      <c r="E4573" s="8" t="s">
        <v>5089</v>
      </c>
      <c r="F4573" t="s">
        <v>1425</v>
      </c>
      <c r="G4573">
        <v>4</v>
      </c>
      <c r="Q4573" t="s">
        <v>6766</v>
      </c>
    </row>
    <row r="4574" spans="1:17" x14ac:dyDescent="0.2">
      <c r="A4574" t="s">
        <v>4929</v>
      </c>
      <c r="B4574" t="s">
        <v>4892</v>
      </c>
      <c r="C4574">
        <v>2</v>
      </c>
      <c r="D4574" s="6" t="s">
        <v>4925</v>
      </c>
      <c r="E4574" s="8" t="s">
        <v>5090</v>
      </c>
      <c r="F4574" t="s">
        <v>984</v>
      </c>
      <c r="G4574">
        <v>17</v>
      </c>
      <c r="O4574" t="s">
        <v>6763</v>
      </c>
    </row>
    <row r="4575" spans="1:17" x14ac:dyDescent="0.2">
      <c r="A4575" t="s">
        <v>4929</v>
      </c>
      <c r="B4575" t="s">
        <v>4892</v>
      </c>
      <c r="C4575">
        <v>2</v>
      </c>
      <c r="D4575" s="6" t="s">
        <v>4925</v>
      </c>
      <c r="E4575" s="8" t="s">
        <v>5091</v>
      </c>
      <c r="F4575" t="s">
        <v>5219</v>
      </c>
      <c r="G4575">
        <v>1</v>
      </c>
    </row>
    <row r="4576" spans="1:17" x14ac:dyDescent="0.2">
      <c r="A4576" t="s">
        <v>4929</v>
      </c>
      <c r="B4576" t="s">
        <v>4892</v>
      </c>
      <c r="C4576">
        <v>2</v>
      </c>
      <c r="D4576" s="6" t="s">
        <v>4925</v>
      </c>
      <c r="E4576" s="8" t="s">
        <v>5092</v>
      </c>
      <c r="F4576" t="s">
        <v>6239</v>
      </c>
      <c r="G4576" t="s">
        <v>114</v>
      </c>
      <c r="Q4576" t="s">
        <v>6762</v>
      </c>
    </row>
    <row r="4577" spans="1:17" x14ac:dyDescent="0.2">
      <c r="A4577" t="s">
        <v>4929</v>
      </c>
      <c r="B4577" t="s">
        <v>4892</v>
      </c>
      <c r="C4577">
        <v>2</v>
      </c>
      <c r="D4577" s="6" t="s">
        <v>4925</v>
      </c>
      <c r="E4577" s="8" t="s">
        <v>5094</v>
      </c>
      <c r="F4577" t="s">
        <v>1264</v>
      </c>
      <c r="G4577">
        <v>33</v>
      </c>
    </row>
    <row r="4578" spans="1:17" x14ac:dyDescent="0.2">
      <c r="A4578" t="s">
        <v>4929</v>
      </c>
      <c r="B4578" t="s">
        <v>4892</v>
      </c>
      <c r="C4578">
        <v>3</v>
      </c>
      <c r="D4578" s="6" t="s">
        <v>4925</v>
      </c>
      <c r="E4578" s="8" t="s">
        <v>5081</v>
      </c>
      <c r="F4578" t="s">
        <v>6670</v>
      </c>
      <c r="G4578">
        <v>33</v>
      </c>
      <c r="Q4578" t="s">
        <v>6772</v>
      </c>
    </row>
    <row r="4579" spans="1:17" x14ac:dyDescent="0.2">
      <c r="A4579" t="s">
        <v>4929</v>
      </c>
      <c r="B4579" t="s">
        <v>4892</v>
      </c>
      <c r="C4579">
        <v>3</v>
      </c>
      <c r="D4579" s="6" t="s">
        <v>4925</v>
      </c>
      <c r="E4579" s="8" t="s">
        <v>5082</v>
      </c>
      <c r="F4579" t="s">
        <v>1425</v>
      </c>
      <c r="G4579">
        <v>18</v>
      </c>
      <c r="Q4579" t="s">
        <v>6770</v>
      </c>
    </row>
    <row r="4580" spans="1:17" x14ac:dyDescent="0.2">
      <c r="A4580" t="s">
        <v>4929</v>
      </c>
      <c r="B4580" t="s">
        <v>4892</v>
      </c>
      <c r="C4580">
        <v>3</v>
      </c>
      <c r="D4580" s="6" t="s">
        <v>4925</v>
      </c>
      <c r="E4580" s="8" t="s">
        <v>5089</v>
      </c>
      <c r="F4580" t="s">
        <v>1425</v>
      </c>
      <c r="G4580">
        <v>11</v>
      </c>
      <c r="Q4580" t="s">
        <v>6771</v>
      </c>
    </row>
    <row r="4581" spans="1:17" x14ac:dyDescent="0.2">
      <c r="A4581" t="s">
        <v>4929</v>
      </c>
      <c r="B4581" t="s">
        <v>4892</v>
      </c>
      <c r="C4581">
        <v>3</v>
      </c>
      <c r="D4581" s="6" t="s">
        <v>4925</v>
      </c>
      <c r="E4581" s="8" t="s">
        <v>5090</v>
      </c>
      <c r="F4581" t="s">
        <v>1425</v>
      </c>
      <c r="G4581">
        <v>7</v>
      </c>
      <c r="Q4581" t="s">
        <v>6769</v>
      </c>
    </row>
    <row r="4582" spans="1:17" x14ac:dyDescent="0.2">
      <c r="A4582" t="s">
        <v>4929</v>
      </c>
      <c r="B4582" t="s">
        <v>4892</v>
      </c>
      <c r="C4582">
        <v>3</v>
      </c>
      <c r="D4582" s="6" t="s">
        <v>4925</v>
      </c>
      <c r="E4582" s="8" t="s">
        <v>5091</v>
      </c>
      <c r="F4582" t="s">
        <v>1425</v>
      </c>
      <c r="G4582">
        <v>2</v>
      </c>
      <c r="Q4582" t="s">
        <v>6767</v>
      </c>
    </row>
    <row r="4583" spans="1:17" x14ac:dyDescent="0.2">
      <c r="A4583" t="s">
        <v>4929</v>
      </c>
      <c r="B4583" t="s">
        <v>4892</v>
      </c>
      <c r="C4583">
        <v>3</v>
      </c>
      <c r="D4583" s="6" t="s">
        <v>4925</v>
      </c>
      <c r="E4583" s="8" t="s">
        <v>5092</v>
      </c>
      <c r="F4583" t="s">
        <v>1425</v>
      </c>
      <c r="G4583">
        <v>4</v>
      </c>
      <c r="Q4583" t="s">
        <v>6768</v>
      </c>
    </row>
    <row r="4584" spans="1:17" x14ac:dyDescent="0.2">
      <c r="A4584" t="s">
        <v>4929</v>
      </c>
      <c r="B4584" t="s">
        <v>4892</v>
      </c>
      <c r="C4584">
        <v>3</v>
      </c>
      <c r="D4584" s="6" t="s">
        <v>4925</v>
      </c>
      <c r="E4584" s="8" t="s">
        <v>5094</v>
      </c>
      <c r="F4584" t="s">
        <v>1425</v>
      </c>
      <c r="G4584">
        <v>31</v>
      </c>
      <c r="M4584">
        <v>5</v>
      </c>
    </row>
    <row r="4585" spans="1:17" x14ac:dyDescent="0.2">
      <c r="A4585" t="s">
        <v>4929</v>
      </c>
      <c r="B4585" t="s">
        <v>4892</v>
      </c>
      <c r="C4585">
        <v>3</v>
      </c>
      <c r="D4585" s="6" t="s">
        <v>4925</v>
      </c>
      <c r="E4585" t="s">
        <v>5056</v>
      </c>
      <c r="F4585" t="s">
        <v>1425</v>
      </c>
      <c r="G4585">
        <v>105</v>
      </c>
      <c r="M4585">
        <v>22</v>
      </c>
    </row>
    <row r="4586" spans="1:17" x14ac:dyDescent="0.2">
      <c r="A4586" t="s">
        <v>4929</v>
      </c>
      <c r="B4586" t="s">
        <v>4892</v>
      </c>
      <c r="C4586">
        <v>3</v>
      </c>
      <c r="D4586" s="6" t="s">
        <v>4925</v>
      </c>
      <c r="E4586" s="8" t="s">
        <v>5097</v>
      </c>
      <c r="F4586" t="s">
        <v>1311</v>
      </c>
      <c r="G4586">
        <v>3</v>
      </c>
      <c r="Q4586" t="s">
        <v>6773</v>
      </c>
    </row>
    <row r="4587" spans="1:17" x14ac:dyDescent="0.2">
      <c r="A4587" t="s">
        <v>4929</v>
      </c>
      <c r="B4587" t="s">
        <v>4892</v>
      </c>
      <c r="C4587">
        <v>3</v>
      </c>
      <c r="D4587" s="6" t="s">
        <v>4925</v>
      </c>
      <c r="E4587" s="8" t="s">
        <v>5098</v>
      </c>
      <c r="F4587" t="s">
        <v>1311</v>
      </c>
      <c r="G4587">
        <v>3</v>
      </c>
      <c r="Q4587" t="s">
        <v>6775</v>
      </c>
    </row>
    <row r="4588" spans="1:17" x14ac:dyDescent="0.2">
      <c r="A4588" t="s">
        <v>4929</v>
      </c>
      <c r="B4588" t="s">
        <v>4892</v>
      </c>
      <c r="C4588">
        <v>3</v>
      </c>
      <c r="D4588" s="6" t="s">
        <v>4925</v>
      </c>
      <c r="E4588" s="8" t="s">
        <v>5166</v>
      </c>
      <c r="F4588" t="s">
        <v>1311</v>
      </c>
      <c r="G4588">
        <v>1</v>
      </c>
      <c r="Q4588" t="s">
        <v>6776</v>
      </c>
    </row>
    <row r="4589" spans="1:17" x14ac:dyDescent="0.2">
      <c r="A4589" t="s">
        <v>4929</v>
      </c>
      <c r="B4589" t="s">
        <v>4892</v>
      </c>
      <c r="C4589">
        <v>3</v>
      </c>
      <c r="D4589" s="6" t="s">
        <v>4925</v>
      </c>
      <c r="E4589" s="8" t="s">
        <v>5167</v>
      </c>
      <c r="F4589" t="s">
        <v>1311</v>
      </c>
      <c r="G4589">
        <v>1</v>
      </c>
      <c r="Q4589" t="s">
        <v>6774</v>
      </c>
    </row>
    <row r="4590" spans="1:17" x14ac:dyDescent="0.2">
      <c r="A4590" t="s">
        <v>4929</v>
      </c>
      <c r="B4590" t="s">
        <v>4892</v>
      </c>
      <c r="C4590">
        <v>3</v>
      </c>
      <c r="D4590" s="6" t="s">
        <v>4925</v>
      </c>
      <c r="E4590" s="8" t="s">
        <v>5168</v>
      </c>
      <c r="F4590" t="s">
        <v>1311</v>
      </c>
      <c r="G4590">
        <v>3</v>
      </c>
      <c r="Q4590" t="s">
        <v>6777</v>
      </c>
    </row>
    <row r="4591" spans="1:17" x14ac:dyDescent="0.2">
      <c r="A4591" t="s">
        <v>4929</v>
      </c>
      <c r="B4591" t="s">
        <v>4892</v>
      </c>
      <c r="C4591">
        <v>3</v>
      </c>
      <c r="D4591" s="6" t="s">
        <v>4925</v>
      </c>
      <c r="E4591" s="8" t="s">
        <v>5169</v>
      </c>
      <c r="F4591" t="s">
        <v>1311</v>
      </c>
      <c r="G4591">
        <v>10</v>
      </c>
      <c r="M4591">
        <v>5</v>
      </c>
    </row>
    <row r="4592" spans="1:17" x14ac:dyDescent="0.2">
      <c r="A4592" t="s">
        <v>4929</v>
      </c>
      <c r="B4592" t="s">
        <v>4892</v>
      </c>
      <c r="C4592">
        <v>3</v>
      </c>
      <c r="D4592" s="6" t="s">
        <v>4925</v>
      </c>
      <c r="E4592" t="s">
        <v>5056</v>
      </c>
      <c r="F4592" t="s">
        <v>1311</v>
      </c>
      <c r="G4592">
        <v>106</v>
      </c>
      <c r="M4592">
        <v>46</v>
      </c>
    </row>
    <row r="4593" spans="1:17" x14ac:dyDescent="0.2">
      <c r="A4593" t="s">
        <v>4929</v>
      </c>
      <c r="B4593" t="s">
        <v>4892</v>
      </c>
      <c r="C4593">
        <v>3</v>
      </c>
      <c r="D4593" s="6" t="s">
        <v>4925</v>
      </c>
      <c r="E4593" s="8" t="s">
        <v>5145</v>
      </c>
      <c r="F4593" t="s">
        <v>6760</v>
      </c>
      <c r="G4593">
        <v>14</v>
      </c>
      <c r="Q4593" t="s">
        <v>6778</v>
      </c>
    </row>
    <row r="4594" spans="1:17" x14ac:dyDescent="0.2">
      <c r="A4594" t="s">
        <v>4929</v>
      </c>
      <c r="B4594" t="s">
        <v>4892</v>
      </c>
      <c r="C4594">
        <v>3</v>
      </c>
      <c r="D4594" s="6" t="s">
        <v>4925</v>
      </c>
      <c r="E4594" s="8" t="s">
        <v>5146</v>
      </c>
      <c r="F4594" s="6" t="s">
        <v>6779</v>
      </c>
      <c r="G4594">
        <v>13</v>
      </c>
      <c r="O4594" t="s">
        <v>6244</v>
      </c>
      <c r="Q4594" t="s">
        <v>6780</v>
      </c>
    </row>
    <row r="4595" spans="1:17" x14ac:dyDescent="0.2">
      <c r="A4595" t="s">
        <v>4929</v>
      </c>
      <c r="B4595" t="s">
        <v>4892</v>
      </c>
      <c r="C4595">
        <v>3</v>
      </c>
      <c r="D4595" s="6" t="s">
        <v>4925</v>
      </c>
      <c r="E4595" s="8" t="s">
        <v>5147</v>
      </c>
      <c r="F4595" s="6" t="s">
        <v>6779</v>
      </c>
      <c r="G4595">
        <v>14</v>
      </c>
      <c r="O4595" t="s">
        <v>6244</v>
      </c>
      <c r="Q4595" t="s">
        <v>6781</v>
      </c>
    </row>
    <row r="4596" spans="1:17" x14ac:dyDescent="0.2">
      <c r="A4596" t="s">
        <v>4929</v>
      </c>
      <c r="B4596" t="s">
        <v>4892</v>
      </c>
      <c r="C4596">
        <v>3</v>
      </c>
      <c r="D4596" s="6" t="s">
        <v>4925</v>
      </c>
      <c r="E4596" s="8" t="s">
        <v>5142</v>
      </c>
      <c r="F4596" t="s">
        <v>6670</v>
      </c>
      <c r="G4596">
        <v>12</v>
      </c>
      <c r="Q4596" t="s">
        <v>6782</v>
      </c>
    </row>
    <row r="4597" spans="1:17" x14ac:dyDescent="0.2">
      <c r="A4597" t="s">
        <v>4929</v>
      </c>
      <c r="B4597" t="s">
        <v>4892</v>
      </c>
      <c r="C4597">
        <v>3</v>
      </c>
      <c r="D4597" s="6" t="s">
        <v>4925</v>
      </c>
      <c r="E4597" s="8" t="s">
        <v>5141</v>
      </c>
      <c r="F4597" t="s">
        <v>6670</v>
      </c>
      <c r="G4597">
        <v>21</v>
      </c>
      <c r="Q4597" t="s">
        <v>6783</v>
      </c>
    </row>
    <row r="4598" spans="1:17" x14ac:dyDescent="0.2">
      <c r="A4598" t="s">
        <v>4929</v>
      </c>
      <c r="B4598" t="s">
        <v>4892</v>
      </c>
      <c r="C4598">
        <v>3</v>
      </c>
      <c r="D4598" s="6" t="s">
        <v>4925</v>
      </c>
      <c r="E4598" s="8" t="s">
        <v>5143</v>
      </c>
      <c r="F4598" t="s">
        <v>6670</v>
      </c>
      <c r="G4598">
        <v>11</v>
      </c>
      <c r="Q4598" t="s">
        <v>6784</v>
      </c>
    </row>
    <row r="4599" spans="1:17" x14ac:dyDescent="0.2">
      <c r="A4599" t="s">
        <v>4929</v>
      </c>
      <c r="B4599" t="s">
        <v>4892</v>
      </c>
      <c r="C4599">
        <v>3</v>
      </c>
      <c r="D4599" s="6" t="s">
        <v>4925</v>
      </c>
      <c r="E4599" s="8" t="s">
        <v>5144</v>
      </c>
      <c r="F4599" t="s">
        <v>6670</v>
      </c>
      <c r="G4599">
        <v>16</v>
      </c>
      <c r="Q4599" t="s">
        <v>6785</v>
      </c>
    </row>
    <row r="4600" spans="1:17" x14ac:dyDescent="0.2">
      <c r="A4600" t="s">
        <v>4929</v>
      </c>
      <c r="B4600" t="s">
        <v>4892</v>
      </c>
      <c r="C4600">
        <v>3</v>
      </c>
      <c r="D4600" s="6" t="s">
        <v>4925</v>
      </c>
      <c r="E4600" s="8" t="s">
        <v>5140</v>
      </c>
      <c r="F4600" t="s">
        <v>6670</v>
      </c>
      <c r="G4600">
        <v>47</v>
      </c>
      <c r="Q4600" t="s">
        <v>6786</v>
      </c>
    </row>
    <row r="4601" spans="1:17" x14ac:dyDescent="0.2">
      <c r="A4601" t="s">
        <v>4929</v>
      </c>
      <c r="B4601" t="s">
        <v>4892</v>
      </c>
      <c r="C4601">
        <v>3</v>
      </c>
      <c r="D4601" s="6" t="s">
        <v>4925</v>
      </c>
      <c r="E4601" s="8" t="s">
        <v>5173</v>
      </c>
      <c r="F4601" t="s">
        <v>6670</v>
      </c>
      <c r="G4601">
        <v>3</v>
      </c>
      <c r="Q4601" t="s">
        <v>6787</v>
      </c>
    </row>
    <row r="4602" spans="1:17" x14ac:dyDescent="0.2">
      <c r="A4602" t="s">
        <v>4929</v>
      </c>
      <c r="B4602" t="s">
        <v>4892</v>
      </c>
      <c r="C4602">
        <v>3</v>
      </c>
      <c r="D4602" s="6" t="s">
        <v>4925</v>
      </c>
      <c r="E4602" s="8" t="s">
        <v>5148</v>
      </c>
      <c r="F4602" t="s">
        <v>6231</v>
      </c>
      <c r="G4602">
        <v>3</v>
      </c>
      <c r="Q4602" t="s">
        <v>6788</v>
      </c>
    </row>
    <row r="4603" spans="1:17" x14ac:dyDescent="0.2">
      <c r="A4603" t="s">
        <v>4929</v>
      </c>
      <c r="B4603" t="s">
        <v>4892</v>
      </c>
      <c r="C4603">
        <v>3</v>
      </c>
      <c r="D4603" s="6" t="s">
        <v>4925</v>
      </c>
      <c r="E4603" s="8" t="s">
        <v>5150</v>
      </c>
      <c r="F4603" t="s">
        <v>6231</v>
      </c>
      <c r="G4603">
        <v>13</v>
      </c>
      <c r="Q4603" t="s">
        <v>6789</v>
      </c>
    </row>
    <row r="4604" spans="1:17" x14ac:dyDescent="0.2">
      <c r="A4604" t="s">
        <v>4929</v>
      </c>
      <c r="B4604" t="s">
        <v>4892</v>
      </c>
      <c r="C4604">
        <v>3</v>
      </c>
      <c r="D4604" s="6" t="s">
        <v>4925</v>
      </c>
      <c r="E4604" s="8" t="s">
        <v>5151</v>
      </c>
      <c r="F4604" t="s">
        <v>6231</v>
      </c>
      <c r="G4604">
        <v>11</v>
      </c>
      <c r="Q4604" t="s">
        <v>6790</v>
      </c>
    </row>
    <row r="4605" spans="1:17" x14ac:dyDescent="0.2">
      <c r="A4605" t="s">
        <v>4929</v>
      </c>
      <c r="B4605" t="s">
        <v>4892</v>
      </c>
      <c r="C4605">
        <v>3</v>
      </c>
      <c r="D4605" s="6" t="s">
        <v>4925</v>
      </c>
      <c r="E4605" s="8" t="s">
        <v>5152</v>
      </c>
      <c r="F4605" t="s">
        <v>6231</v>
      </c>
      <c r="G4605">
        <v>11</v>
      </c>
      <c r="Q4605" t="s">
        <v>6791</v>
      </c>
    </row>
    <row r="4606" spans="1:17" x14ac:dyDescent="0.2">
      <c r="A4606" t="s">
        <v>4929</v>
      </c>
      <c r="B4606" t="s">
        <v>4892</v>
      </c>
      <c r="C4606">
        <v>3</v>
      </c>
      <c r="D4606" s="6" t="s">
        <v>4925</v>
      </c>
      <c r="E4606" s="8" t="s">
        <v>5153</v>
      </c>
      <c r="F4606" t="s">
        <v>6231</v>
      </c>
      <c r="G4606">
        <v>14</v>
      </c>
      <c r="Q4606" t="s">
        <v>6792</v>
      </c>
    </row>
    <row r="4607" spans="1:17" x14ac:dyDescent="0.2">
      <c r="A4607" t="s">
        <v>4929</v>
      </c>
      <c r="B4607" t="s">
        <v>4892</v>
      </c>
      <c r="C4607">
        <v>3</v>
      </c>
      <c r="D4607" s="6" t="s">
        <v>4925</v>
      </c>
      <c r="E4607" s="8" t="s">
        <v>5154</v>
      </c>
      <c r="F4607" t="s">
        <v>6231</v>
      </c>
      <c r="G4607">
        <v>12</v>
      </c>
      <c r="Q4607" t="s">
        <v>6793</v>
      </c>
    </row>
    <row r="4608" spans="1:17" x14ac:dyDescent="0.2">
      <c r="A4608" t="s">
        <v>4929</v>
      </c>
      <c r="B4608" t="s">
        <v>4892</v>
      </c>
      <c r="C4608">
        <v>3</v>
      </c>
      <c r="D4608" s="6" t="s">
        <v>4925</v>
      </c>
      <c r="E4608" s="8" t="s">
        <v>5171</v>
      </c>
      <c r="F4608" t="s">
        <v>5221</v>
      </c>
      <c r="G4608">
        <v>34</v>
      </c>
      <c r="Q4608" t="s">
        <v>6794</v>
      </c>
    </row>
    <row r="4609" spans="1:17" x14ac:dyDescent="0.2">
      <c r="A4609" t="s">
        <v>4929</v>
      </c>
      <c r="B4609" t="s">
        <v>4892</v>
      </c>
      <c r="C4609">
        <v>3</v>
      </c>
      <c r="D4609" s="6" t="s">
        <v>4925</v>
      </c>
      <c r="E4609" s="8" t="s">
        <v>5170</v>
      </c>
      <c r="F4609" t="s">
        <v>5221</v>
      </c>
      <c r="G4609">
        <v>2</v>
      </c>
      <c r="Q4609" t="s">
        <v>6795</v>
      </c>
    </row>
    <row r="4610" spans="1:17" x14ac:dyDescent="0.2">
      <c r="A4610" t="s">
        <v>4929</v>
      </c>
      <c r="B4610" t="s">
        <v>4892</v>
      </c>
      <c r="C4610">
        <v>3</v>
      </c>
      <c r="D4610" s="6" t="s">
        <v>4925</v>
      </c>
      <c r="E4610" s="8" t="s">
        <v>5157</v>
      </c>
      <c r="F4610" t="s">
        <v>1538</v>
      </c>
      <c r="G4610" t="s">
        <v>114</v>
      </c>
      <c r="Q4610" t="s">
        <v>6796</v>
      </c>
    </row>
    <row r="4611" spans="1:17" x14ac:dyDescent="0.2">
      <c r="A4611" t="s">
        <v>4929</v>
      </c>
      <c r="B4611" t="s">
        <v>4892</v>
      </c>
      <c r="C4611">
        <v>3</v>
      </c>
      <c r="D4611" s="6" t="s">
        <v>4925</v>
      </c>
      <c r="E4611" s="8" t="s">
        <v>5158</v>
      </c>
      <c r="F4611" t="s">
        <v>1538</v>
      </c>
      <c r="G4611">
        <v>2</v>
      </c>
      <c r="Q4611" t="s">
        <v>6797</v>
      </c>
    </row>
    <row r="4612" spans="1:17" x14ac:dyDescent="0.2">
      <c r="A4612" t="s">
        <v>4929</v>
      </c>
      <c r="B4612" t="s">
        <v>4892</v>
      </c>
      <c r="C4612">
        <v>3</v>
      </c>
      <c r="D4612" s="6" t="s">
        <v>4925</v>
      </c>
      <c r="E4612" s="8" t="s">
        <v>5172</v>
      </c>
      <c r="F4612" t="s">
        <v>1538</v>
      </c>
      <c r="G4612">
        <v>2</v>
      </c>
      <c r="Q4612" t="s">
        <v>6798</v>
      </c>
    </row>
    <row r="4613" spans="1:17" x14ac:dyDescent="0.2">
      <c r="A4613" t="s">
        <v>4929</v>
      </c>
      <c r="B4613" t="s">
        <v>4892</v>
      </c>
      <c r="C4613">
        <v>3</v>
      </c>
      <c r="D4613" s="6" t="s">
        <v>4925</v>
      </c>
      <c r="E4613" s="8" t="s">
        <v>5222</v>
      </c>
      <c r="F4613" t="s">
        <v>1538</v>
      </c>
      <c r="G4613">
        <v>12</v>
      </c>
      <c r="M4613">
        <v>6</v>
      </c>
    </row>
    <row r="4614" spans="1:17" x14ac:dyDescent="0.2">
      <c r="A4614" t="s">
        <v>4929</v>
      </c>
      <c r="B4614" t="s">
        <v>4892</v>
      </c>
      <c r="C4614">
        <v>3</v>
      </c>
      <c r="D4614" s="6" t="s">
        <v>4925</v>
      </c>
      <c r="E4614" t="s">
        <v>5056</v>
      </c>
      <c r="F4614" t="s">
        <v>1425</v>
      </c>
      <c r="G4614" t="s">
        <v>114</v>
      </c>
      <c r="M4614">
        <v>3</v>
      </c>
    </row>
    <row r="4615" spans="1:17" x14ac:dyDescent="0.2">
      <c r="A4615" t="s">
        <v>4929</v>
      </c>
      <c r="B4615" t="s">
        <v>4892</v>
      </c>
      <c r="C4615">
        <v>3</v>
      </c>
      <c r="D4615" s="6" t="s">
        <v>4925</v>
      </c>
      <c r="E4615" s="8" t="s">
        <v>5186</v>
      </c>
      <c r="F4615" t="s">
        <v>1389</v>
      </c>
      <c r="G4615">
        <v>13</v>
      </c>
      <c r="Q4615" t="s">
        <v>6799</v>
      </c>
    </row>
    <row r="4616" spans="1:17" x14ac:dyDescent="0.2">
      <c r="A4616" t="s">
        <v>4929</v>
      </c>
      <c r="B4616" t="s">
        <v>4892</v>
      </c>
      <c r="C4616">
        <v>3</v>
      </c>
      <c r="D4616" s="6" t="s">
        <v>4925</v>
      </c>
      <c r="E4616" s="8" t="s">
        <v>5182</v>
      </c>
      <c r="F4616" t="s">
        <v>1389</v>
      </c>
      <c r="G4616">
        <v>1</v>
      </c>
      <c r="Q4616" t="s">
        <v>6800</v>
      </c>
    </row>
    <row r="4617" spans="1:17" x14ac:dyDescent="0.2">
      <c r="A4617" t="s">
        <v>4929</v>
      </c>
      <c r="B4617" t="s">
        <v>4892</v>
      </c>
      <c r="C4617">
        <v>3</v>
      </c>
      <c r="D4617" s="6" t="s">
        <v>4925</v>
      </c>
      <c r="E4617" s="8" t="s">
        <v>5187</v>
      </c>
      <c r="F4617" t="s">
        <v>1389</v>
      </c>
      <c r="G4617">
        <v>2</v>
      </c>
      <c r="Q4617" t="s">
        <v>6801</v>
      </c>
    </row>
    <row r="4618" spans="1:17" x14ac:dyDescent="0.2">
      <c r="A4618" t="s">
        <v>4929</v>
      </c>
      <c r="B4618" t="s">
        <v>4892</v>
      </c>
      <c r="C4618">
        <v>3</v>
      </c>
      <c r="D4618" s="6" t="s">
        <v>4925</v>
      </c>
      <c r="E4618" s="8" t="s">
        <v>5188</v>
      </c>
      <c r="F4618" t="s">
        <v>1389</v>
      </c>
      <c r="G4618">
        <v>11</v>
      </c>
      <c r="Q4618" t="s">
        <v>6802</v>
      </c>
    </row>
    <row r="4619" spans="1:17" x14ac:dyDescent="0.2">
      <c r="A4619" t="s">
        <v>4929</v>
      </c>
      <c r="B4619" t="s">
        <v>4892</v>
      </c>
      <c r="C4619">
        <v>3</v>
      </c>
      <c r="D4619" s="6" t="s">
        <v>4925</v>
      </c>
      <c r="E4619" s="8" t="s">
        <v>5183</v>
      </c>
      <c r="F4619" t="s">
        <v>1389</v>
      </c>
      <c r="G4619">
        <v>2</v>
      </c>
      <c r="Q4619" t="s">
        <v>6803</v>
      </c>
    </row>
    <row r="4620" spans="1:17" x14ac:dyDescent="0.2">
      <c r="A4620" t="s">
        <v>4929</v>
      </c>
      <c r="B4620" t="s">
        <v>4892</v>
      </c>
      <c r="C4620">
        <v>3</v>
      </c>
      <c r="D4620" s="6" t="s">
        <v>4925</v>
      </c>
      <c r="E4620" s="8" t="s">
        <v>5223</v>
      </c>
      <c r="F4620" t="s">
        <v>1389</v>
      </c>
      <c r="G4620">
        <v>17</v>
      </c>
      <c r="M4620">
        <v>5</v>
      </c>
    </row>
    <row r="4621" spans="1:17" x14ac:dyDescent="0.2">
      <c r="A4621" t="s">
        <v>4929</v>
      </c>
      <c r="B4621" t="s">
        <v>4892</v>
      </c>
      <c r="C4621">
        <v>3</v>
      </c>
      <c r="D4621" s="6" t="s">
        <v>4925</v>
      </c>
      <c r="E4621" t="s">
        <v>5056</v>
      </c>
      <c r="F4621" t="s">
        <v>1389</v>
      </c>
      <c r="G4621">
        <v>19</v>
      </c>
      <c r="M4621">
        <v>11</v>
      </c>
    </row>
    <row r="4622" spans="1:17" x14ac:dyDescent="0.2">
      <c r="A4622" t="s">
        <v>4929</v>
      </c>
      <c r="B4622" t="s">
        <v>4892</v>
      </c>
      <c r="C4622">
        <v>3</v>
      </c>
      <c r="D4622" s="6" t="s">
        <v>4925</v>
      </c>
      <c r="E4622" s="8" t="s">
        <v>5224</v>
      </c>
      <c r="F4622" t="s">
        <v>1264</v>
      </c>
      <c r="H4622">
        <f>1.913-0.285</f>
        <v>1.6280000000000001</v>
      </c>
    </row>
    <row r="4623" spans="1:17" x14ac:dyDescent="0.2">
      <c r="A4623" t="s">
        <v>4929</v>
      </c>
      <c r="B4623" t="s">
        <v>4892</v>
      </c>
      <c r="C4623">
        <v>3</v>
      </c>
      <c r="D4623" s="6" t="s">
        <v>4925</v>
      </c>
      <c r="E4623" s="8" t="s">
        <v>5159</v>
      </c>
      <c r="F4623" t="s">
        <v>6760</v>
      </c>
      <c r="G4623">
        <v>3</v>
      </c>
      <c r="Q4623" t="s">
        <v>6808</v>
      </c>
    </row>
    <row r="4624" spans="1:17" x14ac:dyDescent="0.2">
      <c r="A4624" t="s">
        <v>4929</v>
      </c>
      <c r="B4624" t="s">
        <v>4892</v>
      </c>
      <c r="C4624">
        <v>3</v>
      </c>
      <c r="D4624" s="6" t="s">
        <v>4925</v>
      </c>
      <c r="E4624" s="8" t="s">
        <v>5162</v>
      </c>
      <c r="F4624" t="s">
        <v>6670</v>
      </c>
      <c r="G4624">
        <v>5</v>
      </c>
      <c r="Q4624" t="s">
        <v>6807</v>
      </c>
    </row>
    <row r="4625" spans="1:17" x14ac:dyDescent="0.2">
      <c r="A4625" t="s">
        <v>4929</v>
      </c>
      <c r="B4625" t="s">
        <v>4892</v>
      </c>
      <c r="C4625">
        <v>3</v>
      </c>
      <c r="D4625" s="6" t="s">
        <v>4925</v>
      </c>
      <c r="E4625" s="8" t="s">
        <v>5160</v>
      </c>
      <c r="F4625" t="s">
        <v>6815</v>
      </c>
      <c r="G4625" t="s">
        <v>114</v>
      </c>
      <c r="Q4625" t="s">
        <v>6818</v>
      </c>
    </row>
    <row r="4626" spans="1:17" x14ac:dyDescent="0.2">
      <c r="A4626" t="s">
        <v>4929</v>
      </c>
      <c r="B4626" t="s">
        <v>4892</v>
      </c>
      <c r="C4626">
        <v>3</v>
      </c>
      <c r="D4626" s="6" t="s">
        <v>4925</v>
      </c>
      <c r="E4626" s="8" t="s">
        <v>5161</v>
      </c>
      <c r="F4626" t="s">
        <v>6815</v>
      </c>
      <c r="G4626" t="s">
        <v>114</v>
      </c>
      <c r="Q4626" t="s">
        <v>6817</v>
      </c>
    </row>
    <row r="4627" spans="1:17" x14ac:dyDescent="0.2">
      <c r="A4627" t="s">
        <v>4929</v>
      </c>
      <c r="B4627" t="s">
        <v>4892</v>
      </c>
      <c r="C4627">
        <v>3</v>
      </c>
      <c r="D4627" s="6" t="s">
        <v>4925</v>
      </c>
      <c r="E4627" s="8" t="s">
        <v>5189</v>
      </c>
      <c r="F4627" t="s">
        <v>6815</v>
      </c>
      <c r="G4627" t="s">
        <v>114</v>
      </c>
      <c r="Q4627" t="s">
        <v>6816</v>
      </c>
    </row>
    <row r="4628" spans="1:17" x14ac:dyDescent="0.2">
      <c r="A4628" t="s">
        <v>4929</v>
      </c>
      <c r="B4628" t="s">
        <v>4892</v>
      </c>
      <c r="C4628">
        <v>3</v>
      </c>
      <c r="D4628" s="6" t="s">
        <v>4925</v>
      </c>
      <c r="E4628" s="8" t="s">
        <v>5184</v>
      </c>
      <c r="F4628" t="s">
        <v>6815</v>
      </c>
      <c r="G4628">
        <v>1</v>
      </c>
      <c r="Q4628" t="s">
        <v>6814</v>
      </c>
    </row>
    <row r="4629" spans="1:17" x14ac:dyDescent="0.2">
      <c r="A4629" t="s">
        <v>4929</v>
      </c>
      <c r="B4629" t="s">
        <v>4892</v>
      </c>
      <c r="C4629">
        <v>3</v>
      </c>
      <c r="D4629" s="6" t="s">
        <v>4925</v>
      </c>
      <c r="E4629" s="8" t="s">
        <v>5185</v>
      </c>
      <c r="F4629" t="s">
        <v>6815</v>
      </c>
      <c r="G4629">
        <v>2</v>
      </c>
      <c r="M4629">
        <v>3</v>
      </c>
    </row>
    <row r="4630" spans="1:17" x14ac:dyDescent="0.2">
      <c r="A4630" t="s">
        <v>4929</v>
      </c>
      <c r="B4630" t="s">
        <v>4892</v>
      </c>
      <c r="C4630">
        <v>3</v>
      </c>
      <c r="D4630" s="6" t="s">
        <v>4925</v>
      </c>
      <c r="E4630" s="8" t="s">
        <v>5175</v>
      </c>
      <c r="F4630" s="6" t="s">
        <v>5629</v>
      </c>
      <c r="G4630">
        <v>35</v>
      </c>
      <c r="Q4630" t="s">
        <v>6805</v>
      </c>
    </row>
    <row r="4631" spans="1:17" x14ac:dyDescent="0.2">
      <c r="A4631" t="s">
        <v>4929</v>
      </c>
      <c r="B4631" t="s">
        <v>4892</v>
      </c>
      <c r="C4631">
        <v>3</v>
      </c>
      <c r="D4631" s="6" t="s">
        <v>4925</v>
      </c>
      <c r="E4631" s="8" t="s">
        <v>5139</v>
      </c>
      <c r="F4631" s="6" t="s">
        <v>6804</v>
      </c>
      <c r="G4631">
        <v>19</v>
      </c>
      <c r="Q4631" t="s">
        <v>6806</v>
      </c>
    </row>
    <row r="4632" spans="1:17" x14ac:dyDescent="0.2">
      <c r="A4632" t="s">
        <v>4929</v>
      </c>
      <c r="B4632" t="s">
        <v>4892</v>
      </c>
      <c r="C4632">
        <v>3</v>
      </c>
      <c r="D4632" s="6" t="s">
        <v>4925</v>
      </c>
      <c r="E4632" s="8" t="s">
        <v>5225</v>
      </c>
      <c r="F4632" t="s">
        <v>1425</v>
      </c>
      <c r="G4632">
        <v>1</v>
      </c>
      <c r="Q4632" t="s">
        <v>6813</v>
      </c>
    </row>
    <row r="4633" spans="1:17" x14ac:dyDescent="0.2">
      <c r="A4633" t="s">
        <v>4929</v>
      </c>
      <c r="B4633" t="s">
        <v>4892</v>
      </c>
      <c r="C4633">
        <v>3</v>
      </c>
      <c r="D4633" s="6" t="s">
        <v>4925</v>
      </c>
      <c r="E4633" s="8" t="s">
        <v>5226</v>
      </c>
      <c r="F4633" t="s">
        <v>1425</v>
      </c>
      <c r="G4633">
        <v>7</v>
      </c>
      <c r="Q4633" t="s">
        <v>6812</v>
      </c>
    </row>
    <row r="4634" spans="1:17" x14ac:dyDescent="0.2">
      <c r="A4634" t="s">
        <v>4929</v>
      </c>
      <c r="B4634" t="s">
        <v>4892</v>
      </c>
      <c r="C4634">
        <v>3</v>
      </c>
      <c r="D4634" s="6" t="s">
        <v>4925</v>
      </c>
      <c r="E4634" s="8" t="s">
        <v>5227</v>
      </c>
      <c r="F4634" t="s">
        <v>1425</v>
      </c>
      <c r="G4634">
        <v>2</v>
      </c>
      <c r="Q4634" t="s">
        <v>6811</v>
      </c>
    </row>
    <row r="4635" spans="1:17" x14ac:dyDescent="0.2">
      <c r="A4635" t="s">
        <v>4929</v>
      </c>
      <c r="B4635" t="s">
        <v>4892</v>
      </c>
      <c r="C4635">
        <v>3</v>
      </c>
      <c r="D4635" s="6" t="s">
        <v>4925</v>
      </c>
      <c r="E4635" s="8" t="s">
        <v>5228</v>
      </c>
      <c r="F4635" t="s">
        <v>1425</v>
      </c>
      <c r="G4635">
        <v>3</v>
      </c>
      <c r="Q4635" t="s">
        <v>6810</v>
      </c>
    </row>
    <row r="4636" spans="1:17" x14ac:dyDescent="0.2">
      <c r="A4636" t="s">
        <v>4929</v>
      </c>
      <c r="B4636" t="s">
        <v>4892</v>
      </c>
      <c r="C4636">
        <v>3</v>
      </c>
      <c r="D4636" s="6" t="s">
        <v>4925</v>
      </c>
      <c r="E4636" s="8" t="s">
        <v>5229</v>
      </c>
      <c r="F4636" t="s">
        <v>1425</v>
      </c>
      <c r="G4636">
        <v>5</v>
      </c>
      <c r="Q4636" t="s">
        <v>6809</v>
      </c>
    </row>
    <row r="4637" spans="1:17" x14ac:dyDescent="0.2">
      <c r="A4637" t="s">
        <v>4929</v>
      </c>
      <c r="B4637" t="s">
        <v>4892</v>
      </c>
      <c r="C4637">
        <v>3</v>
      </c>
      <c r="D4637" s="6" t="s">
        <v>4925</v>
      </c>
      <c r="E4637" s="8" t="s">
        <v>5232</v>
      </c>
      <c r="F4637" t="s">
        <v>1425</v>
      </c>
      <c r="G4637">
        <v>24</v>
      </c>
      <c r="M4637">
        <v>5</v>
      </c>
    </row>
    <row r="4638" spans="1:17" x14ac:dyDescent="0.2">
      <c r="A4638" t="s">
        <v>4929</v>
      </c>
      <c r="B4638" t="s">
        <v>4892</v>
      </c>
      <c r="C4638">
        <v>3</v>
      </c>
      <c r="D4638" s="6" t="s">
        <v>4925</v>
      </c>
      <c r="E4638" t="s">
        <v>5056</v>
      </c>
      <c r="F4638" t="s">
        <v>1425</v>
      </c>
      <c r="G4638">
        <v>35</v>
      </c>
      <c r="M4638">
        <v>10</v>
      </c>
    </row>
    <row r="4639" spans="1:17" x14ac:dyDescent="0.2">
      <c r="A4639" t="s">
        <v>4929</v>
      </c>
      <c r="B4639" t="s">
        <v>4892</v>
      </c>
      <c r="C4639">
        <v>3</v>
      </c>
      <c r="D4639" s="6" t="s">
        <v>4925</v>
      </c>
      <c r="E4639" s="8" t="s">
        <v>5149</v>
      </c>
      <c r="F4639" t="s">
        <v>6760</v>
      </c>
      <c r="G4639">
        <v>20</v>
      </c>
      <c r="Q4639" t="s">
        <v>6819</v>
      </c>
    </row>
    <row r="4640" spans="1:17" x14ac:dyDescent="0.2">
      <c r="A4640" t="s">
        <v>4929</v>
      </c>
      <c r="B4640" t="s">
        <v>4892</v>
      </c>
      <c r="C4640">
        <v>3</v>
      </c>
      <c r="D4640" s="6" t="s">
        <v>4925</v>
      </c>
      <c r="E4640" s="8" t="s">
        <v>5233</v>
      </c>
      <c r="F4640" t="s">
        <v>810</v>
      </c>
      <c r="G4640">
        <v>35</v>
      </c>
    </row>
    <row r="4641" spans="1:17" x14ac:dyDescent="0.2">
      <c r="A4641" t="s">
        <v>4929</v>
      </c>
      <c r="B4641" t="s">
        <v>4892</v>
      </c>
      <c r="C4641">
        <v>3</v>
      </c>
      <c r="D4641" s="6" t="s">
        <v>4925</v>
      </c>
      <c r="E4641" s="8" t="s">
        <v>5234</v>
      </c>
      <c r="F4641" t="s">
        <v>106</v>
      </c>
      <c r="G4641">
        <v>26</v>
      </c>
    </row>
    <row r="4642" spans="1:17" x14ac:dyDescent="0.2">
      <c r="A4642" t="s">
        <v>4929</v>
      </c>
      <c r="B4642" t="s">
        <v>4892</v>
      </c>
      <c r="C4642">
        <v>3</v>
      </c>
      <c r="D4642" s="6" t="s">
        <v>4925</v>
      </c>
      <c r="E4642" s="8" t="s">
        <v>5235</v>
      </c>
      <c r="F4642" t="s">
        <v>121</v>
      </c>
      <c r="G4642">
        <v>25</v>
      </c>
    </row>
    <row r="4643" spans="1:17" x14ac:dyDescent="0.2">
      <c r="A4643" t="s">
        <v>4929</v>
      </c>
      <c r="B4643" t="s">
        <v>4892</v>
      </c>
      <c r="C4643">
        <v>3</v>
      </c>
      <c r="D4643" s="6" t="s">
        <v>4925</v>
      </c>
      <c r="E4643" s="8" t="s">
        <v>5236</v>
      </c>
      <c r="F4643" t="s">
        <v>2555</v>
      </c>
      <c r="G4643">
        <v>3</v>
      </c>
    </row>
    <row r="4644" spans="1:17" x14ac:dyDescent="0.2">
      <c r="A4644" t="s">
        <v>4929</v>
      </c>
      <c r="B4644" t="s">
        <v>4892</v>
      </c>
      <c r="C4644">
        <v>3</v>
      </c>
      <c r="D4644" s="6" t="s">
        <v>4925</v>
      </c>
      <c r="E4644" s="8" t="s">
        <v>5237</v>
      </c>
      <c r="F4644" s="6" t="s">
        <v>6826</v>
      </c>
      <c r="G4644">
        <v>29</v>
      </c>
      <c r="Q4644" t="s">
        <v>6827</v>
      </c>
    </row>
    <row r="4645" spans="1:17" x14ac:dyDescent="0.2">
      <c r="A4645" t="s">
        <v>4929</v>
      </c>
      <c r="B4645" t="s">
        <v>4892</v>
      </c>
      <c r="C4645">
        <v>3</v>
      </c>
      <c r="D4645" s="6" t="s">
        <v>4925</v>
      </c>
      <c r="E4645" s="8" t="s">
        <v>5174</v>
      </c>
      <c r="F4645" t="s">
        <v>1538</v>
      </c>
      <c r="G4645">
        <v>42</v>
      </c>
      <c r="Q4645" t="s">
        <v>6825</v>
      </c>
    </row>
    <row r="4646" spans="1:17" x14ac:dyDescent="0.2">
      <c r="A4646" t="s">
        <v>4929</v>
      </c>
      <c r="B4646" t="s">
        <v>4892</v>
      </c>
      <c r="C4646">
        <v>3</v>
      </c>
      <c r="D4646" s="6" t="s">
        <v>4925</v>
      </c>
      <c r="E4646" s="8" t="s">
        <v>5238</v>
      </c>
      <c r="F4646" t="s">
        <v>1538</v>
      </c>
      <c r="G4646">
        <v>7</v>
      </c>
      <c r="Q4646" t="s">
        <v>6820</v>
      </c>
    </row>
    <row r="4647" spans="1:17" x14ac:dyDescent="0.2">
      <c r="A4647" t="s">
        <v>4929</v>
      </c>
      <c r="B4647" t="s">
        <v>4892</v>
      </c>
      <c r="C4647">
        <v>3</v>
      </c>
      <c r="D4647" s="6" t="s">
        <v>4925</v>
      </c>
      <c r="E4647" s="8" t="s">
        <v>5239</v>
      </c>
      <c r="F4647" t="s">
        <v>1538</v>
      </c>
      <c r="G4647">
        <v>24</v>
      </c>
      <c r="Q4647" t="s">
        <v>6823</v>
      </c>
    </row>
    <row r="4648" spans="1:17" x14ac:dyDescent="0.2">
      <c r="A4648" t="s">
        <v>4929</v>
      </c>
      <c r="B4648" t="s">
        <v>4892</v>
      </c>
      <c r="C4648">
        <v>3</v>
      </c>
      <c r="D4648" s="6" t="s">
        <v>4925</v>
      </c>
      <c r="E4648" s="8" t="s">
        <v>5240</v>
      </c>
      <c r="F4648" t="s">
        <v>1538</v>
      </c>
      <c r="G4648">
        <v>2</v>
      </c>
      <c r="Q4648" t="s">
        <v>6824</v>
      </c>
    </row>
    <row r="4649" spans="1:17" x14ac:dyDescent="0.2">
      <c r="A4649" t="s">
        <v>4929</v>
      </c>
      <c r="B4649" t="s">
        <v>4892</v>
      </c>
      <c r="C4649">
        <v>3</v>
      </c>
      <c r="D4649" s="6" t="s">
        <v>4925</v>
      </c>
      <c r="E4649" s="8" t="s">
        <v>5241</v>
      </c>
      <c r="F4649" t="s">
        <v>1538</v>
      </c>
      <c r="G4649">
        <v>16</v>
      </c>
      <c r="Q4649" t="s">
        <v>6822</v>
      </c>
    </row>
    <row r="4650" spans="1:17" x14ac:dyDescent="0.2">
      <c r="A4650" t="s">
        <v>4929</v>
      </c>
      <c r="B4650" t="s">
        <v>4892</v>
      </c>
      <c r="C4650">
        <v>3</v>
      </c>
      <c r="D4650" s="6" t="s">
        <v>4925</v>
      </c>
      <c r="E4650" s="8" t="s">
        <v>5242</v>
      </c>
      <c r="F4650" t="s">
        <v>1538</v>
      </c>
      <c r="G4650">
        <v>4</v>
      </c>
      <c r="Q4650" t="s">
        <v>6821</v>
      </c>
    </row>
    <row r="4651" spans="1:17" x14ac:dyDescent="0.2">
      <c r="A4651" t="s">
        <v>4929</v>
      </c>
      <c r="B4651" t="s">
        <v>4892</v>
      </c>
      <c r="C4651">
        <v>3</v>
      </c>
      <c r="D4651" s="6" t="s">
        <v>4925</v>
      </c>
      <c r="E4651" t="s">
        <v>5056</v>
      </c>
      <c r="F4651" t="s">
        <v>1538</v>
      </c>
      <c r="G4651">
        <v>212</v>
      </c>
      <c r="M4651">
        <v>12</v>
      </c>
    </row>
    <row r="4652" spans="1:17" x14ac:dyDescent="0.2">
      <c r="A4652" t="s">
        <v>4929</v>
      </c>
      <c r="B4652" t="s">
        <v>4892</v>
      </c>
      <c r="C4652">
        <v>3</v>
      </c>
      <c r="D4652" s="6" t="s">
        <v>4925</v>
      </c>
      <c r="E4652" s="8" t="s">
        <v>5243</v>
      </c>
      <c r="F4652" t="s">
        <v>1538</v>
      </c>
      <c r="G4652">
        <v>91</v>
      </c>
      <c r="M4652">
        <v>5</v>
      </c>
    </row>
    <row r="4653" spans="1:17" x14ac:dyDescent="0.2">
      <c r="A4653" t="s">
        <v>4929</v>
      </c>
      <c r="B4653" t="s">
        <v>4892</v>
      </c>
      <c r="C4653">
        <v>3</v>
      </c>
      <c r="D4653" s="6" t="s">
        <v>4925</v>
      </c>
      <c r="E4653" s="8" t="s">
        <v>5156</v>
      </c>
      <c r="F4653" t="s">
        <v>1538</v>
      </c>
      <c r="G4653">
        <v>4</v>
      </c>
      <c r="Q4653" t="s">
        <v>6828</v>
      </c>
    </row>
    <row r="4654" spans="1:17" x14ac:dyDescent="0.2">
      <c r="A4654" t="s">
        <v>4929</v>
      </c>
      <c r="B4654" t="s">
        <v>4892</v>
      </c>
      <c r="C4654">
        <v>3</v>
      </c>
      <c r="D4654" s="6" t="s">
        <v>4925</v>
      </c>
      <c r="E4654" s="8" t="s">
        <v>5155</v>
      </c>
      <c r="F4654" t="s">
        <v>1538</v>
      </c>
      <c r="G4654">
        <v>16</v>
      </c>
      <c r="Q4654" t="s">
        <v>6833</v>
      </c>
    </row>
    <row r="4655" spans="1:17" x14ac:dyDescent="0.2">
      <c r="A4655" t="s">
        <v>4929</v>
      </c>
      <c r="B4655" t="s">
        <v>4892</v>
      </c>
      <c r="C4655">
        <v>3</v>
      </c>
      <c r="D4655" s="6" t="s">
        <v>4925</v>
      </c>
      <c r="E4655" s="8" t="s">
        <v>5244</v>
      </c>
      <c r="F4655" t="s">
        <v>1538</v>
      </c>
      <c r="G4655">
        <v>3</v>
      </c>
      <c r="Q4655" t="s">
        <v>6829</v>
      </c>
    </row>
    <row r="4656" spans="1:17" x14ac:dyDescent="0.2">
      <c r="A4656" t="s">
        <v>4929</v>
      </c>
      <c r="B4656" t="s">
        <v>4892</v>
      </c>
      <c r="C4656">
        <v>3</v>
      </c>
      <c r="D4656" s="6" t="s">
        <v>4925</v>
      </c>
      <c r="E4656" s="8" t="s">
        <v>5245</v>
      </c>
      <c r="F4656" t="s">
        <v>1538</v>
      </c>
      <c r="G4656">
        <v>3</v>
      </c>
      <c r="Q4656" t="s">
        <v>6830</v>
      </c>
    </row>
    <row r="4657" spans="1:17" x14ac:dyDescent="0.2">
      <c r="A4657" t="s">
        <v>4929</v>
      </c>
      <c r="B4657" t="s">
        <v>4892</v>
      </c>
      <c r="C4657">
        <v>3</v>
      </c>
      <c r="D4657" s="6" t="s">
        <v>4925</v>
      </c>
      <c r="E4657" s="8" t="s">
        <v>5246</v>
      </c>
      <c r="F4657" t="s">
        <v>1538</v>
      </c>
      <c r="G4657">
        <v>3</v>
      </c>
      <c r="Q4657" t="s">
        <v>6831</v>
      </c>
    </row>
    <row r="4658" spans="1:17" x14ac:dyDescent="0.2">
      <c r="A4658" t="s">
        <v>4929</v>
      </c>
      <c r="B4658" t="s">
        <v>4892</v>
      </c>
      <c r="C4658">
        <v>3</v>
      </c>
      <c r="D4658" s="6" t="s">
        <v>4925</v>
      </c>
      <c r="E4658" s="8" t="s">
        <v>5247</v>
      </c>
      <c r="F4658" t="s">
        <v>1538</v>
      </c>
      <c r="G4658">
        <v>3</v>
      </c>
      <c r="Q4658" t="s">
        <v>6832</v>
      </c>
    </row>
    <row r="4659" spans="1:17" x14ac:dyDescent="0.2">
      <c r="A4659" t="s">
        <v>4929</v>
      </c>
      <c r="B4659" t="s">
        <v>4892</v>
      </c>
      <c r="C4659">
        <v>3</v>
      </c>
      <c r="D4659" s="6" t="s">
        <v>4925</v>
      </c>
      <c r="E4659" s="8" t="s">
        <v>5248</v>
      </c>
      <c r="F4659" t="s">
        <v>112</v>
      </c>
      <c r="G4659">
        <v>122</v>
      </c>
      <c r="M4659">
        <v>3</v>
      </c>
    </row>
    <row r="4660" spans="1:17" x14ac:dyDescent="0.2">
      <c r="A4660" t="s">
        <v>4929</v>
      </c>
      <c r="B4660" t="s">
        <v>4892</v>
      </c>
      <c r="C4660">
        <v>3</v>
      </c>
      <c r="D4660" s="6" t="s">
        <v>4925</v>
      </c>
      <c r="E4660" s="8" t="s">
        <v>5249</v>
      </c>
      <c r="F4660" t="s">
        <v>5252</v>
      </c>
      <c r="G4660">
        <f>1.124-0.357</f>
        <v>0.76700000000000013</v>
      </c>
      <c r="O4660" t="s">
        <v>5253</v>
      </c>
    </row>
    <row r="4661" spans="1:17" x14ac:dyDescent="0.2">
      <c r="A4661" t="s">
        <v>4929</v>
      </c>
      <c r="B4661" t="s">
        <v>4892</v>
      </c>
      <c r="C4661">
        <v>4</v>
      </c>
      <c r="D4661" s="6" t="s">
        <v>4925</v>
      </c>
      <c r="E4661" s="8" t="s">
        <v>5081</v>
      </c>
      <c r="F4661" t="s">
        <v>1311</v>
      </c>
      <c r="G4661">
        <v>2</v>
      </c>
      <c r="Q4661" t="s">
        <v>6834</v>
      </c>
    </row>
    <row r="4662" spans="1:17" x14ac:dyDescent="0.2">
      <c r="A4662" t="s">
        <v>4929</v>
      </c>
      <c r="B4662" t="s">
        <v>4892</v>
      </c>
      <c r="C4662">
        <v>4</v>
      </c>
      <c r="D4662" s="6" t="s">
        <v>4925</v>
      </c>
      <c r="E4662" s="8" t="s">
        <v>5082</v>
      </c>
      <c r="F4662" t="s">
        <v>1311</v>
      </c>
      <c r="G4662">
        <v>1</v>
      </c>
      <c r="Q4662" t="s">
        <v>6836</v>
      </c>
    </row>
    <row r="4663" spans="1:17" x14ac:dyDescent="0.2">
      <c r="A4663" t="s">
        <v>4929</v>
      </c>
      <c r="B4663" t="s">
        <v>4892</v>
      </c>
      <c r="C4663">
        <v>4</v>
      </c>
      <c r="D4663" s="6" t="s">
        <v>4925</v>
      </c>
      <c r="E4663" s="8" t="s">
        <v>5089</v>
      </c>
      <c r="F4663" t="s">
        <v>1311</v>
      </c>
      <c r="G4663">
        <v>2</v>
      </c>
      <c r="Q4663" t="s">
        <v>6835</v>
      </c>
    </row>
    <row r="4664" spans="1:17" x14ac:dyDescent="0.2">
      <c r="A4664" t="s">
        <v>4929</v>
      </c>
      <c r="B4664" t="s">
        <v>4892</v>
      </c>
      <c r="C4664">
        <v>4</v>
      </c>
      <c r="D4664" s="6" t="s">
        <v>4925</v>
      </c>
      <c r="E4664" s="8" t="s">
        <v>5090</v>
      </c>
      <c r="F4664" t="s">
        <v>1311</v>
      </c>
      <c r="G4664">
        <v>1</v>
      </c>
      <c r="Q4664" t="s">
        <v>6838</v>
      </c>
    </row>
    <row r="4665" spans="1:17" x14ac:dyDescent="0.2">
      <c r="A4665" t="s">
        <v>4929</v>
      </c>
      <c r="B4665" t="s">
        <v>4892</v>
      </c>
      <c r="C4665">
        <v>4</v>
      </c>
      <c r="D4665" s="6" t="s">
        <v>4925</v>
      </c>
      <c r="E4665" s="8" t="s">
        <v>5091</v>
      </c>
      <c r="F4665" t="s">
        <v>1311</v>
      </c>
      <c r="G4665">
        <v>1</v>
      </c>
      <c r="Q4665" t="s">
        <v>6837</v>
      </c>
    </row>
    <row r="4666" spans="1:17" x14ac:dyDescent="0.2">
      <c r="A4666" t="s">
        <v>4929</v>
      </c>
      <c r="B4666" t="s">
        <v>4892</v>
      </c>
      <c r="C4666">
        <v>4</v>
      </c>
      <c r="D4666" s="6" t="s">
        <v>4925</v>
      </c>
      <c r="E4666" s="8" t="s">
        <v>5092</v>
      </c>
      <c r="F4666" t="s">
        <v>1311</v>
      </c>
      <c r="G4666">
        <v>8</v>
      </c>
      <c r="M4666">
        <v>5</v>
      </c>
    </row>
    <row r="4667" spans="1:17" x14ac:dyDescent="0.2">
      <c r="A4667" t="s">
        <v>4929</v>
      </c>
      <c r="B4667" t="s">
        <v>4892</v>
      </c>
      <c r="C4667">
        <v>4</v>
      </c>
      <c r="D4667" s="6" t="s">
        <v>4925</v>
      </c>
      <c r="E4667" t="s">
        <v>5056</v>
      </c>
      <c r="F4667" t="s">
        <v>1311</v>
      </c>
      <c r="G4667">
        <v>358</v>
      </c>
      <c r="M4667">
        <v>237</v>
      </c>
    </row>
    <row r="4668" spans="1:17" x14ac:dyDescent="0.2">
      <c r="A4668" t="s">
        <v>4929</v>
      </c>
      <c r="B4668" t="s">
        <v>4892</v>
      </c>
      <c r="C4668">
        <v>4</v>
      </c>
      <c r="D4668" s="6" t="s">
        <v>4925</v>
      </c>
      <c r="E4668" s="8" t="s">
        <v>5094</v>
      </c>
      <c r="F4668" t="s">
        <v>1425</v>
      </c>
      <c r="G4668">
        <v>15</v>
      </c>
      <c r="O4668" t="s">
        <v>6844</v>
      </c>
      <c r="Q4668" t="s">
        <v>6839</v>
      </c>
    </row>
    <row r="4669" spans="1:17" x14ac:dyDescent="0.2">
      <c r="A4669" t="s">
        <v>4929</v>
      </c>
      <c r="B4669" t="s">
        <v>4892</v>
      </c>
      <c r="C4669">
        <v>4</v>
      </c>
      <c r="D4669" s="6" t="s">
        <v>4925</v>
      </c>
      <c r="E4669" s="8" t="s">
        <v>5097</v>
      </c>
      <c r="F4669" t="s">
        <v>1425</v>
      </c>
      <c r="G4669">
        <v>5</v>
      </c>
      <c r="O4669" t="s">
        <v>6844</v>
      </c>
      <c r="Q4669" t="s">
        <v>6841</v>
      </c>
    </row>
    <row r="4670" spans="1:17" x14ac:dyDescent="0.2">
      <c r="A4670" t="s">
        <v>4929</v>
      </c>
      <c r="B4670" t="s">
        <v>4892</v>
      </c>
      <c r="C4670">
        <v>4</v>
      </c>
      <c r="D4670" s="6" t="s">
        <v>4925</v>
      </c>
      <c r="E4670" s="8" t="s">
        <v>5098</v>
      </c>
      <c r="F4670" t="s">
        <v>1425</v>
      </c>
      <c r="G4670">
        <v>1</v>
      </c>
      <c r="O4670" t="s">
        <v>6844</v>
      </c>
      <c r="Q4670" t="s">
        <v>6843</v>
      </c>
    </row>
    <row r="4671" spans="1:17" x14ac:dyDescent="0.2">
      <c r="A4671" t="s">
        <v>4929</v>
      </c>
      <c r="B4671" t="s">
        <v>4892</v>
      </c>
      <c r="C4671">
        <v>4</v>
      </c>
      <c r="D4671" s="6" t="s">
        <v>4925</v>
      </c>
      <c r="E4671" s="8" t="s">
        <v>5166</v>
      </c>
      <c r="F4671" t="s">
        <v>1425</v>
      </c>
      <c r="G4671">
        <v>6</v>
      </c>
      <c r="O4671" t="s">
        <v>6844</v>
      </c>
      <c r="Q4671" t="s">
        <v>6842</v>
      </c>
    </row>
    <row r="4672" spans="1:17" x14ac:dyDescent="0.2">
      <c r="A4672" t="s">
        <v>4929</v>
      </c>
      <c r="B4672" t="s">
        <v>4892</v>
      </c>
      <c r="C4672">
        <v>4</v>
      </c>
      <c r="D4672" s="6" t="s">
        <v>4925</v>
      </c>
      <c r="E4672" s="8" t="s">
        <v>5167</v>
      </c>
      <c r="F4672" t="s">
        <v>1425</v>
      </c>
      <c r="G4672">
        <v>10</v>
      </c>
      <c r="O4672" t="s">
        <v>6844</v>
      </c>
      <c r="Q4672" t="s">
        <v>6840</v>
      </c>
    </row>
    <row r="4673" spans="1:17" x14ac:dyDescent="0.2">
      <c r="A4673" t="s">
        <v>4929</v>
      </c>
      <c r="B4673" t="s">
        <v>4892</v>
      </c>
      <c r="C4673">
        <v>4</v>
      </c>
      <c r="D4673" s="6" t="s">
        <v>4925</v>
      </c>
      <c r="E4673" s="8" t="s">
        <v>5168</v>
      </c>
      <c r="F4673" t="s">
        <v>1425</v>
      </c>
      <c r="G4673">
        <v>23</v>
      </c>
      <c r="M4673">
        <v>5</v>
      </c>
    </row>
    <row r="4674" spans="1:17" x14ac:dyDescent="0.2">
      <c r="A4674" t="s">
        <v>4929</v>
      </c>
      <c r="B4674" t="s">
        <v>4892</v>
      </c>
      <c r="C4674">
        <v>4</v>
      </c>
      <c r="D4674" s="6" t="s">
        <v>4925</v>
      </c>
      <c r="E4674" t="s">
        <v>5056</v>
      </c>
      <c r="F4674" t="s">
        <v>1425</v>
      </c>
      <c r="G4674">
        <v>690</v>
      </c>
      <c r="M4674">
        <v>140</v>
      </c>
    </row>
    <row r="4675" spans="1:17" x14ac:dyDescent="0.2">
      <c r="A4675" t="s">
        <v>4929</v>
      </c>
      <c r="B4675" t="s">
        <v>4892</v>
      </c>
      <c r="C4675">
        <v>4</v>
      </c>
      <c r="D4675" s="6" t="s">
        <v>4925</v>
      </c>
      <c r="E4675" s="8" t="s">
        <v>5169</v>
      </c>
      <c r="F4675" t="s">
        <v>6379</v>
      </c>
      <c r="G4675">
        <v>19</v>
      </c>
      <c r="Q4675" t="s">
        <v>6863</v>
      </c>
    </row>
    <row r="4676" spans="1:17" x14ac:dyDescent="0.2">
      <c r="A4676" t="s">
        <v>4929</v>
      </c>
      <c r="B4676" t="s">
        <v>4892</v>
      </c>
      <c r="C4676">
        <v>4</v>
      </c>
      <c r="D4676" s="6" t="s">
        <v>4925</v>
      </c>
      <c r="E4676" s="8" t="s">
        <v>5170</v>
      </c>
      <c r="F4676" t="s">
        <v>1389</v>
      </c>
      <c r="G4676" t="s">
        <v>114</v>
      </c>
      <c r="Q4676" t="s">
        <v>6849</v>
      </c>
    </row>
    <row r="4677" spans="1:17" x14ac:dyDescent="0.2">
      <c r="A4677" t="s">
        <v>4929</v>
      </c>
      <c r="B4677" t="s">
        <v>4892</v>
      </c>
      <c r="C4677">
        <v>4</v>
      </c>
      <c r="D4677" s="6" t="s">
        <v>4925</v>
      </c>
      <c r="E4677" s="8" t="s">
        <v>5171</v>
      </c>
      <c r="F4677" t="s">
        <v>1389</v>
      </c>
      <c r="G4677">
        <v>3</v>
      </c>
      <c r="Q4677" t="s">
        <v>6848</v>
      </c>
    </row>
    <row r="4678" spans="1:17" x14ac:dyDescent="0.2">
      <c r="A4678" t="s">
        <v>4929</v>
      </c>
      <c r="B4678" t="s">
        <v>4892</v>
      </c>
      <c r="C4678">
        <v>4</v>
      </c>
      <c r="D4678" s="6" t="s">
        <v>4925</v>
      </c>
      <c r="E4678" s="8" t="s">
        <v>5140</v>
      </c>
      <c r="F4678" t="s">
        <v>1389</v>
      </c>
      <c r="G4678">
        <v>15</v>
      </c>
      <c r="Q4678" t="s">
        <v>6850</v>
      </c>
    </row>
    <row r="4679" spans="1:17" x14ac:dyDescent="0.2">
      <c r="A4679" t="s">
        <v>4929</v>
      </c>
      <c r="B4679" t="s">
        <v>4892</v>
      </c>
      <c r="C4679">
        <v>4</v>
      </c>
      <c r="D4679" s="6" t="s">
        <v>4925</v>
      </c>
      <c r="E4679" s="8" t="s">
        <v>5142</v>
      </c>
      <c r="F4679" t="s">
        <v>1389</v>
      </c>
      <c r="G4679">
        <v>3</v>
      </c>
      <c r="Q4679" t="s">
        <v>6846</v>
      </c>
    </row>
    <row r="4680" spans="1:17" x14ac:dyDescent="0.2">
      <c r="A4680" t="s">
        <v>4929</v>
      </c>
      <c r="B4680" t="s">
        <v>4892</v>
      </c>
      <c r="C4680">
        <v>4</v>
      </c>
      <c r="D4680" s="6" t="s">
        <v>4925</v>
      </c>
      <c r="E4680" s="8" t="s">
        <v>5141</v>
      </c>
      <c r="F4680" t="s">
        <v>1389</v>
      </c>
      <c r="G4680">
        <v>6</v>
      </c>
      <c r="Q4680" t="s">
        <v>6847</v>
      </c>
    </row>
    <row r="4681" spans="1:17" x14ac:dyDescent="0.2">
      <c r="A4681" t="s">
        <v>4929</v>
      </c>
      <c r="B4681" t="s">
        <v>4892</v>
      </c>
      <c r="C4681">
        <v>4</v>
      </c>
      <c r="D4681" s="6" t="s">
        <v>4925</v>
      </c>
      <c r="E4681" s="8" t="s">
        <v>5143</v>
      </c>
      <c r="F4681" t="s">
        <v>1389</v>
      </c>
      <c r="G4681">
        <v>27</v>
      </c>
      <c r="M4681">
        <v>5</v>
      </c>
    </row>
    <row r="4682" spans="1:17" x14ac:dyDescent="0.2">
      <c r="A4682" t="s">
        <v>4929</v>
      </c>
      <c r="B4682" t="s">
        <v>4892</v>
      </c>
      <c r="C4682">
        <v>4</v>
      </c>
      <c r="D4682" s="6" t="s">
        <v>4925</v>
      </c>
      <c r="E4682" t="s">
        <v>5056</v>
      </c>
      <c r="F4682" t="s">
        <v>1389</v>
      </c>
      <c r="G4682">
        <v>26</v>
      </c>
      <c r="M4682">
        <v>8</v>
      </c>
    </row>
    <row r="4683" spans="1:17" x14ac:dyDescent="0.2">
      <c r="A4683" t="s">
        <v>4929</v>
      </c>
      <c r="B4683" t="s">
        <v>4892</v>
      </c>
      <c r="C4683">
        <v>4</v>
      </c>
      <c r="D4683" s="6" t="s">
        <v>4925</v>
      </c>
      <c r="E4683" s="8" t="s">
        <v>5144</v>
      </c>
      <c r="F4683" t="s">
        <v>1538</v>
      </c>
      <c r="G4683">
        <v>23</v>
      </c>
      <c r="Q4683" t="s">
        <v>6851</v>
      </c>
    </row>
    <row r="4684" spans="1:17" x14ac:dyDescent="0.2">
      <c r="A4684" t="s">
        <v>4929</v>
      </c>
      <c r="B4684" t="s">
        <v>4892</v>
      </c>
      <c r="C4684">
        <v>4</v>
      </c>
      <c r="D4684" s="6" t="s">
        <v>4925</v>
      </c>
      <c r="E4684" s="8" t="s">
        <v>5145</v>
      </c>
      <c r="F4684" t="s">
        <v>1538</v>
      </c>
      <c r="G4684">
        <v>2</v>
      </c>
      <c r="Q4684" t="s">
        <v>6852</v>
      </c>
    </row>
    <row r="4685" spans="1:17" x14ac:dyDescent="0.2">
      <c r="A4685" t="s">
        <v>4929</v>
      </c>
      <c r="B4685" t="s">
        <v>4892</v>
      </c>
      <c r="C4685">
        <v>4</v>
      </c>
      <c r="D4685" s="6" t="s">
        <v>4925</v>
      </c>
      <c r="E4685" s="8" t="s">
        <v>5146</v>
      </c>
      <c r="F4685" t="s">
        <v>1538</v>
      </c>
      <c r="G4685">
        <v>2</v>
      </c>
      <c r="Q4685" t="s">
        <v>6853</v>
      </c>
    </row>
    <row r="4686" spans="1:17" x14ac:dyDescent="0.2">
      <c r="A4686" t="s">
        <v>4929</v>
      </c>
      <c r="B4686" t="s">
        <v>4892</v>
      </c>
      <c r="C4686">
        <v>4</v>
      </c>
      <c r="D4686" s="6" t="s">
        <v>4925</v>
      </c>
      <c r="E4686" s="8" t="s">
        <v>5147</v>
      </c>
      <c r="F4686" t="s">
        <v>1538</v>
      </c>
      <c r="G4686">
        <v>2</v>
      </c>
      <c r="Q4686" t="s">
        <v>6854</v>
      </c>
    </row>
    <row r="4687" spans="1:17" x14ac:dyDescent="0.2">
      <c r="A4687" t="s">
        <v>4929</v>
      </c>
      <c r="B4687" t="s">
        <v>4892</v>
      </c>
      <c r="C4687">
        <v>4</v>
      </c>
      <c r="D4687" s="6" t="s">
        <v>4925</v>
      </c>
      <c r="E4687" s="8" t="s">
        <v>5148</v>
      </c>
      <c r="F4687" t="s">
        <v>1538</v>
      </c>
      <c r="G4687">
        <v>2</v>
      </c>
      <c r="Q4687" t="s">
        <v>6855</v>
      </c>
    </row>
    <row r="4688" spans="1:17" x14ac:dyDescent="0.2">
      <c r="A4688" t="s">
        <v>4929</v>
      </c>
      <c r="B4688" t="s">
        <v>4892</v>
      </c>
      <c r="C4688">
        <v>4</v>
      </c>
      <c r="D4688" s="6" t="s">
        <v>4925</v>
      </c>
      <c r="E4688" s="8" t="s">
        <v>5149</v>
      </c>
      <c r="F4688" t="s">
        <v>1538</v>
      </c>
      <c r="G4688">
        <v>1</v>
      </c>
      <c r="Q4688" t="s">
        <v>6856</v>
      </c>
    </row>
    <row r="4689" spans="1:17" x14ac:dyDescent="0.2">
      <c r="A4689" t="s">
        <v>4929</v>
      </c>
      <c r="B4689" t="s">
        <v>4892</v>
      </c>
      <c r="C4689">
        <v>4</v>
      </c>
      <c r="D4689" s="6" t="s">
        <v>4925</v>
      </c>
      <c r="E4689" s="8" t="s">
        <v>5150</v>
      </c>
      <c r="F4689" t="s">
        <v>1538</v>
      </c>
      <c r="G4689">
        <v>1</v>
      </c>
      <c r="Q4689" t="s">
        <v>6857</v>
      </c>
    </row>
    <row r="4690" spans="1:17" x14ac:dyDescent="0.2">
      <c r="A4690" t="s">
        <v>4929</v>
      </c>
      <c r="B4690" t="s">
        <v>4892</v>
      </c>
      <c r="C4690">
        <v>4</v>
      </c>
      <c r="D4690" s="6" t="s">
        <v>4925</v>
      </c>
      <c r="E4690" s="8" t="s">
        <v>5151</v>
      </c>
      <c r="F4690" t="s">
        <v>1559</v>
      </c>
      <c r="G4690">
        <v>1</v>
      </c>
      <c r="Q4690" t="s">
        <v>6864</v>
      </c>
    </row>
    <row r="4691" spans="1:17" x14ac:dyDescent="0.2">
      <c r="A4691" t="s">
        <v>4929</v>
      </c>
      <c r="B4691" t="s">
        <v>4892</v>
      </c>
      <c r="C4691">
        <v>4</v>
      </c>
      <c r="D4691" s="6" t="s">
        <v>4925</v>
      </c>
      <c r="E4691" s="8" t="s">
        <v>5152</v>
      </c>
      <c r="F4691" t="s">
        <v>1559</v>
      </c>
      <c r="G4691" t="s">
        <v>114</v>
      </c>
      <c r="Q4691" t="s">
        <v>6865</v>
      </c>
    </row>
    <row r="4692" spans="1:17" x14ac:dyDescent="0.2">
      <c r="A4692" t="s">
        <v>4929</v>
      </c>
      <c r="B4692" t="s">
        <v>4892</v>
      </c>
      <c r="C4692">
        <v>4</v>
      </c>
      <c r="D4692" s="6" t="s">
        <v>4925</v>
      </c>
      <c r="E4692" s="8" t="s">
        <v>5153</v>
      </c>
      <c r="F4692" t="s">
        <v>1559</v>
      </c>
      <c r="G4692" t="s">
        <v>114</v>
      </c>
      <c r="Q4692" t="s">
        <v>6866</v>
      </c>
    </row>
    <row r="4693" spans="1:17" x14ac:dyDescent="0.2">
      <c r="A4693" t="s">
        <v>4929</v>
      </c>
      <c r="B4693" t="s">
        <v>4892</v>
      </c>
      <c r="C4693">
        <v>4</v>
      </c>
      <c r="D4693" s="6" t="s">
        <v>4925</v>
      </c>
      <c r="E4693" s="8" t="s">
        <v>5154</v>
      </c>
      <c r="F4693" t="s">
        <v>1559</v>
      </c>
      <c r="G4693">
        <v>1</v>
      </c>
      <c r="Q4693" t="s">
        <v>6867</v>
      </c>
    </row>
    <row r="4694" spans="1:17" x14ac:dyDescent="0.2">
      <c r="A4694" t="s">
        <v>4929</v>
      </c>
      <c r="B4694" t="s">
        <v>4892</v>
      </c>
      <c r="C4694">
        <v>4</v>
      </c>
      <c r="D4694" s="6" t="s">
        <v>4925</v>
      </c>
      <c r="E4694" s="8" t="s">
        <v>5155</v>
      </c>
      <c r="F4694" t="s">
        <v>1389</v>
      </c>
      <c r="G4694" t="s">
        <v>114</v>
      </c>
      <c r="Q4694" t="s">
        <v>6868</v>
      </c>
    </row>
    <row r="4695" spans="1:17" x14ac:dyDescent="0.2">
      <c r="A4695" t="s">
        <v>4929</v>
      </c>
      <c r="B4695" t="s">
        <v>4892</v>
      </c>
      <c r="C4695">
        <v>4</v>
      </c>
      <c r="D4695" s="6" t="s">
        <v>4925</v>
      </c>
      <c r="E4695" s="8" t="s">
        <v>5156</v>
      </c>
      <c r="F4695" t="s">
        <v>6862</v>
      </c>
      <c r="G4695" t="s">
        <v>114</v>
      </c>
      <c r="Q4695" t="s">
        <v>6858</v>
      </c>
    </row>
    <row r="4696" spans="1:17" x14ac:dyDescent="0.2">
      <c r="A4696" t="s">
        <v>4929</v>
      </c>
      <c r="B4696" t="s">
        <v>4892</v>
      </c>
      <c r="C4696">
        <v>4</v>
      </c>
      <c r="D4696" s="6" t="s">
        <v>4925</v>
      </c>
      <c r="E4696" s="8" t="s">
        <v>5157</v>
      </c>
      <c r="F4696" t="s">
        <v>6862</v>
      </c>
      <c r="G4696" t="s">
        <v>114</v>
      </c>
      <c r="Q4696" t="s">
        <v>6859</v>
      </c>
    </row>
    <row r="4697" spans="1:17" x14ac:dyDescent="0.2">
      <c r="A4697" t="s">
        <v>4929</v>
      </c>
      <c r="B4697" t="s">
        <v>4892</v>
      </c>
      <c r="C4697">
        <v>4</v>
      </c>
      <c r="D4697" s="6" t="s">
        <v>4925</v>
      </c>
      <c r="E4697" s="8" t="s">
        <v>5158</v>
      </c>
      <c r="F4697" t="s">
        <v>6862</v>
      </c>
      <c r="G4697" t="s">
        <v>114</v>
      </c>
      <c r="Q4697" t="s">
        <v>6860</v>
      </c>
    </row>
    <row r="4698" spans="1:17" x14ac:dyDescent="0.2">
      <c r="A4698" t="s">
        <v>4929</v>
      </c>
      <c r="B4698" t="s">
        <v>4892</v>
      </c>
      <c r="C4698">
        <v>4</v>
      </c>
      <c r="D4698" s="6" t="s">
        <v>4925</v>
      </c>
      <c r="E4698" s="8" t="s">
        <v>5172</v>
      </c>
      <c r="F4698" t="s">
        <v>6862</v>
      </c>
      <c r="G4698">
        <v>1</v>
      </c>
      <c r="Q4698" t="s">
        <v>6861</v>
      </c>
    </row>
    <row r="4699" spans="1:17" x14ac:dyDescent="0.2">
      <c r="A4699" t="s">
        <v>4929</v>
      </c>
      <c r="B4699" t="s">
        <v>4892</v>
      </c>
      <c r="C4699">
        <v>4</v>
      </c>
      <c r="D4699" s="6" t="s">
        <v>4925</v>
      </c>
      <c r="E4699" s="8" t="s">
        <v>5173</v>
      </c>
      <c r="F4699" t="s">
        <v>6674</v>
      </c>
      <c r="G4699">
        <v>23</v>
      </c>
      <c r="Q4699" t="s">
        <v>6845</v>
      </c>
    </row>
    <row r="4700" spans="1:17" x14ac:dyDescent="0.2">
      <c r="A4700" t="s">
        <v>4929</v>
      </c>
      <c r="B4700" t="s">
        <v>4892</v>
      </c>
      <c r="C4700">
        <v>4</v>
      </c>
      <c r="D4700" s="6" t="s">
        <v>4925</v>
      </c>
      <c r="E4700" s="8" t="s">
        <v>5174</v>
      </c>
      <c r="F4700" t="s">
        <v>5254</v>
      </c>
      <c r="G4700">
        <f>760-295</f>
        <v>465</v>
      </c>
      <c r="O4700" t="s">
        <v>5257</v>
      </c>
    </row>
    <row r="4701" spans="1:17" x14ac:dyDescent="0.2">
      <c r="A4701" t="s">
        <v>4929</v>
      </c>
      <c r="B4701" t="s">
        <v>4892</v>
      </c>
      <c r="C4701">
        <v>4</v>
      </c>
      <c r="D4701" s="6" t="s">
        <v>4925</v>
      </c>
      <c r="E4701" s="8" t="s">
        <v>5175</v>
      </c>
      <c r="F4701" t="s">
        <v>7138</v>
      </c>
      <c r="G4701">
        <v>8</v>
      </c>
      <c r="M4701">
        <v>5</v>
      </c>
      <c r="O4701" t="s">
        <v>6826</v>
      </c>
      <c r="Q4701" t="s">
        <v>10598</v>
      </c>
    </row>
    <row r="4702" spans="1:17" x14ac:dyDescent="0.2">
      <c r="A4702" t="s">
        <v>4929</v>
      </c>
      <c r="B4702" t="s">
        <v>4892</v>
      </c>
      <c r="C4702">
        <v>4</v>
      </c>
      <c r="D4702" s="6" t="s">
        <v>4925</v>
      </c>
      <c r="E4702" s="8" t="s">
        <v>5189</v>
      </c>
      <c r="F4702" t="s">
        <v>106</v>
      </c>
      <c r="G4702">
        <v>6</v>
      </c>
    </row>
    <row r="4703" spans="1:17" x14ac:dyDescent="0.2">
      <c r="A4703" t="s">
        <v>4929</v>
      </c>
      <c r="B4703" t="s">
        <v>4892</v>
      </c>
      <c r="C4703">
        <v>4</v>
      </c>
      <c r="D4703" s="6" t="s">
        <v>4925</v>
      </c>
      <c r="E4703" s="8" t="s">
        <v>5161</v>
      </c>
      <c r="F4703" t="s">
        <v>5255</v>
      </c>
      <c r="G4703">
        <v>16</v>
      </c>
      <c r="O4703" t="s">
        <v>5259</v>
      </c>
    </row>
    <row r="4704" spans="1:17" x14ac:dyDescent="0.2">
      <c r="A4704" t="s">
        <v>4929</v>
      </c>
      <c r="B4704" t="s">
        <v>4892</v>
      </c>
      <c r="C4704">
        <v>4</v>
      </c>
      <c r="D4704" s="6" t="s">
        <v>4925</v>
      </c>
      <c r="E4704" s="8" t="s">
        <v>5159</v>
      </c>
      <c r="F4704" t="s">
        <v>121</v>
      </c>
      <c r="G4704">
        <v>9</v>
      </c>
    </row>
    <row r="4705" spans="1:17" x14ac:dyDescent="0.2">
      <c r="A4705" t="s">
        <v>4929</v>
      </c>
      <c r="B4705" t="s">
        <v>4892</v>
      </c>
      <c r="C4705">
        <v>4</v>
      </c>
      <c r="D4705" s="6" t="s">
        <v>4925</v>
      </c>
      <c r="E4705" s="8" t="s">
        <v>5160</v>
      </c>
      <c r="F4705" t="s">
        <v>5256</v>
      </c>
      <c r="G4705">
        <v>17</v>
      </c>
      <c r="O4705" t="s">
        <v>5258</v>
      </c>
    </row>
    <row r="4706" spans="1:17" x14ac:dyDescent="0.2">
      <c r="A4706" t="s">
        <v>4929</v>
      </c>
      <c r="B4706" t="s">
        <v>4892</v>
      </c>
      <c r="C4706">
        <v>4</v>
      </c>
      <c r="D4706" s="6" t="s">
        <v>4925</v>
      </c>
      <c r="E4706" s="8" t="s">
        <v>5139</v>
      </c>
      <c r="F4706" t="s">
        <v>1264</v>
      </c>
      <c r="G4706">
        <v>54</v>
      </c>
    </row>
    <row r="4707" spans="1:17" x14ac:dyDescent="0.2">
      <c r="A4707" t="s">
        <v>4929</v>
      </c>
      <c r="B4707" t="s">
        <v>4892</v>
      </c>
      <c r="C4707">
        <v>4</v>
      </c>
      <c r="D4707" s="6" t="s">
        <v>4925</v>
      </c>
      <c r="E4707" s="8" t="s">
        <v>5162</v>
      </c>
      <c r="F4707" t="s">
        <v>3875</v>
      </c>
      <c r="G4707">
        <v>149</v>
      </c>
    </row>
    <row r="4708" spans="1:17" x14ac:dyDescent="0.2">
      <c r="A4708" t="s">
        <v>4929</v>
      </c>
      <c r="B4708" t="s">
        <v>4892</v>
      </c>
      <c r="C4708">
        <v>5</v>
      </c>
      <c r="D4708" s="6" t="s">
        <v>4925</v>
      </c>
      <c r="E4708" s="8" t="s">
        <v>5081</v>
      </c>
      <c r="F4708" t="s">
        <v>6869</v>
      </c>
      <c r="G4708">
        <v>29</v>
      </c>
      <c r="M4708">
        <v>10</v>
      </c>
      <c r="O4708" t="s">
        <v>6870</v>
      </c>
    </row>
    <row r="4709" spans="1:17" x14ac:dyDescent="0.2">
      <c r="A4709" t="s">
        <v>4929</v>
      </c>
      <c r="B4709" t="s">
        <v>4892</v>
      </c>
      <c r="C4709">
        <v>5</v>
      </c>
      <c r="D4709" s="6" t="s">
        <v>4925</v>
      </c>
      <c r="E4709" s="8" t="s">
        <v>5082</v>
      </c>
      <c r="F4709" t="s">
        <v>106</v>
      </c>
      <c r="G4709">
        <v>1</v>
      </c>
    </row>
    <row r="4710" spans="1:17" x14ac:dyDescent="0.2">
      <c r="A4710" t="s">
        <v>4929</v>
      </c>
      <c r="B4710" t="s">
        <v>4892</v>
      </c>
      <c r="C4710">
        <v>5</v>
      </c>
      <c r="D4710" s="6" t="s">
        <v>4925</v>
      </c>
      <c r="E4710" s="8" t="s">
        <v>5089</v>
      </c>
      <c r="F4710" t="s">
        <v>5255</v>
      </c>
      <c r="G4710">
        <v>23</v>
      </c>
      <c r="O4710" t="s">
        <v>5260</v>
      </c>
    </row>
    <row r="4711" spans="1:17" x14ac:dyDescent="0.2">
      <c r="A4711" t="s">
        <v>4929</v>
      </c>
      <c r="B4711" t="s">
        <v>4892</v>
      </c>
      <c r="C4711">
        <v>5</v>
      </c>
      <c r="D4711" s="6" t="s">
        <v>4925</v>
      </c>
      <c r="E4711" s="8" t="s">
        <v>5090</v>
      </c>
      <c r="F4711" t="s">
        <v>3469</v>
      </c>
      <c r="G4711">
        <v>6</v>
      </c>
      <c r="O4711" t="s">
        <v>5261</v>
      </c>
    </row>
    <row r="4712" spans="1:17" x14ac:dyDescent="0.2">
      <c r="A4712" t="s">
        <v>4929</v>
      </c>
      <c r="B4712" t="s">
        <v>4892</v>
      </c>
      <c r="C4712">
        <v>5</v>
      </c>
      <c r="D4712" s="6" t="s">
        <v>4925</v>
      </c>
      <c r="E4712" s="8" t="s">
        <v>5091</v>
      </c>
      <c r="F4712" t="s">
        <v>1264</v>
      </c>
      <c r="G4712">
        <v>59</v>
      </c>
    </row>
    <row r="4713" spans="1:17" x14ac:dyDescent="0.2">
      <c r="A4713" t="s">
        <v>4929</v>
      </c>
      <c r="B4713" t="s">
        <v>4892</v>
      </c>
      <c r="C4713">
        <v>5</v>
      </c>
      <c r="D4713" s="6" t="s">
        <v>4925</v>
      </c>
      <c r="E4713" s="8" t="s">
        <v>5148</v>
      </c>
      <c r="F4713" t="s">
        <v>1311</v>
      </c>
      <c r="G4713">
        <v>2</v>
      </c>
      <c r="Q4713" t="s">
        <v>6874</v>
      </c>
    </row>
    <row r="4714" spans="1:17" x14ac:dyDescent="0.2">
      <c r="A4714" t="s">
        <v>4929</v>
      </c>
      <c r="B4714" t="s">
        <v>4892</v>
      </c>
      <c r="C4714">
        <v>5</v>
      </c>
      <c r="D4714" s="6" t="s">
        <v>4925</v>
      </c>
      <c r="E4714" s="8" t="s">
        <v>5149</v>
      </c>
      <c r="F4714" t="s">
        <v>1311</v>
      </c>
      <c r="G4714">
        <v>2</v>
      </c>
      <c r="Q4714" t="s">
        <v>6872</v>
      </c>
    </row>
    <row r="4715" spans="1:17" x14ac:dyDescent="0.2">
      <c r="A4715" t="s">
        <v>4929</v>
      </c>
      <c r="B4715" t="s">
        <v>4892</v>
      </c>
      <c r="C4715">
        <v>5</v>
      </c>
      <c r="D4715" s="6" t="s">
        <v>4925</v>
      </c>
      <c r="E4715" s="8" t="s">
        <v>5150</v>
      </c>
      <c r="F4715" t="s">
        <v>1311</v>
      </c>
      <c r="G4715" t="s">
        <v>114</v>
      </c>
      <c r="Q4715" t="s">
        <v>6873</v>
      </c>
    </row>
    <row r="4716" spans="1:17" x14ac:dyDescent="0.2">
      <c r="A4716" t="s">
        <v>4929</v>
      </c>
      <c r="B4716" t="s">
        <v>4892</v>
      </c>
      <c r="C4716">
        <v>5</v>
      </c>
      <c r="D4716" s="6" t="s">
        <v>4925</v>
      </c>
      <c r="E4716" s="8" t="s">
        <v>5151</v>
      </c>
      <c r="F4716" t="s">
        <v>1311</v>
      </c>
      <c r="G4716">
        <v>1</v>
      </c>
      <c r="Q4716" t="s">
        <v>6875</v>
      </c>
    </row>
    <row r="4717" spans="1:17" x14ac:dyDescent="0.2">
      <c r="A4717" t="s">
        <v>4929</v>
      </c>
      <c r="B4717" t="s">
        <v>4892</v>
      </c>
      <c r="C4717">
        <v>5</v>
      </c>
      <c r="D4717" s="6" t="s">
        <v>4925</v>
      </c>
      <c r="E4717" s="8" t="s">
        <v>5152</v>
      </c>
      <c r="F4717" t="s">
        <v>1311</v>
      </c>
      <c r="G4717">
        <v>1</v>
      </c>
      <c r="Q4717" t="s">
        <v>6871</v>
      </c>
    </row>
    <row r="4718" spans="1:17" x14ac:dyDescent="0.2">
      <c r="A4718" t="s">
        <v>4929</v>
      </c>
      <c r="B4718" t="s">
        <v>4892</v>
      </c>
      <c r="C4718">
        <v>5</v>
      </c>
      <c r="D4718" s="6" t="s">
        <v>4925</v>
      </c>
      <c r="E4718" s="8" t="s">
        <v>5153</v>
      </c>
      <c r="F4718" t="s">
        <v>1311</v>
      </c>
      <c r="G4718">
        <v>8</v>
      </c>
      <c r="M4718">
        <v>5</v>
      </c>
    </row>
    <row r="4719" spans="1:17" x14ac:dyDescent="0.2">
      <c r="A4719" t="s">
        <v>4929</v>
      </c>
      <c r="B4719" t="s">
        <v>4892</v>
      </c>
      <c r="C4719">
        <v>5</v>
      </c>
      <c r="D4719" s="6" t="s">
        <v>4925</v>
      </c>
      <c r="E4719" t="s">
        <v>5056</v>
      </c>
      <c r="F4719" t="s">
        <v>1311</v>
      </c>
      <c r="G4719">
        <v>79</v>
      </c>
      <c r="M4719">
        <v>75</v>
      </c>
    </row>
    <row r="4720" spans="1:17" x14ac:dyDescent="0.2">
      <c r="A4720" t="s">
        <v>4929</v>
      </c>
      <c r="B4720" t="s">
        <v>4892</v>
      </c>
      <c r="C4720">
        <v>5</v>
      </c>
      <c r="D4720" s="6" t="s">
        <v>4925</v>
      </c>
      <c r="E4720" s="8" t="s">
        <v>5092</v>
      </c>
      <c r="F4720" t="s">
        <v>1425</v>
      </c>
      <c r="G4720">
        <v>2</v>
      </c>
      <c r="Q4720" t="s">
        <v>6876</v>
      </c>
    </row>
    <row r="4721" spans="1:17" x14ac:dyDescent="0.2">
      <c r="A4721" t="s">
        <v>4929</v>
      </c>
      <c r="B4721" t="s">
        <v>4892</v>
      </c>
      <c r="C4721">
        <v>5</v>
      </c>
      <c r="D4721" s="6" t="s">
        <v>4925</v>
      </c>
      <c r="E4721" s="8" t="s">
        <v>5094</v>
      </c>
      <c r="F4721" t="s">
        <v>1425</v>
      </c>
      <c r="G4721">
        <v>12</v>
      </c>
      <c r="Q4721" t="s">
        <v>6877</v>
      </c>
    </row>
    <row r="4722" spans="1:17" x14ac:dyDescent="0.2">
      <c r="A4722" t="s">
        <v>4929</v>
      </c>
      <c r="B4722" t="s">
        <v>4892</v>
      </c>
      <c r="C4722">
        <v>5</v>
      </c>
      <c r="D4722" s="6" t="s">
        <v>4925</v>
      </c>
      <c r="E4722" s="8" t="s">
        <v>5097</v>
      </c>
      <c r="F4722" t="s">
        <v>1425</v>
      </c>
      <c r="G4722">
        <v>9</v>
      </c>
      <c r="Q4722" t="s">
        <v>6878</v>
      </c>
    </row>
    <row r="4723" spans="1:17" x14ac:dyDescent="0.2">
      <c r="A4723" t="s">
        <v>4929</v>
      </c>
      <c r="B4723" t="s">
        <v>4892</v>
      </c>
      <c r="C4723">
        <v>5</v>
      </c>
      <c r="D4723" s="6" t="s">
        <v>4925</v>
      </c>
      <c r="E4723" s="8" t="s">
        <v>5098</v>
      </c>
      <c r="F4723" t="s">
        <v>1425</v>
      </c>
      <c r="G4723">
        <v>5</v>
      </c>
      <c r="Q4723" t="s">
        <v>6879</v>
      </c>
    </row>
    <row r="4724" spans="1:17" x14ac:dyDescent="0.2">
      <c r="A4724" t="s">
        <v>4929</v>
      </c>
      <c r="B4724" t="s">
        <v>4892</v>
      </c>
      <c r="C4724">
        <v>5</v>
      </c>
      <c r="D4724" s="6" t="s">
        <v>4925</v>
      </c>
      <c r="E4724" s="8" t="s">
        <v>5166</v>
      </c>
      <c r="F4724" t="s">
        <v>1425</v>
      </c>
      <c r="G4724">
        <v>2</v>
      </c>
      <c r="Q4724" t="s">
        <v>6880</v>
      </c>
    </row>
    <row r="4725" spans="1:17" x14ac:dyDescent="0.2">
      <c r="A4725" t="s">
        <v>4929</v>
      </c>
      <c r="B4725" t="s">
        <v>4892</v>
      </c>
      <c r="C4725">
        <v>5</v>
      </c>
      <c r="D4725" s="6" t="s">
        <v>4925</v>
      </c>
      <c r="E4725" s="8" t="s">
        <v>5167</v>
      </c>
      <c r="F4725" t="s">
        <v>1425</v>
      </c>
      <c r="G4725">
        <v>21</v>
      </c>
      <c r="M4725">
        <v>5</v>
      </c>
    </row>
    <row r="4726" spans="1:17" x14ac:dyDescent="0.2">
      <c r="A4726" t="s">
        <v>4929</v>
      </c>
      <c r="B4726" t="s">
        <v>4892</v>
      </c>
      <c r="C4726">
        <v>5</v>
      </c>
      <c r="D4726" s="6" t="s">
        <v>4925</v>
      </c>
      <c r="E4726" t="s">
        <v>5056</v>
      </c>
      <c r="F4726" t="s">
        <v>1425</v>
      </c>
      <c r="G4726">
        <v>959</v>
      </c>
      <c r="M4726">
        <v>216</v>
      </c>
    </row>
    <row r="4727" spans="1:17" x14ac:dyDescent="0.2">
      <c r="A4727" t="s">
        <v>4929</v>
      </c>
      <c r="B4727" t="s">
        <v>4892</v>
      </c>
      <c r="C4727">
        <v>5</v>
      </c>
      <c r="D4727" s="6" t="s">
        <v>4925</v>
      </c>
      <c r="E4727" s="8" t="s">
        <v>5155</v>
      </c>
      <c r="F4727" t="s">
        <v>6882</v>
      </c>
      <c r="G4727">
        <v>50</v>
      </c>
      <c r="I4727">
        <v>305</v>
      </c>
      <c r="K4727">
        <v>298</v>
      </c>
      <c r="Q4727" t="s">
        <v>6883</v>
      </c>
    </row>
    <row r="4728" spans="1:17" x14ac:dyDescent="0.2">
      <c r="A4728" t="s">
        <v>4929</v>
      </c>
      <c r="B4728" t="s">
        <v>4892</v>
      </c>
      <c r="C4728">
        <v>5</v>
      </c>
      <c r="D4728" s="6" t="s">
        <v>4925</v>
      </c>
      <c r="E4728" s="8" t="s">
        <v>5156</v>
      </c>
      <c r="F4728" t="s">
        <v>6716</v>
      </c>
      <c r="G4728">
        <v>14</v>
      </c>
      <c r="Q4728" t="s">
        <v>6881</v>
      </c>
    </row>
    <row r="4729" spans="1:17" x14ac:dyDescent="0.2">
      <c r="A4729" t="s">
        <v>4929</v>
      </c>
      <c r="B4729" t="s">
        <v>4892</v>
      </c>
      <c r="C4729">
        <v>5</v>
      </c>
      <c r="D4729" s="6" t="s">
        <v>4925</v>
      </c>
      <c r="E4729" s="8" t="s">
        <v>5157</v>
      </c>
      <c r="F4729" t="s">
        <v>6882</v>
      </c>
      <c r="G4729">
        <v>6</v>
      </c>
      <c r="Q4729" t="s">
        <v>6884</v>
      </c>
    </row>
    <row r="4730" spans="1:17" x14ac:dyDescent="0.2">
      <c r="A4730" t="s">
        <v>4929</v>
      </c>
      <c r="B4730" t="s">
        <v>4892</v>
      </c>
      <c r="C4730">
        <v>5</v>
      </c>
      <c r="D4730" s="6" t="s">
        <v>4925</v>
      </c>
      <c r="E4730" s="8" t="s">
        <v>5158</v>
      </c>
      <c r="F4730" t="s">
        <v>1538</v>
      </c>
      <c r="G4730">
        <v>2</v>
      </c>
      <c r="Q4730" t="s">
        <v>6885</v>
      </c>
    </row>
    <row r="4731" spans="1:17" x14ac:dyDescent="0.2">
      <c r="A4731" t="s">
        <v>4929</v>
      </c>
      <c r="B4731" t="s">
        <v>4892</v>
      </c>
      <c r="C4731">
        <v>5</v>
      </c>
      <c r="D4731" s="6" t="s">
        <v>4925</v>
      </c>
      <c r="E4731" s="8" t="s">
        <v>5154</v>
      </c>
      <c r="F4731" t="s">
        <v>5265</v>
      </c>
      <c r="G4731">
        <f>743-345</f>
        <v>398</v>
      </c>
      <c r="O4731" t="s">
        <v>5264</v>
      </c>
      <c r="P4731" t="s">
        <v>5266</v>
      </c>
    </row>
    <row r="4732" spans="1:17" x14ac:dyDescent="0.2">
      <c r="A4732" t="s">
        <v>4929</v>
      </c>
      <c r="B4732" t="s">
        <v>4892</v>
      </c>
      <c r="C4732">
        <v>5</v>
      </c>
      <c r="D4732" s="6" t="s">
        <v>4925</v>
      </c>
      <c r="E4732" s="8" t="s">
        <v>5168</v>
      </c>
      <c r="F4732" t="s">
        <v>1389</v>
      </c>
      <c r="G4732">
        <v>3</v>
      </c>
      <c r="Q4732" t="s">
        <v>6886</v>
      </c>
    </row>
    <row r="4733" spans="1:17" x14ac:dyDescent="0.2">
      <c r="A4733" t="s">
        <v>4929</v>
      </c>
      <c r="B4733" t="s">
        <v>4892</v>
      </c>
      <c r="C4733">
        <v>5</v>
      </c>
      <c r="D4733" s="6" t="s">
        <v>4925</v>
      </c>
      <c r="E4733" s="8" t="s">
        <v>5169</v>
      </c>
      <c r="F4733" t="s">
        <v>1389</v>
      </c>
      <c r="G4733">
        <v>2</v>
      </c>
      <c r="Q4733" t="s">
        <v>6888</v>
      </c>
    </row>
    <row r="4734" spans="1:17" x14ac:dyDescent="0.2">
      <c r="A4734" t="s">
        <v>4929</v>
      </c>
      <c r="B4734" t="s">
        <v>4892</v>
      </c>
      <c r="C4734">
        <v>5</v>
      </c>
      <c r="D4734" s="6" t="s">
        <v>4925</v>
      </c>
      <c r="E4734" s="8" t="s">
        <v>5170</v>
      </c>
      <c r="F4734" t="s">
        <v>1389</v>
      </c>
      <c r="G4734">
        <v>9</v>
      </c>
      <c r="Q4734" t="s">
        <v>6887</v>
      </c>
    </row>
    <row r="4735" spans="1:17" x14ac:dyDescent="0.2">
      <c r="A4735" t="s">
        <v>4929</v>
      </c>
      <c r="B4735" t="s">
        <v>4892</v>
      </c>
      <c r="C4735">
        <v>5</v>
      </c>
      <c r="D4735" s="6" t="s">
        <v>4925</v>
      </c>
      <c r="E4735" s="8" t="s">
        <v>5171</v>
      </c>
      <c r="F4735" t="s">
        <v>1389</v>
      </c>
      <c r="G4735">
        <v>4</v>
      </c>
      <c r="Q4735" t="s">
        <v>6890</v>
      </c>
    </row>
    <row r="4736" spans="1:17" x14ac:dyDescent="0.2">
      <c r="A4736" t="s">
        <v>4929</v>
      </c>
      <c r="B4736" t="s">
        <v>4892</v>
      </c>
      <c r="C4736">
        <v>5</v>
      </c>
      <c r="D4736" s="6" t="s">
        <v>4925</v>
      </c>
      <c r="E4736" s="8" t="s">
        <v>5140</v>
      </c>
      <c r="F4736" t="s">
        <v>1389</v>
      </c>
      <c r="G4736">
        <v>1</v>
      </c>
      <c r="Q4736" t="s">
        <v>6889</v>
      </c>
    </row>
    <row r="4737" spans="1:17" x14ac:dyDescent="0.2">
      <c r="A4737" t="s">
        <v>4929</v>
      </c>
      <c r="B4737" t="s">
        <v>4892</v>
      </c>
      <c r="C4737">
        <v>5</v>
      </c>
      <c r="D4737" s="6" t="s">
        <v>4925</v>
      </c>
      <c r="E4737" s="8" t="s">
        <v>5141</v>
      </c>
      <c r="F4737" t="s">
        <v>1559</v>
      </c>
      <c r="G4737">
        <v>15</v>
      </c>
      <c r="M4737">
        <v>5</v>
      </c>
    </row>
    <row r="4738" spans="1:17" x14ac:dyDescent="0.2">
      <c r="A4738" t="s">
        <v>4929</v>
      </c>
      <c r="B4738" t="s">
        <v>4892</v>
      </c>
      <c r="C4738">
        <v>5</v>
      </c>
      <c r="D4738" s="6" t="s">
        <v>4925</v>
      </c>
      <c r="E4738" s="8" t="s">
        <v>5142</v>
      </c>
      <c r="F4738" t="s">
        <v>1559</v>
      </c>
      <c r="G4738" t="s">
        <v>114</v>
      </c>
      <c r="Q4738" t="s">
        <v>6893</v>
      </c>
    </row>
    <row r="4739" spans="1:17" x14ac:dyDescent="0.2">
      <c r="A4739" t="s">
        <v>4929</v>
      </c>
      <c r="B4739" t="s">
        <v>4892</v>
      </c>
      <c r="C4739">
        <v>5</v>
      </c>
      <c r="D4739" s="6" t="s">
        <v>4925</v>
      </c>
      <c r="E4739" s="8" t="s">
        <v>5143</v>
      </c>
      <c r="F4739" t="s">
        <v>1559</v>
      </c>
      <c r="G4739">
        <v>1</v>
      </c>
      <c r="Q4739" t="s">
        <v>6894</v>
      </c>
    </row>
    <row r="4740" spans="1:17" x14ac:dyDescent="0.2">
      <c r="A4740" t="s">
        <v>4929</v>
      </c>
      <c r="B4740" t="s">
        <v>4892</v>
      </c>
      <c r="C4740">
        <v>5</v>
      </c>
      <c r="D4740" s="6" t="s">
        <v>4925</v>
      </c>
      <c r="E4740" s="8" t="s">
        <v>5144</v>
      </c>
      <c r="F4740" t="s">
        <v>1559</v>
      </c>
      <c r="G4740">
        <v>2</v>
      </c>
      <c r="Q4740" t="s">
        <v>6891</v>
      </c>
    </row>
    <row r="4741" spans="1:17" x14ac:dyDescent="0.2">
      <c r="A4741" t="s">
        <v>4929</v>
      </c>
      <c r="B4741" t="s">
        <v>4892</v>
      </c>
      <c r="C4741">
        <v>5</v>
      </c>
      <c r="D4741" s="6" t="s">
        <v>4925</v>
      </c>
      <c r="E4741" s="8" t="s">
        <v>5145</v>
      </c>
      <c r="F4741" t="s">
        <v>1559</v>
      </c>
      <c r="G4741" t="s">
        <v>114</v>
      </c>
      <c r="Q4741" t="s">
        <v>6892</v>
      </c>
    </row>
    <row r="4742" spans="1:17" x14ac:dyDescent="0.2">
      <c r="A4742" t="s">
        <v>4929</v>
      </c>
      <c r="B4742" t="s">
        <v>4892</v>
      </c>
      <c r="C4742">
        <v>5</v>
      </c>
      <c r="D4742" s="6" t="s">
        <v>4925</v>
      </c>
      <c r="E4742" s="8" t="s">
        <v>5146</v>
      </c>
      <c r="F4742" t="s">
        <v>1559</v>
      </c>
      <c r="G4742">
        <v>2</v>
      </c>
      <c r="Q4742" t="s">
        <v>6895</v>
      </c>
    </row>
    <row r="4743" spans="1:17" x14ac:dyDescent="0.2">
      <c r="A4743" t="s">
        <v>4929</v>
      </c>
      <c r="B4743" t="s">
        <v>4892</v>
      </c>
      <c r="C4743">
        <v>5</v>
      </c>
      <c r="D4743" s="6" t="s">
        <v>4925</v>
      </c>
      <c r="E4743" s="8" t="s">
        <v>5147</v>
      </c>
      <c r="F4743" t="s">
        <v>1559</v>
      </c>
      <c r="G4743">
        <v>7</v>
      </c>
      <c r="M4743">
        <v>5</v>
      </c>
    </row>
    <row r="4744" spans="1:17" x14ac:dyDescent="0.2">
      <c r="A4744" t="s">
        <v>4929</v>
      </c>
      <c r="B4744" t="s">
        <v>4892</v>
      </c>
      <c r="C4744">
        <v>5</v>
      </c>
      <c r="D4744" s="6" t="s">
        <v>4925</v>
      </c>
      <c r="E4744" t="s">
        <v>5056</v>
      </c>
      <c r="F4744" t="s">
        <v>1389</v>
      </c>
      <c r="G4744">
        <v>53</v>
      </c>
      <c r="M4744">
        <v>17</v>
      </c>
    </row>
    <row r="4745" spans="1:17" x14ac:dyDescent="0.2">
      <c r="A4745" t="s">
        <v>4929</v>
      </c>
      <c r="B4745" t="s">
        <v>4892</v>
      </c>
      <c r="C4745">
        <v>5</v>
      </c>
      <c r="D4745" s="6" t="s">
        <v>4925</v>
      </c>
      <c r="E4745" t="s">
        <v>5056</v>
      </c>
      <c r="F4745" t="s">
        <v>1559</v>
      </c>
      <c r="G4745">
        <v>15</v>
      </c>
      <c r="M4745">
        <v>15</v>
      </c>
    </row>
    <row r="4746" spans="1:17" x14ac:dyDescent="0.2">
      <c r="A4746" t="s">
        <v>4929</v>
      </c>
      <c r="B4746" t="s">
        <v>4892</v>
      </c>
      <c r="C4746">
        <v>6</v>
      </c>
      <c r="D4746" s="6" t="s">
        <v>4925</v>
      </c>
      <c r="E4746" s="8" t="s">
        <v>5081</v>
      </c>
      <c r="F4746" t="s">
        <v>1264</v>
      </c>
      <c r="H4746">
        <f>2.5-0.344</f>
        <v>2.1560000000000001</v>
      </c>
      <c r="P4746" t="s">
        <v>5263</v>
      </c>
    </row>
    <row r="4747" spans="1:17" x14ac:dyDescent="0.2">
      <c r="A4747" t="s">
        <v>4929</v>
      </c>
      <c r="B4747" t="s">
        <v>4892</v>
      </c>
      <c r="C4747">
        <v>6</v>
      </c>
      <c r="D4747" s="6" t="s">
        <v>4925</v>
      </c>
      <c r="E4747" s="8" t="s">
        <v>5082</v>
      </c>
      <c r="F4747" t="s">
        <v>1389</v>
      </c>
      <c r="G4747">
        <v>30</v>
      </c>
      <c r="I4747">
        <v>140</v>
      </c>
      <c r="J4747">
        <v>127</v>
      </c>
      <c r="K4747">
        <v>110</v>
      </c>
      <c r="P4747" t="s">
        <v>5262</v>
      </c>
      <c r="Q4747" t="s">
        <v>6897</v>
      </c>
    </row>
    <row r="4748" spans="1:17" x14ac:dyDescent="0.2">
      <c r="A4748" t="s">
        <v>4929</v>
      </c>
      <c r="B4748" t="s">
        <v>4892</v>
      </c>
      <c r="C4748">
        <v>6</v>
      </c>
      <c r="D4748" s="6" t="s">
        <v>4925</v>
      </c>
      <c r="E4748" s="8" t="s">
        <v>5089</v>
      </c>
      <c r="F4748" t="s">
        <v>1389</v>
      </c>
      <c r="G4748">
        <v>28</v>
      </c>
      <c r="I4748">
        <v>132</v>
      </c>
      <c r="J4748">
        <v>124</v>
      </c>
      <c r="K4748">
        <v>109</v>
      </c>
      <c r="P4748" t="s">
        <v>5262</v>
      </c>
      <c r="Q4748" t="s">
        <v>6896</v>
      </c>
    </row>
    <row r="4749" spans="1:17" x14ac:dyDescent="0.2">
      <c r="A4749" t="s">
        <v>4929</v>
      </c>
      <c r="B4749" t="s">
        <v>4892</v>
      </c>
      <c r="C4749">
        <v>6</v>
      </c>
      <c r="D4749" s="6" t="s">
        <v>4925</v>
      </c>
      <c r="E4749" s="8" t="s">
        <v>5090</v>
      </c>
      <c r="F4749" t="s">
        <v>5267</v>
      </c>
      <c r="G4749">
        <v>22</v>
      </c>
      <c r="Q4749" t="s">
        <v>6899</v>
      </c>
    </row>
    <row r="4750" spans="1:17" x14ac:dyDescent="0.2">
      <c r="A4750" t="s">
        <v>4929</v>
      </c>
      <c r="B4750" t="s">
        <v>4892</v>
      </c>
      <c r="C4750">
        <v>6</v>
      </c>
      <c r="D4750" s="6" t="s">
        <v>4925</v>
      </c>
      <c r="E4750" s="8" t="s">
        <v>5091</v>
      </c>
      <c r="F4750" t="s">
        <v>5268</v>
      </c>
      <c r="G4750">
        <v>1</v>
      </c>
      <c r="Q4750" t="s">
        <v>6898</v>
      </c>
    </row>
    <row r="4751" spans="1:17" x14ac:dyDescent="0.2">
      <c r="A4751" t="s">
        <v>4929</v>
      </c>
      <c r="B4751" t="s">
        <v>4892</v>
      </c>
      <c r="C4751">
        <v>6</v>
      </c>
      <c r="D4751" s="6" t="s">
        <v>4925</v>
      </c>
      <c r="E4751" s="8" t="s">
        <v>5092</v>
      </c>
      <c r="F4751" t="s">
        <v>1389</v>
      </c>
      <c r="G4751">
        <v>11</v>
      </c>
      <c r="Q4751" t="s">
        <v>6902</v>
      </c>
    </row>
    <row r="4752" spans="1:17" x14ac:dyDescent="0.2">
      <c r="A4752" t="s">
        <v>4929</v>
      </c>
      <c r="B4752" t="s">
        <v>4892</v>
      </c>
      <c r="C4752">
        <v>6</v>
      </c>
      <c r="D4752" s="6" t="s">
        <v>4925</v>
      </c>
      <c r="E4752" s="8" t="s">
        <v>5094</v>
      </c>
      <c r="F4752" t="s">
        <v>1389</v>
      </c>
      <c r="G4752">
        <v>4</v>
      </c>
      <c r="Q4752" t="s">
        <v>6903</v>
      </c>
    </row>
    <row r="4753" spans="1:17" x14ac:dyDescent="0.2">
      <c r="A4753" t="s">
        <v>4929</v>
      </c>
      <c r="B4753" t="s">
        <v>4892</v>
      </c>
      <c r="C4753">
        <v>6</v>
      </c>
      <c r="D4753" s="6" t="s">
        <v>4925</v>
      </c>
      <c r="E4753" s="8" t="s">
        <v>5097</v>
      </c>
      <c r="F4753" t="s">
        <v>1389</v>
      </c>
      <c r="G4753">
        <v>1</v>
      </c>
      <c r="Q4753" t="s">
        <v>6901</v>
      </c>
    </row>
    <row r="4754" spans="1:17" x14ac:dyDescent="0.2">
      <c r="A4754" t="s">
        <v>4929</v>
      </c>
      <c r="B4754" t="s">
        <v>4892</v>
      </c>
      <c r="C4754">
        <v>6</v>
      </c>
      <c r="D4754" s="6" t="s">
        <v>4925</v>
      </c>
      <c r="E4754" s="8" t="s">
        <v>5098</v>
      </c>
      <c r="F4754" t="s">
        <v>1389</v>
      </c>
      <c r="G4754" t="s">
        <v>114</v>
      </c>
      <c r="Q4754" t="s">
        <v>6904</v>
      </c>
    </row>
    <row r="4755" spans="1:17" x14ac:dyDescent="0.2">
      <c r="A4755" t="s">
        <v>4929</v>
      </c>
      <c r="B4755" t="s">
        <v>4892</v>
      </c>
      <c r="C4755">
        <v>6</v>
      </c>
      <c r="D4755" s="6" t="s">
        <v>4925</v>
      </c>
      <c r="E4755" s="8" t="s">
        <v>5166</v>
      </c>
      <c r="F4755" t="s">
        <v>1389</v>
      </c>
      <c r="G4755">
        <v>1</v>
      </c>
      <c r="Q4755" t="s">
        <v>6900</v>
      </c>
    </row>
    <row r="4756" spans="1:17" x14ac:dyDescent="0.2">
      <c r="A4756" t="s">
        <v>4929</v>
      </c>
      <c r="B4756" t="s">
        <v>4892</v>
      </c>
      <c r="C4756">
        <v>6</v>
      </c>
      <c r="D4756" s="6" t="s">
        <v>4925</v>
      </c>
      <c r="E4756" s="8" t="s">
        <v>5167</v>
      </c>
      <c r="F4756" t="s">
        <v>1389</v>
      </c>
      <c r="G4756">
        <v>13</v>
      </c>
      <c r="M4756">
        <v>5</v>
      </c>
    </row>
    <row r="4757" spans="1:17" x14ac:dyDescent="0.2">
      <c r="A4757" t="s">
        <v>4929</v>
      </c>
      <c r="B4757" t="s">
        <v>4892</v>
      </c>
      <c r="C4757">
        <v>6</v>
      </c>
      <c r="D4757" s="6" t="s">
        <v>4925</v>
      </c>
      <c r="E4757" s="8" t="s">
        <v>5168</v>
      </c>
      <c r="F4757" t="s">
        <v>1425</v>
      </c>
      <c r="G4757">
        <v>9</v>
      </c>
      <c r="Q4757" t="s">
        <v>6907</v>
      </c>
    </row>
    <row r="4758" spans="1:17" x14ac:dyDescent="0.2">
      <c r="A4758" t="s">
        <v>4929</v>
      </c>
      <c r="B4758" t="s">
        <v>4892</v>
      </c>
      <c r="C4758">
        <v>6</v>
      </c>
      <c r="D4758" s="6" t="s">
        <v>4925</v>
      </c>
      <c r="E4758" s="8" t="s">
        <v>5169</v>
      </c>
      <c r="F4758" t="s">
        <v>1425</v>
      </c>
      <c r="G4758">
        <v>34</v>
      </c>
      <c r="O4758" t="s">
        <v>6906</v>
      </c>
      <c r="Q4758" t="s">
        <v>6905</v>
      </c>
    </row>
    <row r="4759" spans="1:17" x14ac:dyDescent="0.2">
      <c r="A4759" t="s">
        <v>4929</v>
      </c>
      <c r="B4759" t="s">
        <v>4892</v>
      </c>
      <c r="C4759">
        <v>6</v>
      </c>
      <c r="D4759" s="6" t="s">
        <v>4925</v>
      </c>
      <c r="E4759" s="8" t="s">
        <v>5170</v>
      </c>
      <c r="F4759" t="s">
        <v>1425</v>
      </c>
      <c r="G4759">
        <v>16</v>
      </c>
      <c r="O4759" t="s">
        <v>6844</v>
      </c>
      <c r="Q4759" t="s">
        <v>6908</v>
      </c>
    </row>
    <row r="4760" spans="1:17" x14ac:dyDescent="0.2">
      <c r="A4760" t="s">
        <v>4929</v>
      </c>
      <c r="B4760" t="s">
        <v>4892</v>
      </c>
      <c r="C4760">
        <v>6</v>
      </c>
      <c r="D4760" s="6" t="s">
        <v>4925</v>
      </c>
      <c r="E4760" s="8" t="s">
        <v>5171</v>
      </c>
      <c r="F4760" t="s">
        <v>1425</v>
      </c>
      <c r="G4760">
        <v>13</v>
      </c>
      <c r="O4760" t="s">
        <v>6844</v>
      </c>
      <c r="Q4760" t="s">
        <v>6909</v>
      </c>
    </row>
    <row r="4761" spans="1:17" x14ac:dyDescent="0.2">
      <c r="A4761" t="s">
        <v>4929</v>
      </c>
      <c r="B4761" t="s">
        <v>4892</v>
      </c>
      <c r="C4761">
        <v>6</v>
      </c>
      <c r="D4761" s="6" t="s">
        <v>4925</v>
      </c>
      <c r="E4761" s="8" t="s">
        <v>5140</v>
      </c>
      <c r="F4761" t="s">
        <v>1425</v>
      </c>
      <c r="G4761">
        <v>15</v>
      </c>
      <c r="O4761" t="s">
        <v>6844</v>
      </c>
      <c r="Q4761" t="s">
        <v>6910</v>
      </c>
    </row>
    <row r="4762" spans="1:17" x14ac:dyDescent="0.2">
      <c r="A4762" t="s">
        <v>4929</v>
      </c>
      <c r="B4762" t="s">
        <v>4892</v>
      </c>
      <c r="C4762">
        <v>6</v>
      </c>
      <c r="D4762" s="6" t="s">
        <v>4925</v>
      </c>
      <c r="E4762" s="8" t="s">
        <v>5141</v>
      </c>
      <c r="F4762" t="s">
        <v>1425</v>
      </c>
      <c r="G4762">
        <v>35</v>
      </c>
      <c r="M4762">
        <v>5</v>
      </c>
      <c r="O4762" t="s">
        <v>6844</v>
      </c>
    </row>
    <row r="4763" spans="1:17" x14ac:dyDescent="0.2">
      <c r="A4763" t="s">
        <v>4929</v>
      </c>
      <c r="B4763" t="s">
        <v>4892</v>
      </c>
      <c r="C4763">
        <v>6</v>
      </c>
      <c r="D4763" s="6" t="s">
        <v>4925</v>
      </c>
      <c r="E4763" s="8" t="s">
        <v>5155</v>
      </c>
      <c r="F4763" t="s">
        <v>1425</v>
      </c>
      <c r="G4763" t="s">
        <v>114</v>
      </c>
      <c r="O4763" t="s">
        <v>5274</v>
      </c>
      <c r="Q4763" t="s">
        <v>6915</v>
      </c>
    </row>
    <row r="4764" spans="1:17" x14ac:dyDescent="0.2">
      <c r="A4764" t="s">
        <v>4929</v>
      </c>
      <c r="B4764" t="s">
        <v>4892</v>
      </c>
      <c r="C4764">
        <v>6</v>
      </c>
      <c r="D4764" s="6" t="s">
        <v>4925</v>
      </c>
      <c r="E4764" s="8" t="s">
        <v>5156</v>
      </c>
      <c r="F4764" t="s">
        <v>1425</v>
      </c>
      <c r="G4764" t="s">
        <v>114</v>
      </c>
      <c r="O4764" t="s">
        <v>5274</v>
      </c>
      <c r="Q4764" t="s">
        <v>6914</v>
      </c>
    </row>
    <row r="4765" spans="1:17" x14ac:dyDescent="0.2">
      <c r="A4765" t="s">
        <v>4929</v>
      </c>
      <c r="B4765" t="s">
        <v>4892</v>
      </c>
      <c r="C4765">
        <v>6</v>
      </c>
      <c r="D4765" s="6" t="s">
        <v>4925</v>
      </c>
      <c r="E4765" s="8" t="s">
        <v>5157</v>
      </c>
      <c r="F4765" t="s">
        <v>1425</v>
      </c>
      <c r="G4765" t="s">
        <v>114</v>
      </c>
      <c r="O4765" t="s">
        <v>5274</v>
      </c>
      <c r="Q4765" t="s">
        <v>6913</v>
      </c>
    </row>
    <row r="4766" spans="1:17" x14ac:dyDescent="0.2">
      <c r="A4766" t="s">
        <v>4929</v>
      </c>
      <c r="B4766" t="s">
        <v>4892</v>
      </c>
      <c r="C4766">
        <v>6</v>
      </c>
      <c r="D4766" s="6" t="s">
        <v>4925</v>
      </c>
      <c r="E4766" s="8" t="s">
        <v>5158</v>
      </c>
      <c r="F4766" t="s">
        <v>1425</v>
      </c>
      <c r="G4766" t="s">
        <v>114</v>
      </c>
      <c r="O4766" t="s">
        <v>5274</v>
      </c>
      <c r="Q4766" t="s">
        <v>6912</v>
      </c>
    </row>
    <row r="4767" spans="1:17" x14ac:dyDescent="0.2">
      <c r="A4767" t="s">
        <v>4929</v>
      </c>
      <c r="B4767" t="s">
        <v>4892</v>
      </c>
      <c r="C4767">
        <v>6</v>
      </c>
      <c r="D4767" s="6" t="s">
        <v>4925</v>
      </c>
      <c r="E4767" s="8" t="s">
        <v>5172</v>
      </c>
      <c r="F4767" t="s">
        <v>1425</v>
      </c>
      <c r="G4767" t="s">
        <v>114</v>
      </c>
      <c r="O4767" t="s">
        <v>5274</v>
      </c>
      <c r="Q4767" t="s">
        <v>6911</v>
      </c>
    </row>
    <row r="4768" spans="1:17" x14ac:dyDescent="0.2">
      <c r="A4768" t="s">
        <v>4929</v>
      </c>
      <c r="B4768" t="s">
        <v>4892</v>
      </c>
      <c r="C4768">
        <v>6</v>
      </c>
      <c r="D4768" s="6" t="s">
        <v>4925</v>
      </c>
      <c r="E4768" t="s">
        <v>5056</v>
      </c>
      <c r="F4768" t="s">
        <v>1389</v>
      </c>
      <c r="G4768">
        <f>603-410</f>
        <v>193</v>
      </c>
      <c r="O4768" t="s">
        <v>5274</v>
      </c>
    </row>
    <row r="4769" spans="1:17" x14ac:dyDescent="0.2">
      <c r="A4769" t="s">
        <v>4929</v>
      </c>
      <c r="B4769" t="s">
        <v>4892</v>
      </c>
      <c r="C4769">
        <v>6</v>
      </c>
      <c r="D4769" s="6" t="s">
        <v>4925</v>
      </c>
      <c r="E4769" t="s">
        <v>5056</v>
      </c>
      <c r="F4769" t="s">
        <v>1425</v>
      </c>
      <c r="G4769">
        <f>997-590</f>
        <v>407</v>
      </c>
      <c r="M4769">
        <v>177</v>
      </c>
    </row>
    <row r="4770" spans="1:17" x14ac:dyDescent="0.2">
      <c r="A4770" t="s">
        <v>4929</v>
      </c>
      <c r="B4770" t="s">
        <v>4892</v>
      </c>
      <c r="C4770">
        <v>6</v>
      </c>
      <c r="D4770" s="6" t="s">
        <v>4925</v>
      </c>
      <c r="E4770" s="8" t="s">
        <v>5173</v>
      </c>
      <c r="F4770" t="s">
        <v>1538</v>
      </c>
      <c r="G4770">
        <v>21</v>
      </c>
      <c r="M4770">
        <v>96</v>
      </c>
      <c r="Q4770" t="s">
        <v>6916</v>
      </c>
    </row>
    <row r="4771" spans="1:17" x14ac:dyDescent="0.2">
      <c r="A4771" t="s">
        <v>4929</v>
      </c>
      <c r="B4771" t="s">
        <v>4892</v>
      </c>
      <c r="C4771">
        <v>6</v>
      </c>
      <c r="D4771" s="6" t="s">
        <v>4925</v>
      </c>
      <c r="E4771" s="8" t="s">
        <v>5174</v>
      </c>
      <c r="F4771" t="s">
        <v>1538</v>
      </c>
      <c r="G4771">
        <v>23</v>
      </c>
      <c r="Q4771" t="s">
        <v>6917</v>
      </c>
    </row>
    <row r="4772" spans="1:17" x14ac:dyDescent="0.2">
      <c r="A4772" t="s">
        <v>4929</v>
      </c>
      <c r="B4772" t="s">
        <v>4892</v>
      </c>
      <c r="C4772">
        <v>6</v>
      </c>
      <c r="D4772" s="6" t="s">
        <v>4925</v>
      </c>
      <c r="E4772" s="8" t="s">
        <v>5175</v>
      </c>
      <c r="F4772" t="s">
        <v>1538</v>
      </c>
      <c r="G4772">
        <v>19</v>
      </c>
      <c r="O4772" t="s">
        <v>5021</v>
      </c>
      <c r="Q4772" t="s">
        <v>6918</v>
      </c>
    </row>
    <row r="4773" spans="1:17" x14ac:dyDescent="0.2">
      <c r="A4773" t="s">
        <v>4929</v>
      </c>
      <c r="B4773" t="s">
        <v>4892</v>
      </c>
      <c r="C4773">
        <v>6</v>
      </c>
      <c r="D4773" s="6" t="s">
        <v>4925</v>
      </c>
      <c r="E4773" s="8" t="s">
        <v>5139</v>
      </c>
      <c r="F4773" t="s">
        <v>6239</v>
      </c>
      <c r="G4773">
        <v>9</v>
      </c>
      <c r="O4773" t="s">
        <v>5021</v>
      </c>
      <c r="Q4773" t="s">
        <v>6919</v>
      </c>
    </row>
    <row r="4774" spans="1:17" x14ac:dyDescent="0.2">
      <c r="A4774" t="s">
        <v>4929</v>
      </c>
      <c r="B4774" t="s">
        <v>4892</v>
      </c>
      <c r="C4774">
        <v>6</v>
      </c>
      <c r="D4774" s="6" t="s">
        <v>4925</v>
      </c>
      <c r="E4774" s="8" t="s">
        <v>5162</v>
      </c>
      <c r="F4774" t="s">
        <v>6239</v>
      </c>
      <c r="G4774">
        <v>10</v>
      </c>
      <c r="Q4774" t="s">
        <v>6920</v>
      </c>
    </row>
    <row r="4775" spans="1:17" x14ac:dyDescent="0.2">
      <c r="A4775" t="s">
        <v>4929</v>
      </c>
      <c r="B4775" t="s">
        <v>4892</v>
      </c>
      <c r="C4775">
        <v>6</v>
      </c>
      <c r="D4775" s="6" t="s">
        <v>4925</v>
      </c>
      <c r="E4775" s="8" t="s">
        <v>5159</v>
      </c>
      <c r="F4775" t="s">
        <v>1311</v>
      </c>
      <c r="G4775">
        <v>10</v>
      </c>
      <c r="O4775" t="s">
        <v>5021</v>
      </c>
      <c r="Q4775" t="s">
        <v>6927</v>
      </c>
    </row>
    <row r="4776" spans="1:17" x14ac:dyDescent="0.2">
      <c r="A4776" t="s">
        <v>4929</v>
      </c>
      <c r="B4776" t="s">
        <v>4892</v>
      </c>
      <c r="C4776">
        <v>6</v>
      </c>
      <c r="D4776" s="6" t="s">
        <v>4925</v>
      </c>
      <c r="E4776" s="8" t="s">
        <v>5160</v>
      </c>
      <c r="F4776" t="s">
        <v>1311</v>
      </c>
      <c r="G4776">
        <v>8</v>
      </c>
      <c r="Q4776" t="s">
        <v>6931</v>
      </c>
    </row>
    <row r="4777" spans="1:17" x14ac:dyDescent="0.2">
      <c r="A4777" t="s">
        <v>4929</v>
      </c>
      <c r="B4777" t="s">
        <v>4892</v>
      </c>
      <c r="C4777">
        <v>6</v>
      </c>
      <c r="D4777" s="6" t="s">
        <v>4925</v>
      </c>
      <c r="E4777" s="8" t="s">
        <v>5161</v>
      </c>
      <c r="F4777" t="s">
        <v>1311</v>
      </c>
      <c r="G4777">
        <v>8</v>
      </c>
      <c r="Q4777" t="s">
        <v>6930</v>
      </c>
    </row>
    <row r="4778" spans="1:17" x14ac:dyDescent="0.2">
      <c r="A4778" t="s">
        <v>4929</v>
      </c>
      <c r="B4778" t="s">
        <v>4892</v>
      </c>
      <c r="C4778">
        <v>6</v>
      </c>
      <c r="D4778" s="6" t="s">
        <v>4925</v>
      </c>
      <c r="E4778" s="8" t="s">
        <v>5189</v>
      </c>
      <c r="F4778" t="s">
        <v>1311</v>
      </c>
      <c r="G4778">
        <v>9</v>
      </c>
      <c r="Q4778" t="s">
        <v>6929</v>
      </c>
    </row>
    <row r="4779" spans="1:17" x14ac:dyDescent="0.2">
      <c r="A4779" t="s">
        <v>4929</v>
      </c>
      <c r="B4779" t="s">
        <v>4892</v>
      </c>
      <c r="C4779">
        <v>6</v>
      </c>
      <c r="D4779" s="6" t="s">
        <v>4925</v>
      </c>
      <c r="E4779" s="8" t="s">
        <v>5184</v>
      </c>
      <c r="F4779" t="s">
        <v>1311</v>
      </c>
      <c r="G4779">
        <v>9</v>
      </c>
      <c r="Q4779" t="s">
        <v>6928</v>
      </c>
    </row>
    <row r="4780" spans="1:17" x14ac:dyDescent="0.2">
      <c r="A4780" t="s">
        <v>4929</v>
      </c>
      <c r="B4780" t="s">
        <v>4892</v>
      </c>
      <c r="C4780">
        <v>6</v>
      </c>
      <c r="D4780" s="6" t="s">
        <v>4925</v>
      </c>
      <c r="E4780" s="8" t="s">
        <v>5184</v>
      </c>
      <c r="F4780" t="s">
        <v>1311</v>
      </c>
      <c r="G4780">
        <v>14</v>
      </c>
      <c r="M4780">
        <v>5</v>
      </c>
    </row>
    <row r="4781" spans="1:17" x14ac:dyDescent="0.2">
      <c r="A4781" t="s">
        <v>4929</v>
      </c>
      <c r="B4781" t="s">
        <v>4892</v>
      </c>
      <c r="C4781">
        <v>6</v>
      </c>
      <c r="D4781" s="6" t="s">
        <v>4925</v>
      </c>
      <c r="E4781" t="s">
        <v>5056</v>
      </c>
      <c r="F4781" t="s">
        <v>1311</v>
      </c>
      <c r="G4781">
        <v>35</v>
      </c>
      <c r="M4781">
        <v>27</v>
      </c>
      <c r="O4781" t="s">
        <v>5273</v>
      </c>
    </row>
    <row r="4782" spans="1:17" x14ac:dyDescent="0.2">
      <c r="A4782" t="s">
        <v>4929</v>
      </c>
      <c r="B4782" t="s">
        <v>4892</v>
      </c>
      <c r="C4782">
        <v>6</v>
      </c>
      <c r="D4782" s="6" t="s">
        <v>4925</v>
      </c>
      <c r="E4782" s="8" t="s">
        <v>5185</v>
      </c>
      <c r="F4782" t="s">
        <v>1559</v>
      </c>
      <c r="G4782">
        <v>1</v>
      </c>
      <c r="Q4782" t="s">
        <v>6926</v>
      </c>
    </row>
    <row r="4783" spans="1:17" x14ac:dyDescent="0.2">
      <c r="A4783" t="s">
        <v>4929</v>
      </c>
      <c r="B4783" t="s">
        <v>4892</v>
      </c>
      <c r="C4783">
        <v>6</v>
      </c>
      <c r="D4783" s="6" t="s">
        <v>4925</v>
      </c>
      <c r="E4783" s="8" t="s">
        <v>5186</v>
      </c>
      <c r="F4783" t="s">
        <v>1559</v>
      </c>
      <c r="G4783">
        <v>1</v>
      </c>
      <c r="Q4783" t="s">
        <v>6925</v>
      </c>
    </row>
    <row r="4784" spans="1:17" x14ac:dyDescent="0.2">
      <c r="A4784" t="s">
        <v>4929</v>
      </c>
      <c r="B4784" t="s">
        <v>4892</v>
      </c>
      <c r="C4784">
        <v>6</v>
      </c>
      <c r="D4784" s="6" t="s">
        <v>4925</v>
      </c>
      <c r="E4784" s="8" t="s">
        <v>5182</v>
      </c>
      <c r="F4784" t="s">
        <v>1559</v>
      </c>
      <c r="G4784">
        <v>2</v>
      </c>
      <c r="Q4784" t="s">
        <v>6924</v>
      </c>
    </row>
    <row r="4785" spans="1:17" x14ac:dyDescent="0.2">
      <c r="A4785" t="s">
        <v>4929</v>
      </c>
      <c r="B4785" t="s">
        <v>4892</v>
      </c>
      <c r="C4785">
        <v>6</v>
      </c>
      <c r="D4785" s="6" t="s">
        <v>4925</v>
      </c>
      <c r="E4785" s="8" t="s">
        <v>5187</v>
      </c>
      <c r="F4785" t="s">
        <v>1559</v>
      </c>
      <c r="G4785">
        <v>2</v>
      </c>
      <c r="Q4785" t="s">
        <v>6923</v>
      </c>
    </row>
    <row r="4786" spans="1:17" x14ac:dyDescent="0.2">
      <c r="A4786" t="s">
        <v>4929</v>
      </c>
      <c r="B4786" t="s">
        <v>4892</v>
      </c>
      <c r="C4786">
        <v>6</v>
      </c>
      <c r="D4786" s="6" t="s">
        <v>4925</v>
      </c>
      <c r="E4786" s="8" t="s">
        <v>5188</v>
      </c>
      <c r="F4786" t="s">
        <v>1559</v>
      </c>
      <c r="G4786">
        <v>1</v>
      </c>
      <c r="Q4786" t="s">
        <v>6922</v>
      </c>
    </row>
    <row r="4787" spans="1:17" x14ac:dyDescent="0.2">
      <c r="A4787" t="s">
        <v>4929</v>
      </c>
      <c r="B4787" t="s">
        <v>4892</v>
      </c>
      <c r="C4787">
        <v>6</v>
      </c>
      <c r="D4787" s="6" t="s">
        <v>4925</v>
      </c>
      <c r="E4787" s="8" t="s">
        <v>5183</v>
      </c>
      <c r="F4787" t="s">
        <v>1559</v>
      </c>
      <c r="G4787">
        <v>2</v>
      </c>
      <c r="Q4787" t="s">
        <v>6921</v>
      </c>
    </row>
    <row r="4788" spans="1:17" x14ac:dyDescent="0.2">
      <c r="A4788" t="s">
        <v>4929</v>
      </c>
      <c r="B4788" t="s">
        <v>4892</v>
      </c>
      <c r="C4788">
        <v>6</v>
      </c>
      <c r="D4788" s="6" t="s">
        <v>4925</v>
      </c>
      <c r="E4788" s="8" t="s">
        <v>5147</v>
      </c>
      <c r="F4788" t="s">
        <v>6936</v>
      </c>
      <c r="G4788">
        <v>21</v>
      </c>
      <c r="O4788" t="s">
        <v>5269</v>
      </c>
      <c r="Q4788" t="s">
        <v>6935</v>
      </c>
    </row>
    <row r="4789" spans="1:17" x14ac:dyDescent="0.2">
      <c r="A4789" t="s">
        <v>4929</v>
      </c>
      <c r="B4789" t="s">
        <v>4892</v>
      </c>
      <c r="C4789">
        <v>6</v>
      </c>
      <c r="D4789" s="6" t="s">
        <v>4925</v>
      </c>
      <c r="E4789" s="8" t="s">
        <v>5149</v>
      </c>
      <c r="F4789" t="s">
        <v>6826</v>
      </c>
      <c r="G4789">
        <v>90</v>
      </c>
      <c r="O4789" t="s">
        <v>5270</v>
      </c>
      <c r="Q4789" t="s">
        <v>6932</v>
      </c>
    </row>
    <row r="4790" spans="1:17" x14ac:dyDescent="0.2">
      <c r="A4790" t="s">
        <v>4929</v>
      </c>
      <c r="B4790" t="s">
        <v>4892</v>
      </c>
      <c r="C4790">
        <v>6</v>
      </c>
      <c r="D4790" s="6" t="s">
        <v>4925</v>
      </c>
      <c r="E4790" s="8" t="s">
        <v>5148</v>
      </c>
      <c r="F4790" t="s">
        <v>6933</v>
      </c>
      <c r="G4790">
        <v>61</v>
      </c>
      <c r="O4790" t="s">
        <v>5271</v>
      </c>
      <c r="Q4790" t="s">
        <v>6934</v>
      </c>
    </row>
    <row r="4791" spans="1:17" x14ac:dyDescent="0.2">
      <c r="A4791" t="s">
        <v>4929</v>
      </c>
      <c r="B4791" t="s">
        <v>4892</v>
      </c>
      <c r="C4791">
        <v>6</v>
      </c>
      <c r="D4791" s="6" t="s">
        <v>4925</v>
      </c>
      <c r="E4791" s="8" t="s">
        <v>5150</v>
      </c>
      <c r="F4791" t="s">
        <v>6231</v>
      </c>
      <c r="G4791">
        <v>8</v>
      </c>
      <c r="M4791">
        <v>6</v>
      </c>
      <c r="Q4791" t="s">
        <v>6944</v>
      </c>
    </row>
    <row r="4792" spans="1:17" x14ac:dyDescent="0.2">
      <c r="A4792" t="s">
        <v>4929</v>
      </c>
      <c r="B4792" t="s">
        <v>4892</v>
      </c>
      <c r="C4792">
        <v>6</v>
      </c>
      <c r="D4792" s="6" t="s">
        <v>4925</v>
      </c>
      <c r="E4792" s="8" t="s">
        <v>5151</v>
      </c>
      <c r="F4792" t="s">
        <v>6654</v>
      </c>
      <c r="G4792">
        <v>48</v>
      </c>
      <c r="Q4792" t="s">
        <v>6945</v>
      </c>
    </row>
    <row r="4793" spans="1:17" x14ac:dyDescent="0.2">
      <c r="A4793" t="s">
        <v>4929</v>
      </c>
      <c r="B4793" t="s">
        <v>4892</v>
      </c>
      <c r="C4793">
        <v>6</v>
      </c>
      <c r="D4793" s="6" t="s">
        <v>4925</v>
      </c>
      <c r="E4793" s="8" t="s">
        <v>5152</v>
      </c>
      <c r="F4793" t="s">
        <v>6674</v>
      </c>
      <c r="G4793">
        <v>40</v>
      </c>
      <c r="Q4793" t="s">
        <v>6939</v>
      </c>
    </row>
    <row r="4794" spans="1:17" x14ac:dyDescent="0.2">
      <c r="A4794" t="s">
        <v>4929</v>
      </c>
      <c r="B4794" t="s">
        <v>4892</v>
      </c>
      <c r="C4794">
        <v>6</v>
      </c>
      <c r="D4794" s="6" t="s">
        <v>4925</v>
      </c>
      <c r="E4794" s="8" t="s">
        <v>5153</v>
      </c>
      <c r="F4794" t="s">
        <v>6674</v>
      </c>
      <c r="G4794">
        <v>35</v>
      </c>
      <c r="Q4794" t="s">
        <v>6938</v>
      </c>
    </row>
    <row r="4795" spans="1:17" x14ac:dyDescent="0.2">
      <c r="A4795" t="s">
        <v>4929</v>
      </c>
      <c r="B4795" t="s">
        <v>4892</v>
      </c>
      <c r="C4795">
        <v>6</v>
      </c>
      <c r="D4795" s="6" t="s">
        <v>4925</v>
      </c>
      <c r="E4795" s="8" t="s">
        <v>5154</v>
      </c>
      <c r="F4795" t="s">
        <v>6674</v>
      </c>
      <c r="G4795">
        <v>19</v>
      </c>
      <c r="Q4795" t="s">
        <v>6937</v>
      </c>
    </row>
    <row r="4796" spans="1:17" x14ac:dyDescent="0.2">
      <c r="A4796" t="s">
        <v>4929</v>
      </c>
      <c r="B4796" t="s">
        <v>4892</v>
      </c>
      <c r="C4796">
        <v>6</v>
      </c>
      <c r="D4796" s="6" t="s">
        <v>4925</v>
      </c>
      <c r="E4796" s="8" t="s">
        <v>5143</v>
      </c>
      <c r="F4796" t="s">
        <v>5869</v>
      </c>
      <c r="G4796">
        <v>26</v>
      </c>
      <c r="Q4796" t="s">
        <v>5884</v>
      </c>
    </row>
    <row r="4797" spans="1:17" x14ac:dyDescent="0.2">
      <c r="A4797" t="s">
        <v>4929</v>
      </c>
      <c r="B4797" t="s">
        <v>4892</v>
      </c>
      <c r="C4797">
        <v>6</v>
      </c>
      <c r="D4797" s="6" t="s">
        <v>4925</v>
      </c>
      <c r="E4797" s="8" t="s">
        <v>5144</v>
      </c>
      <c r="F4797" t="s">
        <v>5869</v>
      </c>
      <c r="G4797">
        <v>27</v>
      </c>
      <c r="Q4797" t="s">
        <v>5885</v>
      </c>
    </row>
    <row r="4798" spans="1:17" x14ac:dyDescent="0.2">
      <c r="A4798" t="s">
        <v>4929</v>
      </c>
      <c r="B4798" t="s">
        <v>4892</v>
      </c>
      <c r="C4798">
        <v>6</v>
      </c>
      <c r="D4798" s="6" t="s">
        <v>4925</v>
      </c>
      <c r="E4798" s="8" t="s">
        <v>5227</v>
      </c>
      <c r="F4798" t="s">
        <v>6862</v>
      </c>
      <c r="G4798" t="s">
        <v>114</v>
      </c>
      <c r="Q4798" t="s">
        <v>6943</v>
      </c>
    </row>
    <row r="4799" spans="1:17" x14ac:dyDescent="0.2">
      <c r="A4799" t="s">
        <v>4929</v>
      </c>
      <c r="B4799" t="s">
        <v>4892</v>
      </c>
      <c r="C4799">
        <v>6</v>
      </c>
      <c r="D4799" s="6" t="s">
        <v>4925</v>
      </c>
      <c r="E4799" s="8" t="s">
        <v>5226</v>
      </c>
      <c r="F4799" t="s">
        <v>6862</v>
      </c>
      <c r="G4799" t="s">
        <v>114</v>
      </c>
      <c r="Q4799" t="s">
        <v>6942</v>
      </c>
    </row>
    <row r="4800" spans="1:17" x14ac:dyDescent="0.2">
      <c r="A4800" t="s">
        <v>4929</v>
      </c>
      <c r="B4800" t="s">
        <v>4892</v>
      </c>
      <c r="C4800">
        <v>6</v>
      </c>
      <c r="D4800" s="6" t="s">
        <v>4925</v>
      </c>
      <c r="E4800" s="8" t="s">
        <v>5225</v>
      </c>
      <c r="F4800" t="s">
        <v>6862</v>
      </c>
      <c r="G4800" t="s">
        <v>114</v>
      </c>
      <c r="Q4800" t="s">
        <v>6941</v>
      </c>
    </row>
    <row r="4801" spans="1:17" x14ac:dyDescent="0.2">
      <c r="A4801" t="s">
        <v>4929</v>
      </c>
      <c r="B4801" t="s">
        <v>4892</v>
      </c>
      <c r="C4801">
        <v>6</v>
      </c>
      <c r="D4801" s="6" t="s">
        <v>4925</v>
      </c>
      <c r="E4801" s="8" t="s">
        <v>5228</v>
      </c>
      <c r="F4801" t="s">
        <v>6862</v>
      </c>
      <c r="G4801">
        <v>1</v>
      </c>
      <c r="Q4801" t="s">
        <v>6940</v>
      </c>
    </row>
    <row r="4802" spans="1:17" x14ac:dyDescent="0.2">
      <c r="A4802" t="s">
        <v>4929</v>
      </c>
      <c r="B4802" t="s">
        <v>4892</v>
      </c>
      <c r="C4802">
        <v>6</v>
      </c>
      <c r="D4802" s="6" t="s">
        <v>4925</v>
      </c>
      <c r="E4802" s="8" t="s">
        <v>5142</v>
      </c>
      <c r="F4802" t="s">
        <v>5869</v>
      </c>
      <c r="G4802">
        <v>26</v>
      </c>
      <c r="Q4802" t="s">
        <v>5886</v>
      </c>
    </row>
    <row r="4803" spans="1:17" x14ac:dyDescent="0.2">
      <c r="A4803" t="s">
        <v>4929</v>
      </c>
      <c r="B4803" t="s">
        <v>4892</v>
      </c>
      <c r="C4803">
        <v>6</v>
      </c>
      <c r="D4803" s="6" t="s">
        <v>4925</v>
      </c>
      <c r="E4803" s="8" t="s">
        <v>5145</v>
      </c>
      <c r="F4803" t="s">
        <v>121</v>
      </c>
      <c r="G4803">
        <v>17</v>
      </c>
    </row>
    <row r="4804" spans="1:17" x14ac:dyDescent="0.2">
      <c r="A4804" t="s">
        <v>4929</v>
      </c>
      <c r="B4804" t="s">
        <v>4892</v>
      </c>
      <c r="C4804">
        <v>6</v>
      </c>
      <c r="D4804" s="6" t="s">
        <v>4925</v>
      </c>
      <c r="E4804" s="8" t="s">
        <v>5146</v>
      </c>
      <c r="F4804" t="s">
        <v>5276</v>
      </c>
      <c r="G4804">
        <v>9</v>
      </c>
    </row>
    <row r="4805" spans="1:17" x14ac:dyDescent="0.2">
      <c r="A4805" t="s">
        <v>4929</v>
      </c>
      <c r="B4805" t="s">
        <v>4892</v>
      </c>
      <c r="C4805">
        <v>6</v>
      </c>
      <c r="D4805" s="6" t="s">
        <v>4925</v>
      </c>
      <c r="E4805" s="8" t="s">
        <v>5229</v>
      </c>
      <c r="F4805" t="s">
        <v>3927</v>
      </c>
      <c r="G4805">
        <v>23</v>
      </c>
      <c r="O4805" t="s">
        <v>5277</v>
      </c>
    </row>
    <row r="4806" spans="1:17" x14ac:dyDescent="0.2">
      <c r="A4806" t="s">
        <v>4929</v>
      </c>
      <c r="B4806" t="s">
        <v>4892</v>
      </c>
      <c r="C4806">
        <v>6</v>
      </c>
      <c r="D4806" s="6" t="s">
        <v>4925</v>
      </c>
      <c r="E4806" s="8" t="s">
        <v>5232</v>
      </c>
      <c r="F4806" t="s">
        <v>5278</v>
      </c>
      <c r="G4806">
        <v>7</v>
      </c>
    </row>
    <row r="4807" spans="1:17" x14ac:dyDescent="0.2">
      <c r="A4807" t="s">
        <v>4929</v>
      </c>
      <c r="B4807" t="s">
        <v>4892</v>
      </c>
      <c r="C4807">
        <v>6</v>
      </c>
      <c r="D4807" s="6" t="s">
        <v>4925</v>
      </c>
      <c r="E4807" s="8" t="s">
        <v>5224</v>
      </c>
      <c r="F4807" t="s">
        <v>5279</v>
      </c>
      <c r="G4807">
        <f>1.232-0.257</f>
        <v>0.97499999999999998</v>
      </c>
      <c r="O4807" t="s">
        <v>5280</v>
      </c>
    </row>
    <row r="4808" spans="1:17" x14ac:dyDescent="0.2">
      <c r="A4808" t="s">
        <v>4929</v>
      </c>
      <c r="B4808" t="s">
        <v>4892</v>
      </c>
      <c r="C4808">
        <v>1</v>
      </c>
      <c r="D4808" s="6" t="s">
        <v>4925</v>
      </c>
      <c r="E4808" t="s">
        <v>5056</v>
      </c>
      <c r="F4808" t="s">
        <v>1264</v>
      </c>
      <c r="H4808">
        <f>25.2-1.8</f>
        <v>23.4</v>
      </c>
    </row>
    <row r="4809" spans="1:17" x14ac:dyDescent="0.2">
      <c r="A4809" t="s">
        <v>4929</v>
      </c>
      <c r="B4809" t="s">
        <v>4892</v>
      </c>
      <c r="C4809">
        <v>1</v>
      </c>
      <c r="D4809" s="6" t="s">
        <v>4925</v>
      </c>
      <c r="E4809" t="s">
        <v>5130</v>
      </c>
      <c r="F4809" t="s">
        <v>998</v>
      </c>
      <c r="H4809">
        <f>4.6-0.587</f>
        <v>4.0129999999999999</v>
      </c>
    </row>
    <row r="4810" spans="1:17" x14ac:dyDescent="0.2">
      <c r="A4810" t="s">
        <v>4929</v>
      </c>
      <c r="B4810" t="s">
        <v>4892</v>
      </c>
      <c r="C4810">
        <v>1</v>
      </c>
      <c r="D4810" s="6" t="s">
        <v>4925</v>
      </c>
      <c r="E4810" t="s">
        <v>5130</v>
      </c>
      <c r="F4810" t="s">
        <v>5281</v>
      </c>
      <c r="G4810">
        <f>0.72-0.59</f>
        <v>0.13</v>
      </c>
    </row>
    <row r="4811" spans="1:17" x14ac:dyDescent="0.2">
      <c r="A4811" t="s">
        <v>4929</v>
      </c>
      <c r="B4811" t="s">
        <v>4892</v>
      </c>
      <c r="C4811">
        <v>1</v>
      </c>
      <c r="D4811" s="6" t="s">
        <v>4925</v>
      </c>
      <c r="E4811" t="s">
        <v>5130</v>
      </c>
      <c r="F4811" t="s">
        <v>665</v>
      </c>
      <c r="G4811">
        <f>0.544-0.285</f>
        <v>0.25900000000000006</v>
      </c>
    </row>
    <row r="4812" spans="1:17" x14ac:dyDescent="0.2">
      <c r="A4812" t="s">
        <v>4929</v>
      </c>
      <c r="B4812" t="s">
        <v>4892</v>
      </c>
      <c r="C4812">
        <v>1</v>
      </c>
      <c r="D4812" s="6" t="s">
        <v>4925</v>
      </c>
      <c r="E4812" t="s">
        <v>5130</v>
      </c>
      <c r="F4812" t="s">
        <v>5282</v>
      </c>
      <c r="G4812">
        <v>714</v>
      </c>
      <c r="O4812" t="s">
        <v>875</v>
      </c>
    </row>
    <row r="4813" spans="1:17" x14ac:dyDescent="0.2">
      <c r="A4813" t="s">
        <v>4929</v>
      </c>
      <c r="B4813" t="s">
        <v>4892</v>
      </c>
      <c r="C4813" t="s">
        <v>462</v>
      </c>
      <c r="D4813" s="6" t="s">
        <v>4925</v>
      </c>
      <c r="E4813" t="s">
        <v>5275</v>
      </c>
      <c r="F4813" t="s">
        <v>5283</v>
      </c>
      <c r="G4813">
        <f>475-285</f>
        <v>190</v>
      </c>
    </row>
    <row r="4814" spans="1:17" x14ac:dyDescent="0.2">
      <c r="A4814" t="s">
        <v>4933</v>
      </c>
      <c r="B4814" t="s">
        <v>4893</v>
      </c>
      <c r="C4814">
        <v>2</v>
      </c>
      <c r="D4814" s="6" t="s">
        <v>4934</v>
      </c>
      <c r="E4814" s="8" t="s">
        <v>5081</v>
      </c>
      <c r="F4814" t="s">
        <v>1264</v>
      </c>
      <c r="G4814">
        <v>316</v>
      </c>
    </row>
    <row r="4815" spans="1:17" x14ac:dyDescent="0.2">
      <c r="A4815" t="s">
        <v>4933</v>
      </c>
      <c r="B4815" t="s">
        <v>4893</v>
      </c>
      <c r="C4815">
        <v>2</v>
      </c>
      <c r="D4815" s="6" t="s">
        <v>4934</v>
      </c>
      <c r="E4815" s="8" t="s">
        <v>5082</v>
      </c>
      <c r="F4815" t="s">
        <v>1538</v>
      </c>
      <c r="G4815">
        <v>31</v>
      </c>
      <c r="Q4815" t="s">
        <v>6959</v>
      </c>
    </row>
    <row r="4816" spans="1:17" x14ac:dyDescent="0.2">
      <c r="A4816" t="s">
        <v>4933</v>
      </c>
      <c r="B4816" t="s">
        <v>4893</v>
      </c>
      <c r="C4816">
        <v>2</v>
      </c>
      <c r="D4816" s="6" t="s">
        <v>4934</v>
      </c>
      <c r="E4816" s="8" t="s">
        <v>5089</v>
      </c>
      <c r="F4816" t="s">
        <v>1538</v>
      </c>
      <c r="G4816">
        <v>12</v>
      </c>
      <c r="Q4816" t="s">
        <v>6958</v>
      </c>
    </row>
    <row r="4817" spans="1:17" x14ac:dyDescent="0.2">
      <c r="A4817" t="s">
        <v>4933</v>
      </c>
      <c r="B4817" t="s">
        <v>4893</v>
      </c>
      <c r="C4817">
        <v>2</v>
      </c>
      <c r="D4817" s="6" t="s">
        <v>4934</v>
      </c>
      <c r="E4817" s="8" t="s">
        <v>5090</v>
      </c>
      <c r="F4817" t="s">
        <v>1538</v>
      </c>
      <c r="G4817">
        <v>1</v>
      </c>
      <c r="Q4817" t="s">
        <v>6957</v>
      </c>
    </row>
    <row r="4818" spans="1:17" x14ac:dyDescent="0.2">
      <c r="A4818" t="s">
        <v>4933</v>
      </c>
      <c r="B4818" t="s">
        <v>4893</v>
      </c>
      <c r="C4818">
        <v>2</v>
      </c>
      <c r="D4818" s="6" t="s">
        <v>4934</v>
      </c>
      <c r="E4818" s="8" t="s">
        <v>5091</v>
      </c>
      <c r="F4818" t="s">
        <v>1538</v>
      </c>
      <c r="G4818">
        <v>1</v>
      </c>
      <c r="Q4818" t="s">
        <v>6956</v>
      </c>
    </row>
    <row r="4819" spans="1:17" x14ac:dyDescent="0.2">
      <c r="A4819" t="s">
        <v>4933</v>
      </c>
      <c r="B4819" t="s">
        <v>4893</v>
      </c>
      <c r="C4819">
        <v>2</v>
      </c>
      <c r="D4819" s="6" t="s">
        <v>4934</v>
      </c>
      <c r="E4819" s="8" t="s">
        <v>5092</v>
      </c>
      <c r="F4819" t="s">
        <v>6779</v>
      </c>
      <c r="G4819">
        <v>38</v>
      </c>
      <c r="Q4819" t="s">
        <v>6955</v>
      </c>
    </row>
    <row r="4820" spans="1:17" x14ac:dyDescent="0.2">
      <c r="A4820" t="s">
        <v>4933</v>
      </c>
      <c r="B4820" t="s">
        <v>4893</v>
      </c>
      <c r="C4820">
        <v>2</v>
      </c>
      <c r="D4820" s="6" t="s">
        <v>4934</v>
      </c>
      <c r="E4820" s="8" t="s">
        <v>5094</v>
      </c>
      <c r="F4820" t="s">
        <v>1425</v>
      </c>
      <c r="G4820">
        <v>19</v>
      </c>
      <c r="Q4820" t="s">
        <v>6954</v>
      </c>
    </row>
    <row r="4821" spans="1:17" x14ac:dyDescent="0.2">
      <c r="A4821" t="s">
        <v>4933</v>
      </c>
      <c r="B4821" t="s">
        <v>4893</v>
      </c>
      <c r="C4821">
        <v>2</v>
      </c>
      <c r="D4821" s="6" t="s">
        <v>4934</v>
      </c>
      <c r="E4821" s="8" t="s">
        <v>5097</v>
      </c>
      <c r="F4821" t="s">
        <v>1425</v>
      </c>
      <c r="G4821">
        <v>4</v>
      </c>
      <c r="Q4821" t="s">
        <v>6949</v>
      </c>
    </row>
    <row r="4822" spans="1:17" x14ac:dyDescent="0.2">
      <c r="A4822" t="s">
        <v>4933</v>
      </c>
      <c r="B4822" t="s">
        <v>4893</v>
      </c>
      <c r="C4822">
        <v>2</v>
      </c>
      <c r="D4822" s="6" t="s">
        <v>4934</v>
      </c>
      <c r="E4822" s="8" t="s">
        <v>5098</v>
      </c>
      <c r="F4822" t="s">
        <v>1425</v>
      </c>
      <c r="G4822">
        <v>6</v>
      </c>
      <c r="Q4822" t="s">
        <v>6952</v>
      </c>
    </row>
    <row r="4823" spans="1:17" x14ac:dyDescent="0.2">
      <c r="A4823" t="s">
        <v>4933</v>
      </c>
      <c r="B4823" t="s">
        <v>4893</v>
      </c>
      <c r="C4823">
        <v>2</v>
      </c>
      <c r="D4823" s="6" t="s">
        <v>4934</v>
      </c>
      <c r="E4823" s="8" t="s">
        <v>5166</v>
      </c>
      <c r="F4823" t="s">
        <v>1425</v>
      </c>
      <c r="G4823">
        <v>7</v>
      </c>
      <c r="Q4823" t="s">
        <v>6951</v>
      </c>
    </row>
    <row r="4824" spans="1:17" x14ac:dyDescent="0.2">
      <c r="A4824" t="s">
        <v>4933</v>
      </c>
      <c r="B4824" t="s">
        <v>4893</v>
      </c>
      <c r="C4824">
        <v>2</v>
      </c>
      <c r="D4824" s="6" t="s">
        <v>4934</v>
      </c>
      <c r="E4824" s="8" t="s">
        <v>5167</v>
      </c>
      <c r="F4824" t="s">
        <v>1425</v>
      </c>
      <c r="G4824">
        <v>5</v>
      </c>
      <c r="Q4824" t="s">
        <v>6950</v>
      </c>
    </row>
    <row r="4825" spans="1:17" x14ac:dyDescent="0.2">
      <c r="A4825" t="s">
        <v>4933</v>
      </c>
      <c r="B4825" t="s">
        <v>4893</v>
      </c>
      <c r="C4825">
        <v>2</v>
      </c>
      <c r="D4825" s="6" t="s">
        <v>4934</v>
      </c>
      <c r="E4825" s="8" t="s">
        <v>5168</v>
      </c>
      <c r="F4825" t="s">
        <v>1425</v>
      </c>
      <c r="G4825">
        <v>3</v>
      </c>
      <c r="Q4825" t="s">
        <v>6948</v>
      </c>
    </row>
    <row r="4826" spans="1:17" x14ac:dyDescent="0.2">
      <c r="A4826" t="s">
        <v>4933</v>
      </c>
      <c r="B4826" t="s">
        <v>4893</v>
      </c>
      <c r="C4826">
        <v>2</v>
      </c>
      <c r="D4826" s="6" t="s">
        <v>4934</v>
      </c>
      <c r="E4826" s="8" t="s">
        <v>5169</v>
      </c>
      <c r="F4826" t="s">
        <v>1425</v>
      </c>
      <c r="G4826">
        <v>7</v>
      </c>
      <c r="Q4826" t="s">
        <v>6953</v>
      </c>
    </row>
    <row r="4827" spans="1:17" x14ac:dyDescent="0.2">
      <c r="A4827" t="s">
        <v>4933</v>
      </c>
      <c r="B4827" t="s">
        <v>4893</v>
      </c>
      <c r="C4827">
        <v>2</v>
      </c>
      <c r="D4827" s="6" t="s">
        <v>4934</v>
      </c>
      <c r="E4827" s="8" t="s">
        <v>5170</v>
      </c>
      <c r="F4827" t="s">
        <v>6239</v>
      </c>
      <c r="G4827">
        <v>1</v>
      </c>
      <c r="Q4827" t="s">
        <v>6946</v>
      </c>
    </row>
    <row r="4828" spans="1:17" x14ac:dyDescent="0.2">
      <c r="A4828" t="s">
        <v>4933</v>
      </c>
      <c r="B4828" t="s">
        <v>4893</v>
      </c>
      <c r="C4828">
        <v>2</v>
      </c>
      <c r="D4828" s="6" t="s">
        <v>4934</v>
      </c>
      <c r="E4828" s="8" t="s">
        <v>5171</v>
      </c>
      <c r="F4828" t="s">
        <v>6239</v>
      </c>
      <c r="G4828">
        <v>1</v>
      </c>
      <c r="Q4828" t="s">
        <v>6947</v>
      </c>
    </row>
    <row r="4829" spans="1:17" x14ac:dyDescent="0.2">
      <c r="A4829" t="s">
        <v>4933</v>
      </c>
      <c r="B4829" t="s">
        <v>4893</v>
      </c>
      <c r="C4829">
        <v>2</v>
      </c>
      <c r="D4829" s="6" t="s">
        <v>4934</v>
      </c>
      <c r="E4829" s="8" t="s">
        <v>5140</v>
      </c>
      <c r="F4829" t="s">
        <v>1389</v>
      </c>
      <c r="G4829">
        <v>12</v>
      </c>
      <c r="Q4829" t="s">
        <v>6968</v>
      </c>
    </row>
    <row r="4830" spans="1:17" x14ac:dyDescent="0.2">
      <c r="A4830" t="s">
        <v>4933</v>
      </c>
      <c r="B4830" t="s">
        <v>4893</v>
      </c>
      <c r="C4830">
        <v>2</v>
      </c>
      <c r="D4830" s="6" t="s">
        <v>4934</v>
      </c>
      <c r="E4830" s="8" t="s">
        <v>5141</v>
      </c>
      <c r="F4830" t="s">
        <v>1389</v>
      </c>
      <c r="G4830">
        <v>8</v>
      </c>
      <c r="Q4830" t="s">
        <v>6967</v>
      </c>
    </row>
    <row r="4831" spans="1:17" x14ac:dyDescent="0.2">
      <c r="A4831" t="s">
        <v>4933</v>
      </c>
      <c r="B4831" t="s">
        <v>4893</v>
      </c>
      <c r="C4831">
        <v>2</v>
      </c>
      <c r="D4831" s="6" t="s">
        <v>4934</v>
      </c>
      <c r="E4831" s="8" t="s">
        <v>5142</v>
      </c>
      <c r="F4831" t="s">
        <v>1389</v>
      </c>
      <c r="G4831">
        <v>3</v>
      </c>
      <c r="Q4831" t="s">
        <v>6966</v>
      </c>
    </row>
    <row r="4832" spans="1:17" x14ac:dyDescent="0.2">
      <c r="A4832" t="s">
        <v>4933</v>
      </c>
      <c r="B4832" t="s">
        <v>4893</v>
      </c>
      <c r="C4832">
        <v>2</v>
      </c>
      <c r="D4832" s="6" t="s">
        <v>4934</v>
      </c>
      <c r="E4832" s="8" t="s">
        <v>5143</v>
      </c>
      <c r="F4832" t="s">
        <v>1389</v>
      </c>
      <c r="G4832">
        <v>2</v>
      </c>
      <c r="Q4832" t="s">
        <v>6965</v>
      </c>
    </row>
    <row r="4833" spans="1:17" x14ac:dyDescent="0.2">
      <c r="A4833" t="s">
        <v>4933</v>
      </c>
      <c r="B4833" t="s">
        <v>4893</v>
      </c>
      <c r="C4833">
        <v>2</v>
      </c>
      <c r="D4833" s="6" t="s">
        <v>4934</v>
      </c>
      <c r="E4833" s="8" t="s">
        <v>5144</v>
      </c>
      <c r="F4833" t="s">
        <v>1389</v>
      </c>
      <c r="G4833">
        <v>2</v>
      </c>
      <c r="Q4833" t="s">
        <v>6964</v>
      </c>
    </row>
    <row r="4834" spans="1:17" x14ac:dyDescent="0.2">
      <c r="A4834" t="s">
        <v>4933</v>
      </c>
      <c r="B4834" t="s">
        <v>4893</v>
      </c>
      <c r="C4834">
        <v>2</v>
      </c>
      <c r="D4834" s="6" t="s">
        <v>4934</v>
      </c>
      <c r="E4834" s="8" t="s">
        <v>5145</v>
      </c>
      <c r="F4834" t="s">
        <v>1389</v>
      </c>
      <c r="G4834">
        <v>12</v>
      </c>
      <c r="M4834">
        <v>2</v>
      </c>
      <c r="Q4834" t="s">
        <v>6963</v>
      </c>
    </row>
    <row r="4835" spans="1:17" x14ac:dyDescent="0.2">
      <c r="A4835" t="s">
        <v>4933</v>
      </c>
      <c r="B4835" t="s">
        <v>4893</v>
      </c>
      <c r="C4835">
        <v>2</v>
      </c>
      <c r="D4835" s="6" t="s">
        <v>4934</v>
      </c>
      <c r="E4835" s="8" t="s">
        <v>5146</v>
      </c>
      <c r="F4835" t="s">
        <v>1311</v>
      </c>
      <c r="G4835">
        <v>3</v>
      </c>
      <c r="Q4835" t="s">
        <v>6962</v>
      </c>
    </row>
    <row r="4836" spans="1:17" x14ac:dyDescent="0.2">
      <c r="A4836" t="s">
        <v>4933</v>
      </c>
      <c r="B4836" t="s">
        <v>4893</v>
      </c>
      <c r="C4836">
        <v>2</v>
      </c>
      <c r="D4836" s="6" t="s">
        <v>4934</v>
      </c>
      <c r="E4836" s="8" t="s">
        <v>5147</v>
      </c>
      <c r="F4836" t="s">
        <v>1311</v>
      </c>
      <c r="G4836">
        <v>4</v>
      </c>
      <c r="Q4836" t="s">
        <v>6960</v>
      </c>
    </row>
    <row r="4837" spans="1:17" x14ac:dyDescent="0.2">
      <c r="A4837" t="s">
        <v>4933</v>
      </c>
      <c r="B4837" t="s">
        <v>4893</v>
      </c>
      <c r="C4837">
        <v>2</v>
      </c>
      <c r="D4837" s="6" t="s">
        <v>4934</v>
      </c>
      <c r="E4837" s="8" t="s">
        <v>5148</v>
      </c>
      <c r="F4837" t="s">
        <v>1311</v>
      </c>
      <c r="G4837">
        <v>1</v>
      </c>
      <c r="Q4837" t="s">
        <v>6961</v>
      </c>
    </row>
    <row r="4838" spans="1:17" x14ac:dyDescent="0.2">
      <c r="A4838" t="s">
        <v>4933</v>
      </c>
      <c r="B4838" t="s">
        <v>4893</v>
      </c>
      <c r="C4838">
        <v>2</v>
      </c>
      <c r="D4838" s="6" t="s">
        <v>4934</v>
      </c>
      <c r="E4838" s="8" t="s">
        <v>5156</v>
      </c>
      <c r="F4838" t="s">
        <v>1311</v>
      </c>
      <c r="G4838" t="s">
        <v>114</v>
      </c>
      <c r="O4838" t="s">
        <v>1462</v>
      </c>
    </row>
    <row r="4839" spans="1:17" x14ac:dyDescent="0.2">
      <c r="A4839" t="s">
        <v>4933</v>
      </c>
      <c r="B4839" t="s">
        <v>4893</v>
      </c>
      <c r="C4839">
        <v>2</v>
      </c>
      <c r="D4839" s="6" t="s">
        <v>4934</v>
      </c>
      <c r="E4839" s="8" t="s">
        <v>5155</v>
      </c>
      <c r="F4839" t="s">
        <v>504</v>
      </c>
      <c r="G4839">
        <v>50</v>
      </c>
    </row>
    <row r="4840" spans="1:17" x14ac:dyDescent="0.2">
      <c r="A4840" t="s">
        <v>4933</v>
      </c>
      <c r="B4840" t="s">
        <v>4893</v>
      </c>
      <c r="C4840">
        <v>2</v>
      </c>
      <c r="D4840" s="6" t="s">
        <v>4934</v>
      </c>
      <c r="E4840" s="8" t="s">
        <v>5149</v>
      </c>
      <c r="F4840" t="s">
        <v>6936</v>
      </c>
      <c r="G4840">
        <v>30</v>
      </c>
      <c r="M4840">
        <v>2</v>
      </c>
      <c r="Q4840" t="s">
        <v>6970</v>
      </c>
    </row>
    <row r="4841" spans="1:17" x14ac:dyDescent="0.2">
      <c r="A4841" t="s">
        <v>4933</v>
      </c>
      <c r="B4841" t="s">
        <v>4893</v>
      </c>
      <c r="C4841">
        <v>2</v>
      </c>
      <c r="D4841" s="6" t="s">
        <v>4934</v>
      </c>
      <c r="E4841" s="8" t="s">
        <v>5153</v>
      </c>
      <c r="F4841" t="s">
        <v>106</v>
      </c>
      <c r="G4841" t="s">
        <v>114</v>
      </c>
    </row>
    <row r="4842" spans="1:17" x14ac:dyDescent="0.2">
      <c r="A4842" t="s">
        <v>4933</v>
      </c>
      <c r="B4842" t="s">
        <v>4893</v>
      </c>
      <c r="C4842">
        <v>2</v>
      </c>
      <c r="D4842" s="6" t="s">
        <v>4934</v>
      </c>
      <c r="E4842" s="8" t="s">
        <v>5150</v>
      </c>
      <c r="F4842" t="s">
        <v>511</v>
      </c>
      <c r="G4842">
        <v>1</v>
      </c>
    </row>
    <row r="4843" spans="1:17" x14ac:dyDescent="0.2">
      <c r="A4843" t="s">
        <v>4933</v>
      </c>
      <c r="B4843" t="s">
        <v>4893</v>
      </c>
      <c r="C4843">
        <v>2</v>
      </c>
      <c r="D4843" s="6" t="s">
        <v>4934</v>
      </c>
      <c r="E4843" s="8" t="s">
        <v>5151</v>
      </c>
      <c r="F4843" t="s">
        <v>6969</v>
      </c>
      <c r="G4843">
        <v>1</v>
      </c>
      <c r="Q4843" t="s">
        <v>6971</v>
      </c>
    </row>
    <row r="4844" spans="1:17" x14ac:dyDescent="0.2">
      <c r="A4844" t="s">
        <v>4933</v>
      </c>
      <c r="B4844" t="s">
        <v>4893</v>
      </c>
      <c r="C4844">
        <v>2</v>
      </c>
      <c r="D4844" s="6" t="s">
        <v>4934</v>
      </c>
      <c r="E4844" s="8" t="s">
        <v>5154</v>
      </c>
      <c r="F4844" t="s">
        <v>3875</v>
      </c>
      <c r="G4844">
        <v>4</v>
      </c>
    </row>
    <row r="4845" spans="1:17" x14ac:dyDescent="0.2">
      <c r="A4845" t="s">
        <v>4933</v>
      </c>
      <c r="B4845" t="s">
        <v>4893</v>
      </c>
      <c r="C4845">
        <v>2</v>
      </c>
      <c r="D4845" s="6" t="s">
        <v>4934</v>
      </c>
      <c r="E4845" s="8" t="s">
        <v>5152</v>
      </c>
      <c r="F4845" t="s">
        <v>2552</v>
      </c>
      <c r="G4845">
        <v>6</v>
      </c>
      <c r="M4845" t="s">
        <v>5289</v>
      </c>
    </row>
    <row r="4846" spans="1:17" x14ac:dyDescent="0.2">
      <c r="A4846" t="s">
        <v>4933</v>
      </c>
      <c r="B4846" t="s">
        <v>4893</v>
      </c>
      <c r="C4846">
        <v>3</v>
      </c>
      <c r="D4846" s="6" t="s">
        <v>4934</v>
      </c>
      <c r="E4846" s="8" t="s">
        <v>5081</v>
      </c>
      <c r="F4846" t="s">
        <v>1264</v>
      </c>
      <c r="G4846">
        <f>1.174-0.295</f>
        <v>0.879</v>
      </c>
    </row>
    <row r="4847" spans="1:17" x14ac:dyDescent="0.2">
      <c r="A4847" t="s">
        <v>4933</v>
      </c>
      <c r="B4847" t="s">
        <v>4893</v>
      </c>
      <c r="C4847">
        <v>3</v>
      </c>
      <c r="D4847" s="6" t="s">
        <v>4934</v>
      </c>
      <c r="E4847" s="8" t="s">
        <v>5082</v>
      </c>
      <c r="F4847" t="s">
        <v>504</v>
      </c>
      <c r="G4847">
        <f>1.217-0.41</f>
        <v>0.80700000000000016</v>
      </c>
    </row>
    <row r="4848" spans="1:17" x14ac:dyDescent="0.2">
      <c r="A4848" t="s">
        <v>4933</v>
      </c>
      <c r="B4848" t="s">
        <v>4893</v>
      </c>
      <c r="C4848">
        <v>3</v>
      </c>
      <c r="D4848" s="6" t="s">
        <v>4934</v>
      </c>
      <c r="E4848" s="8" t="s">
        <v>5090</v>
      </c>
      <c r="F4848" t="s">
        <v>1389</v>
      </c>
      <c r="G4848">
        <v>1</v>
      </c>
      <c r="Q4848" t="s">
        <v>6972</v>
      </c>
    </row>
    <row r="4849" spans="1:17" x14ac:dyDescent="0.2">
      <c r="A4849" t="s">
        <v>4933</v>
      </c>
      <c r="B4849" t="s">
        <v>4893</v>
      </c>
      <c r="C4849">
        <v>3</v>
      </c>
      <c r="D4849" s="6" t="s">
        <v>4934</v>
      </c>
      <c r="E4849" s="8" t="s">
        <v>5091</v>
      </c>
      <c r="F4849" t="s">
        <v>1389</v>
      </c>
      <c r="G4849">
        <v>3</v>
      </c>
      <c r="Q4849" t="s">
        <v>6974</v>
      </c>
    </row>
    <row r="4850" spans="1:17" x14ac:dyDescent="0.2">
      <c r="A4850" t="s">
        <v>4933</v>
      </c>
      <c r="B4850" t="s">
        <v>4893</v>
      </c>
      <c r="C4850">
        <v>3</v>
      </c>
      <c r="D4850" s="6" t="s">
        <v>4934</v>
      </c>
      <c r="E4850" s="8" t="s">
        <v>5092</v>
      </c>
      <c r="F4850" t="s">
        <v>1389</v>
      </c>
      <c r="G4850">
        <v>8</v>
      </c>
      <c r="Q4850" t="s">
        <v>6973</v>
      </c>
    </row>
    <row r="4851" spans="1:17" x14ac:dyDescent="0.2">
      <c r="A4851" t="s">
        <v>4933</v>
      </c>
      <c r="B4851" t="s">
        <v>4893</v>
      </c>
      <c r="C4851">
        <v>3</v>
      </c>
      <c r="D4851" s="6" t="s">
        <v>4934</v>
      </c>
      <c r="E4851" s="8" t="s">
        <v>5089</v>
      </c>
      <c r="F4851" t="s">
        <v>1389</v>
      </c>
      <c r="G4851">
        <v>13</v>
      </c>
      <c r="Q4851" t="s">
        <v>6975</v>
      </c>
    </row>
    <row r="4852" spans="1:17" x14ac:dyDescent="0.2">
      <c r="A4852" t="s">
        <v>4933</v>
      </c>
      <c r="B4852" t="s">
        <v>4893</v>
      </c>
      <c r="C4852">
        <v>3</v>
      </c>
      <c r="D4852" s="6" t="s">
        <v>4934</v>
      </c>
      <c r="E4852" s="8" t="s">
        <v>5094</v>
      </c>
      <c r="F4852" t="s">
        <v>1389</v>
      </c>
      <c r="G4852">
        <v>2</v>
      </c>
    </row>
    <row r="4853" spans="1:17" x14ac:dyDescent="0.2">
      <c r="A4853" t="s">
        <v>4933</v>
      </c>
      <c r="B4853" t="s">
        <v>4893</v>
      </c>
      <c r="C4853">
        <v>3</v>
      </c>
      <c r="D4853" s="6" t="s">
        <v>4934</v>
      </c>
      <c r="E4853" s="8" t="s">
        <v>5097</v>
      </c>
      <c r="F4853" t="s">
        <v>1389</v>
      </c>
      <c r="G4853">
        <v>24</v>
      </c>
      <c r="M4853">
        <v>5</v>
      </c>
    </row>
    <row r="4854" spans="1:17" x14ac:dyDescent="0.2">
      <c r="A4854" t="s">
        <v>4933</v>
      </c>
      <c r="B4854" t="s">
        <v>4893</v>
      </c>
      <c r="C4854">
        <v>3</v>
      </c>
      <c r="D4854" s="6" t="s">
        <v>4934</v>
      </c>
      <c r="E4854" t="s">
        <v>5056</v>
      </c>
      <c r="F4854" t="s">
        <v>1389</v>
      </c>
      <c r="G4854">
        <v>259</v>
      </c>
      <c r="M4854">
        <v>89</v>
      </c>
    </row>
    <row r="4855" spans="1:17" x14ac:dyDescent="0.2">
      <c r="A4855" t="s">
        <v>4933</v>
      </c>
      <c r="B4855" t="s">
        <v>4893</v>
      </c>
      <c r="C4855">
        <v>3</v>
      </c>
      <c r="D4855" s="6" t="s">
        <v>4934</v>
      </c>
      <c r="E4855" s="8" t="s">
        <v>5166</v>
      </c>
      <c r="F4855" t="s">
        <v>5869</v>
      </c>
      <c r="G4855">
        <v>31</v>
      </c>
      <c r="Q4855" t="s">
        <v>5887</v>
      </c>
    </row>
    <row r="4856" spans="1:17" x14ac:dyDescent="0.2">
      <c r="A4856" t="s">
        <v>4933</v>
      </c>
      <c r="B4856" t="s">
        <v>4893</v>
      </c>
      <c r="C4856">
        <v>3</v>
      </c>
      <c r="D4856" s="6" t="s">
        <v>4934</v>
      </c>
      <c r="E4856" s="8" t="s">
        <v>5098</v>
      </c>
      <c r="F4856" t="s">
        <v>5869</v>
      </c>
      <c r="G4856">
        <v>59</v>
      </c>
      <c r="Q4856" t="s">
        <v>5888</v>
      </c>
    </row>
    <row r="4857" spans="1:17" x14ac:dyDescent="0.2">
      <c r="A4857" t="s">
        <v>4933</v>
      </c>
      <c r="B4857" t="s">
        <v>4893</v>
      </c>
      <c r="C4857">
        <v>3</v>
      </c>
      <c r="D4857" s="6" t="s">
        <v>4934</v>
      </c>
      <c r="E4857" s="8" t="s">
        <v>5167</v>
      </c>
      <c r="F4857" t="s">
        <v>6338</v>
      </c>
      <c r="G4857">
        <v>42</v>
      </c>
      <c r="Q4857" t="s">
        <v>6982</v>
      </c>
    </row>
    <row r="4858" spans="1:17" x14ac:dyDescent="0.2">
      <c r="A4858" t="s">
        <v>4933</v>
      </c>
      <c r="B4858" t="s">
        <v>4893</v>
      </c>
      <c r="C4858">
        <v>3</v>
      </c>
      <c r="D4858" s="6" t="s">
        <v>4934</v>
      </c>
      <c r="E4858" s="8" t="s">
        <v>5168</v>
      </c>
      <c r="F4858" t="s">
        <v>5221</v>
      </c>
      <c r="G4858">
        <v>42</v>
      </c>
      <c r="Q4858" t="s">
        <v>6981</v>
      </c>
    </row>
    <row r="4859" spans="1:17" x14ac:dyDescent="0.2">
      <c r="A4859" t="s">
        <v>4933</v>
      </c>
      <c r="B4859" t="s">
        <v>4893</v>
      </c>
      <c r="C4859">
        <v>3</v>
      </c>
      <c r="D4859" s="6" t="s">
        <v>4934</v>
      </c>
      <c r="E4859" s="8" t="s">
        <v>5169</v>
      </c>
      <c r="F4859" t="s">
        <v>6978</v>
      </c>
      <c r="G4859">
        <v>1</v>
      </c>
      <c r="Q4859" t="s">
        <v>6976</v>
      </c>
    </row>
    <row r="4860" spans="1:17" x14ac:dyDescent="0.2">
      <c r="A4860" t="s">
        <v>4933</v>
      </c>
      <c r="B4860" t="s">
        <v>4893</v>
      </c>
      <c r="C4860">
        <v>3</v>
      </c>
      <c r="D4860" s="6" t="s">
        <v>4934</v>
      </c>
      <c r="E4860" s="8" t="s">
        <v>5170</v>
      </c>
      <c r="F4860" t="s">
        <v>6978</v>
      </c>
      <c r="G4860">
        <v>1</v>
      </c>
      <c r="Q4860" t="s">
        <v>6977</v>
      </c>
    </row>
    <row r="4861" spans="1:17" x14ac:dyDescent="0.2">
      <c r="A4861" t="s">
        <v>4933</v>
      </c>
      <c r="B4861" t="s">
        <v>4893</v>
      </c>
      <c r="C4861">
        <v>3</v>
      </c>
      <c r="D4861" s="6" t="s">
        <v>4934</v>
      </c>
      <c r="E4861" s="8" t="s">
        <v>5171</v>
      </c>
      <c r="F4861" t="s">
        <v>6978</v>
      </c>
      <c r="G4861">
        <v>1</v>
      </c>
      <c r="Q4861" t="s">
        <v>6979</v>
      </c>
    </row>
    <row r="4862" spans="1:17" x14ac:dyDescent="0.2">
      <c r="A4862" t="s">
        <v>4933</v>
      </c>
      <c r="B4862" t="s">
        <v>4893</v>
      </c>
      <c r="C4862">
        <v>3</v>
      </c>
      <c r="D4862" s="6" t="s">
        <v>4934</v>
      </c>
      <c r="E4862" s="8" t="s">
        <v>5140</v>
      </c>
      <c r="F4862" t="s">
        <v>6978</v>
      </c>
      <c r="G4862" t="s">
        <v>114</v>
      </c>
      <c r="Q4862" t="s">
        <v>6980</v>
      </c>
    </row>
    <row r="4863" spans="1:17" x14ac:dyDescent="0.2">
      <c r="A4863" t="s">
        <v>4933</v>
      </c>
      <c r="B4863" t="s">
        <v>4893</v>
      </c>
      <c r="C4863">
        <v>3</v>
      </c>
      <c r="D4863" s="6" t="s">
        <v>4934</v>
      </c>
      <c r="E4863" s="8" t="s">
        <v>5141</v>
      </c>
      <c r="F4863" t="s">
        <v>6670</v>
      </c>
      <c r="G4863">
        <v>13</v>
      </c>
      <c r="Q4863" t="s">
        <v>6991</v>
      </c>
    </row>
    <row r="4864" spans="1:17" x14ac:dyDescent="0.2">
      <c r="A4864" t="s">
        <v>4933</v>
      </c>
      <c r="B4864" t="s">
        <v>4893</v>
      </c>
      <c r="C4864">
        <v>3</v>
      </c>
      <c r="D4864" s="6" t="s">
        <v>4934</v>
      </c>
      <c r="E4864" s="8" t="s">
        <v>5142</v>
      </c>
      <c r="F4864" t="s">
        <v>6670</v>
      </c>
      <c r="G4864">
        <v>19</v>
      </c>
      <c r="Q4864" t="s">
        <v>6990</v>
      </c>
    </row>
    <row r="4865" spans="1:17" x14ac:dyDescent="0.2">
      <c r="A4865" t="s">
        <v>4933</v>
      </c>
      <c r="B4865" t="s">
        <v>4893</v>
      </c>
      <c r="C4865">
        <v>3</v>
      </c>
      <c r="D4865" s="6" t="s">
        <v>4934</v>
      </c>
      <c r="E4865" s="8" t="s">
        <v>5143</v>
      </c>
      <c r="F4865" t="s">
        <v>6670</v>
      </c>
      <c r="G4865">
        <v>14</v>
      </c>
      <c r="Q4865" t="s">
        <v>6989</v>
      </c>
    </row>
    <row r="4866" spans="1:17" x14ac:dyDescent="0.2">
      <c r="A4866" t="s">
        <v>4933</v>
      </c>
      <c r="B4866" t="s">
        <v>4893</v>
      </c>
      <c r="C4866">
        <v>3</v>
      </c>
      <c r="D4866" s="6" t="s">
        <v>4934</v>
      </c>
      <c r="E4866" s="8" t="s">
        <v>5144</v>
      </c>
      <c r="F4866" t="s">
        <v>6670</v>
      </c>
      <c r="G4866">
        <v>14</v>
      </c>
      <c r="Q4866" t="s">
        <v>6988</v>
      </c>
    </row>
    <row r="4867" spans="1:17" x14ac:dyDescent="0.2">
      <c r="A4867" t="s">
        <v>4933</v>
      </c>
      <c r="B4867" t="s">
        <v>4893</v>
      </c>
      <c r="C4867">
        <v>3</v>
      </c>
      <c r="D4867" s="6" t="s">
        <v>4934</v>
      </c>
      <c r="E4867" s="8" t="s">
        <v>5145</v>
      </c>
      <c r="F4867" t="s">
        <v>6670</v>
      </c>
      <c r="G4867">
        <v>33</v>
      </c>
      <c r="Q4867" t="s">
        <v>6987</v>
      </c>
    </row>
    <row r="4868" spans="1:17" x14ac:dyDescent="0.2">
      <c r="A4868" t="s">
        <v>4933</v>
      </c>
      <c r="B4868" t="s">
        <v>4893</v>
      </c>
      <c r="C4868">
        <v>3</v>
      </c>
      <c r="D4868" s="6" t="s">
        <v>4934</v>
      </c>
      <c r="E4868" s="8" t="s">
        <v>5146</v>
      </c>
      <c r="F4868" t="s">
        <v>1425</v>
      </c>
      <c r="G4868">
        <v>2</v>
      </c>
      <c r="Q4868" t="s">
        <v>6986</v>
      </c>
    </row>
    <row r="4869" spans="1:17" x14ac:dyDescent="0.2">
      <c r="A4869" t="s">
        <v>4933</v>
      </c>
      <c r="B4869" t="s">
        <v>4893</v>
      </c>
      <c r="C4869">
        <v>3</v>
      </c>
      <c r="D4869" s="6" t="s">
        <v>4934</v>
      </c>
      <c r="E4869" s="8" t="s">
        <v>5147</v>
      </c>
      <c r="F4869" t="s">
        <v>1425</v>
      </c>
      <c r="G4869">
        <v>12</v>
      </c>
      <c r="Q4869" t="s">
        <v>6985</v>
      </c>
    </row>
    <row r="4870" spans="1:17" x14ac:dyDescent="0.2">
      <c r="A4870" t="s">
        <v>4933</v>
      </c>
      <c r="B4870" t="s">
        <v>4893</v>
      </c>
      <c r="C4870">
        <v>3</v>
      </c>
      <c r="D4870" s="6" t="s">
        <v>4934</v>
      </c>
      <c r="E4870" s="8" t="s">
        <v>5149</v>
      </c>
      <c r="F4870" t="s">
        <v>1425</v>
      </c>
      <c r="G4870">
        <v>4</v>
      </c>
      <c r="Q4870" t="s">
        <v>6984</v>
      </c>
    </row>
    <row r="4871" spans="1:17" x14ac:dyDescent="0.2">
      <c r="A4871" t="s">
        <v>4933</v>
      </c>
      <c r="B4871" t="s">
        <v>4893</v>
      </c>
      <c r="C4871">
        <v>3</v>
      </c>
      <c r="D4871" s="6" t="s">
        <v>4934</v>
      </c>
      <c r="E4871" s="8" t="s">
        <v>5150</v>
      </c>
      <c r="F4871" t="s">
        <v>1425</v>
      </c>
      <c r="G4871">
        <v>14</v>
      </c>
      <c r="Q4871" t="s">
        <v>6983</v>
      </c>
    </row>
    <row r="4872" spans="1:17" x14ac:dyDescent="0.2">
      <c r="A4872" t="s">
        <v>4933</v>
      </c>
      <c r="B4872" t="s">
        <v>4893</v>
      </c>
      <c r="C4872">
        <v>3</v>
      </c>
      <c r="D4872" s="6" t="s">
        <v>4934</v>
      </c>
      <c r="E4872" s="8" t="s">
        <v>5148</v>
      </c>
      <c r="F4872" t="s">
        <v>6670</v>
      </c>
      <c r="G4872">
        <v>10</v>
      </c>
      <c r="Q4872" t="s">
        <v>6997</v>
      </c>
    </row>
    <row r="4873" spans="1:17" x14ac:dyDescent="0.2">
      <c r="A4873" t="s">
        <v>4933</v>
      </c>
      <c r="B4873" t="s">
        <v>4893</v>
      </c>
      <c r="C4873">
        <v>3</v>
      </c>
      <c r="D4873" s="6" t="s">
        <v>4934</v>
      </c>
      <c r="E4873" s="8" t="s">
        <v>5151</v>
      </c>
      <c r="F4873" t="s">
        <v>1425</v>
      </c>
      <c r="G4873">
        <v>10</v>
      </c>
      <c r="M4873">
        <v>4</v>
      </c>
    </row>
    <row r="4874" spans="1:17" x14ac:dyDescent="0.2">
      <c r="A4874" t="s">
        <v>4933</v>
      </c>
      <c r="B4874" t="s">
        <v>4893</v>
      </c>
      <c r="C4874">
        <v>3</v>
      </c>
      <c r="D4874" s="6" t="s">
        <v>4934</v>
      </c>
      <c r="E4874" s="8" t="s">
        <v>5152</v>
      </c>
      <c r="F4874" t="s">
        <v>1311</v>
      </c>
      <c r="G4874">
        <v>4</v>
      </c>
      <c r="Q4874" t="s">
        <v>6994</v>
      </c>
    </row>
    <row r="4875" spans="1:17" x14ac:dyDescent="0.2">
      <c r="A4875" t="s">
        <v>4933</v>
      </c>
      <c r="B4875" t="s">
        <v>4893</v>
      </c>
      <c r="C4875">
        <v>3</v>
      </c>
      <c r="D4875" s="6" t="s">
        <v>4934</v>
      </c>
      <c r="E4875" s="8" t="s">
        <v>5153</v>
      </c>
      <c r="F4875" t="s">
        <v>1311</v>
      </c>
      <c r="G4875">
        <v>1</v>
      </c>
      <c r="Q4875" t="s">
        <v>6996</v>
      </c>
    </row>
    <row r="4876" spans="1:17" x14ac:dyDescent="0.2">
      <c r="A4876" t="s">
        <v>4933</v>
      </c>
      <c r="B4876" t="s">
        <v>4893</v>
      </c>
      <c r="C4876">
        <v>3</v>
      </c>
      <c r="D4876" s="6" t="s">
        <v>4934</v>
      </c>
      <c r="E4876" s="8" t="s">
        <v>5154</v>
      </c>
      <c r="F4876" t="s">
        <v>1311</v>
      </c>
      <c r="G4876">
        <v>2</v>
      </c>
      <c r="Q4876" t="s">
        <v>6992</v>
      </c>
    </row>
    <row r="4877" spans="1:17" x14ac:dyDescent="0.2">
      <c r="A4877" t="s">
        <v>4933</v>
      </c>
      <c r="B4877" t="s">
        <v>4893</v>
      </c>
      <c r="C4877">
        <v>3</v>
      </c>
      <c r="D4877" s="6" t="s">
        <v>4934</v>
      </c>
      <c r="E4877" s="8" t="s">
        <v>5155</v>
      </c>
      <c r="F4877" t="s">
        <v>1311</v>
      </c>
      <c r="G4877">
        <v>1</v>
      </c>
      <c r="Q4877" t="s">
        <v>6993</v>
      </c>
    </row>
    <row r="4878" spans="1:17" x14ac:dyDescent="0.2">
      <c r="A4878" t="s">
        <v>4933</v>
      </c>
      <c r="B4878" t="s">
        <v>4893</v>
      </c>
      <c r="C4878">
        <v>3</v>
      </c>
      <c r="D4878" s="6" t="s">
        <v>4934</v>
      </c>
      <c r="E4878" s="8" t="s">
        <v>5156</v>
      </c>
      <c r="F4878" t="s">
        <v>1311</v>
      </c>
      <c r="G4878">
        <v>2</v>
      </c>
      <c r="Q4878" t="s">
        <v>6995</v>
      </c>
    </row>
    <row r="4879" spans="1:17" x14ac:dyDescent="0.2">
      <c r="A4879" t="s">
        <v>4933</v>
      </c>
      <c r="B4879" t="s">
        <v>4893</v>
      </c>
      <c r="C4879">
        <v>3</v>
      </c>
      <c r="D4879" s="6" t="s">
        <v>4934</v>
      </c>
      <c r="E4879" s="8" t="s">
        <v>5157</v>
      </c>
      <c r="F4879" t="s">
        <v>1311</v>
      </c>
      <c r="G4879">
        <v>10</v>
      </c>
      <c r="M4879">
        <v>5</v>
      </c>
    </row>
    <row r="4880" spans="1:17" x14ac:dyDescent="0.2">
      <c r="A4880" t="s">
        <v>4933</v>
      </c>
      <c r="B4880" t="s">
        <v>4893</v>
      </c>
      <c r="C4880">
        <v>3</v>
      </c>
      <c r="D4880" s="6" t="s">
        <v>4934</v>
      </c>
      <c r="E4880" t="s">
        <v>5056</v>
      </c>
      <c r="F4880" t="s">
        <v>1311</v>
      </c>
      <c r="G4880">
        <v>28</v>
      </c>
      <c r="M4880">
        <v>18</v>
      </c>
    </row>
    <row r="4881" spans="1:17" x14ac:dyDescent="0.2">
      <c r="A4881" t="s">
        <v>4933</v>
      </c>
      <c r="B4881" t="s">
        <v>4893</v>
      </c>
      <c r="C4881">
        <v>3</v>
      </c>
      <c r="D4881" s="6" t="s">
        <v>4934</v>
      </c>
      <c r="E4881" s="8" t="s">
        <v>5158</v>
      </c>
      <c r="F4881" t="s">
        <v>810</v>
      </c>
      <c r="G4881">
        <v>45</v>
      </c>
    </row>
    <row r="4882" spans="1:17" x14ac:dyDescent="0.2">
      <c r="A4882" t="s">
        <v>4933</v>
      </c>
      <c r="B4882" t="s">
        <v>4893</v>
      </c>
      <c r="C4882">
        <v>3</v>
      </c>
      <c r="D4882" s="6" t="s">
        <v>4934</v>
      </c>
      <c r="E4882" s="8" t="s">
        <v>5175</v>
      </c>
      <c r="F4882" t="s">
        <v>6969</v>
      </c>
      <c r="G4882">
        <v>18</v>
      </c>
      <c r="Q4882" t="s">
        <v>6998</v>
      </c>
    </row>
    <row r="4883" spans="1:17" x14ac:dyDescent="0.2">
      <c r="A4883" t="s">
        <v>4933</v>
      </c>
      <c r="B4883" t="s">
        <v>4893</v>
      </c>
      <c r="C4883">
        <v>3</v>
      </c>
      <c r="D4883" s="6" t="s">
        <v>4934</v>
      </c>
      <c r="E4883" s="8" t="s">
        <v>5139</v>
      </c>
      <c r="F4883" t="s">
        <v>106</v>
      </c>
      <c r="G4883">
        <v>12</v>
      </c>
    </row>
    <row r="4884" spans="1:17" x14ac:dyDescent="0.2">
      <c r="A4884" t="s">
        <v>4933</v>
      </c>
      <c r="B4884" t="s">
        <v>4893</v>
      </c>
      <c r="C4884">
        <v>3</v>
      </c>
      <c r="D4884" s="6" t="s">
        <v>4934</v>
      </c>
      <c r="E4884" s="8" t="s">
        <v>5162</v>
      </c>
      <c r="F4884" t="s">
        <v>3431</v>
      </c>
      <c r="G4884">
        <v>10</v>
      </c>
    </row>
    <row r="4885" spans="1:17" x14ac:dyDescent="0.2">
      <c r="A4885" t="s">
        <v>4933</v>
      </c>
      <c r="B4885" t="s">
        <v>4893</v>
      </c>
      <c r="C4885">
        <v>3</v>
      </c>
      <c r="D4885" s="6" t="s">
        <v>4934</v>
      </c>
      <c r="E4885" s="8" t="s">
        <v>5159</v>
      </c>
      <c r="F4885" t="s">
        <v>121</v>
      </c>
      <c r="G4885">
        <v>14</v>
      </c>
    </row>
    <row r="4886" spans="1:17" x14ac:dyDescent="0.2">
      <c r="A4886" t="s">
        <v>4933</v>
      </c>
      <c r="B4886" t="s">
        <v>4893</v>
      </c>
      <c r="C4886">
        <v>3</v>
      </c>
      <c r="D4886" s="6" t="s">
        <v>4934</v>
      </c>
      <c r="E4886" s="8" t="s">
        <v>5160</v>
      </c>
      <c r="F4886" t="s">
        <v>3927</v>
      </c>
      <c r="G4886">
        <v>9</v>
      </c>
    </row>
    <row r="4887" spans="1:17" x14ac:dyDescent="0.2">
      <c r="A4887" t="s">
        <v>4933</v>
      </c>
      <c r="B4887" t="s">
        <v>4893</v>
      </c>
      <c r="C4887">
        <v>3</v>
      </c>
      <c r="D4887" s="6" t="s">
        <v>4934</v>
      </c>
      <c r="E4887" s="8" t="s">
        <v>5161</v>
      </c>
      <c r="F4887" t="s">
        <v>3875</v>
      </c>
      <c r="G4887">
        <v>9</v>
      </c>
      <c r="O4887" t="s">
        <v>5290</v>
      </c>
    </row>
    <row r="4888" spans="1:17" x14ac:dyDescent="0.2">
      <c r="A4888" t="s">
        <v>4933</v>
      </c>
      <c r="B4888" t="s">
        <v>4893</v>
      </c>
      <c r="C4888">
        <v>5</v>
      </c>
      <c r="D4888" s="6" t="s">
        <v>4934</v>
      </c>
      <c r="E4888" s="8" t="s">
        <v>5081</v>
      </c>
      <c r="F4888" t="s">
        <v>1264</v>
      </c>
      <c r="H4888">
        <f>1.391-0.323</f>
        <v>1.0680000000000001</v>
      </c>
      <c r="O4888" t="s">
        <v>5291</v>
      </c>
    </row>
    <row r="4889" spans="1:17" x14ac:dyDescent="0.2">
      <c r="A4889" t="s">
        <v>4933</v>
      </c>
      <c r="B4889" t="s">
        <v>4893</v>
      </c>
      <c r="C4889">
        <v>5</v>
      </c>
      <c r="D4889" s="6" t="s">
        <v>4934</v>
      </c>
      <c r="E4889" s="8" t="s">
        <v>5082</v>
      </c>
      <c r="F4889" t="s">
        <v>504</v>
      </c>
      <c r="G4889">
        <f>860-285</f>
        <v>575</v>
      </c>
      <c r="O4889" t="s">
        <v>5292</v>
      </c>
    </row>
    <row r="4890" spans="1:17" x14ac:dyDescent="0.2">
      <c r="A4890" t="s">
        <v>4933</v>
      </c>
      <c r="B4890" t="s">
        <v>4893</v>
      </c>
      <c r="C4890">
        <v>5</v>
      </c>
      <c r="D4890" s="6" t="s">
        <v>4934</v>
      </c>
      <c r="E4890" s="8" t="s">
        <v>5089</v>
      </c>
      <c r="F4890" t="s">
        <v>7000</v>
      </c>
      <c r="G4890">
        <v>14</v>
      </c>
      <c r="Q4890" t="s">
        <v>6999</v>
      </c>
    </row>
    <row r="4891" spans="1:17" x14ac:dyDescent="0.2">
      <c r="A4891" t="s">
        <v>4933</v>
      </c>
      <c r="B4891" t="s">
        <v>4893</v>
      </c>
      <c r="C4891">
        <v>5</v>
      </c>
      <c r="D4891" s="6" t="s">
        <v>4934</v>
      </c>
      <c r="E4891" s="8" t="s">
        <v>5090</v>
      </c>
      <c r="F4891" t="s">
        <v>1425</v>
      </c>
      <c r="G4891">
        <v>3</v>
      </c>
      <c r="Q4891" t="s">
        <v>7001</v>
      </c>
    </row>
    <row r="4892" spans="1:17" x14ac:dyDescent="0.2">
      <c r="A4892" t="s">
        <v>4933</v>
      </c>
      <c r="B4892" t="s">
        <v>4893</v>
      </c>
      <c r="C4892">
        <v>5</v>
      </c>
      <c r="D4892" s="6" t="s">
        <v>4934</v>
      </c>
      <c r="E4892" s="8" t="s">
        <v>5091</v>
      </c>
      <c r="F4892" t="s">
        <v>1559</v>
      </c>
      <c r="G4892">
        <v>2</v>
      </c>
      <c r="Q4892" t="s">
        <v>7007</v>
      </c>
    </row>
    <row r="4893" spans="1:17" x14ac:dyDescent="0.2">
      <c r="A4893" t="s">
        <v>4933</v>
      </c>
      <c r="B4893" t="s">
        <v>4893</v>
      </c>
      <c r="C4893">
        <v>5</v>
      </c>
      <c r="D4893" s="6" t="s">
        <v>4934</v>
      </c>
      <c r="E4893" s="8" t="s">
        <v>5092</v>
      </c>
      <c r="F4893" t="s">
        <v>1559</v>
      </c>
      <c r="G4893">
        <v>1</v>
      </c>
      <c r="Q4893" t="s">
        <v>7006</v>
      </c>
    </row>
    <row r="4894" spans="1:17" x14ac:dyDescent="0.2">
      <c r="A4894" t="s">
        <v>4933</v>
      </c>
      <c r="B4894" t="s">
        <v>4893</v>
      </c>
      <c r="C4894">
        <v>5</v>
      </c>
      <c r="D4894" s="6" t="s">
        <v>4934</v>
      </c>
      <c r="E4894" s="8" t="s">
        <v>5094</v>
      </c>
      <c r="F4894" t="s">
        <v>1559</v>
      </c>
      <c r="G4894">
        <v>1</v>
      </c>
      <c r="Q4894" t="s">
        <v>7005</v>
      </c>
    </row>
    <row r="4895" spans="1:17" x14ac:dyDescent="0.2">
      <c r="A4895" t="s">
        <v>4933</v>
      </c>
      <c r="B4895" t="s">
        <v>4893</v>
      </c>
      <c r="C4895">
        <v>5</v>
      </c>
      <c r="D4895" s="6" t="s">
        <v>4934</v>
      </c>
      <c r="E4895" s="8" t="s">
        <v>5097</v>
      </c>
      <c r="F4895" t="s">
        <v>1559</v>
      </c>
      <c r="G4895">
        <v>1</v>
      </c>
      <c r="Q4895" t="s">
        <v>7004</v>
      </c>
    </row>
    <row r="4896" spans="1:17" x14ac:dyDescent="0.2">
      <c r="A4896" t="s">
        <v>4933</v>
      </c>
      <c r="B4896" t="s">
        <v>4893</v>
      </c>
      <c r="C4896">
        <v>5</v>
      </c>
      <c r="D4896" s="6" t="s">
        <v>4934</v>
      </c>
      <c r="E4896" s="8" t="s">
        <v>5098</v>
      </c>
      <c r="F4896" t="s">
        <v>1559</v>
      </c>
      <c r="G4896">
        <v>1</v>
      </c>
      <c r="Q4896" t="s">
        <v>7003</v>
      </c>
    </row>
    <row r="4897" spans="1:17" x14ac:dyDescent="0.2">
      <c r="A4897" t="s">
        <v>4933</v>
      </c>
      <c r="B4897" t="s">
        <v>4893</v>
      </c>
      <c r="C4897">
        <v>5</v>
      </c>
      <c r="D4897" s="6" t="s">
        <v>4934</v>
      </c>
      <c r="E4897" s="8" t="s">
        <v>5166</v>
      </c>
      <c r="F4897" t="s">
        <v>1559</v>
      </c>
      <c r="G4897">
        <v>2</v>
      </c>
      <c r="Q4897" t="s">
        <v>7002</v>
      </c>
    </row>
    <row r="4898" spans="1:17" x14ac:dyDescent="0.2">
      <c r="A4898" t="s">
        <v>4933</v>
      </c>
      <c r="B4898" t="s">
        <v>4893</v>
      </c>
      <c r="C4898">
        <v>5</v>
      </c>
      <c r="D4898" s="6" t="s">
        <v>4934</v>
      </c>
      <c r="E4898" s="8" t="s">
        <v>5167</v>
      </c>
      <c r="F4898" t="s">
        <v>1311</v>
      </c>
      <c r="G4898" t="s">
        <v>114</v>
      </c>
      <c r="Q4898" t="s">
        <v>7008</v>
      </c>
    </row>
    <row r="4899" spans="1:17" x14ac:dyDescent="0.2">
      <c r="A4899" t="s">
        <v>4933</v>
      </c>
      <c r="B4899" t="s">
        <v>4893</v>
      </c>
      <c r="C4899">
        <v>5</v>
      </c>
      <c r="D4899" s="6" t="s">
        <v>4934</v>
      </c>
      <c r="E4899" s="8" t="s">
        <v>5141</v>
      </c>
      <c r="F4899" t="s">
        <v>1311</v>
      </c>
      <c r="G4899">
        <v>2</v>
      </c>
    </row>
    <row r="4900" spans="1:17" x14ac:dyDescent="0.2">
      <c r="A4900" t="s">
        <v>4933</v>
      </c>
      <c r="B4900" t="s">
        <v>4893</v>
      </c>
      <c r="C4900">
        <v>5</v>
      </c>
      <c r="D4900" s="6" t="s">
        <v>4934</v>
      </c>
      <c r="E4900" s="8" t="s">
        <v>5171</v>
      </c>
      <c r="F4900" t="s">
        <v>698</v>
      </c>
      <c r="G4900" t="s">
        <v>114</v>
      </c>
      <c r="M4900">
        <v>2</v>
      </c>
      <c r="Q4900" t="s">
        <v>7009</v>
      </c>
    </row>
    <row r="4901" spans="1:17" x14ac:dyDescent="0.2">
      <c r="A4901" t="s">
        <v>4933</v>
      </c>
      <c r="B4901" t="s">
        <v>4893</v>
      </c>
      <c r="C4901">
        <v>5</v>
      </c>
      <c r="D4901" s="6" t="s">
        <v>4934</v>
      </c>
      <c r="E4901" s="8" t="s">
        <v>5168</v>
      </c>
      <c r="F4901" t="s">
        <v>7138</v>
      </c>
      <c r="G4901">
        <v>2</v>
      </c>
      <c r="M4901">
        <v>3</v>
      </c>
      <c r="Q4901" t="s">
        <v>10599</v>
      </c>
    </row>
    <row r="4902" spans="1:17" x14ac:dyDescent="0.2">
      <c r="A4902" t="s">
        <v>4933</v>
      </c>
      <c r="B4902" t="s">
        <v>4893</v>
      </c>
      <c r="C4902">
        <v>5</v>
      </c>
      <c r="D4902" s="6" t="s">
        <v>4934</v>
      </c>
      <c r="E4902" s="8" t="s">
        <v>5169</v>
      </c>
      <c r="F4902" t="s">
        <v>106</v>
      </c>
      <c r="G4902">
        <v>14</v>
      </c>
    </row>
    <row r="4903" spans="1:17" x14ac:dyDescent="0.2">
      <c r="A4903" t="s">
        <v>4933</v>
      </c>
      <c r="B4903" t="s">
        <v>4893</v>
      </c>
      <c r="C4903">
        <v>5</v>
      </c>
      <c r="D4903" s="6" t="s">
        <v>4934</v>
      </c>
      <c r="E4903" s="8" t="s">
        <v>5170</v>
      </c>
      <c r="F4903" t="s">
        <v>3875</v>
      </c>
      <c r="G4903">
        <v>37</v>
      </c>
    </row>
    <row r="4904" spans="1:17" x14ac:dyDescent="0.2">
      <c r="A4904" t="s">
        <v>4933</v>
      </c>
      <c r="B4904" t="s">
        <v>4893</v>
      </c>
      <c r="C4904">
        <v>5</v>
      </c>
      <c r="D4904" s="6" t="s">
        <v>4934</v>
      </c>
      <c r="E4904" s="8" t="s">
        <v>5140</v>
      </c>
      <c r="F4904" t="s">
        <v>3927</v>
      </c>
      <c r="G4904">
        <v>7</v>
      </c>
    </row>
    <row r="4905" spans="1:17" x14ac:dyDescent="0.2">
      <c r="A4905" t="s">
        <v>4933</v>
      </c>
      <c r="B4905" t="s">
        <v>4893</v>
      </c>
      <c r="C4905">
        <v>6</v>
      </c>
      <c r="D4905" s="6" t="s">
        <v>4934</v>
      </c>
      <c r="E4905" s="8" t="s">
        <v>5082</v>
      </c>
      <c r="F4905" t="s">
        <v>5293</v>
      </c>
      <c r="G4905">
        <f>1.071-0.345</f>
        <v>0.72599999999999998</v>
      </c>
      <c r="O4905" t="s">
        <v>5294</v>
      </c>
    </row>
    <row r="4906" spans="1:17" x14ac:dyDescent="0.2">
      <c r="A4906" t="s">
        <v>4933</v>
      </c>
      <c r="B4906" t="s">
        <v>4893</v>
      </c>
      <c r="C4906">
        <v>6</v>
      </c>
      <c r="D4906" s="6" t="s">
        <v>4934</v>
      </c>
      <c r="E4906" s="8" t="s">
        <v>5081</v>
      </c>
      <c r="F4906" t="s">
        <v>5293</v>
      </c>
      <c r="H4906">
        <f>5.5-0.257</f>
        <v>5.2430000000000003</v>
      </c>
      <c r="O4906" t="s">
        <v>5295</v>
      </c>
      <c r="P4906" t="s">
        <v>5296</v>
      </c>
    </row>
    <row r="4907" spans="1:17" x14ac:dyDescent="0.2">
      <c r="A4907" t="s">
        <v>4933</v>
      </c>
      <c r="B4907" t="s">
        <v>4893</v>
      </c>
      <c r="C4907">
        <v>6</v>
      </c>
      <c r="D4907" s="6" t="s">
        <v>4934</v>
      </c>
      <c r="E4907" s="8" t="s">
        <v>5141</v>
      </c>
      <c r="F4907" t="s">
        <v>5208</v>
      </c>
      <c r="G4907">
        <v>10</v>
      </c>
      <c r="O4907" t="s">
        <v>5297</v>
      </c>
    </row>
    <row r="4908" spans="1:17" x14ac:dyDescent="0.2">
      <c r="A4908" t="s">
        <v>4933</v>
      </c>
      <c r="B4908" t="s">
        <v>4893</v>
      </c>
      <c r="C4908">
        <v>6</v>
      </c>
      <c r="D4908" s="6" t="s">
        <v>4934</v>
      </c>
      <c r="E4908" s="8" t="s">
        <v>5089</v>
      </c>
      <c r="F4908" t="s">
        <v>6882</v>
      </c>
      <c r="G4908">
        <v>18</v>
      </c>
      <c r="Q4908" t="s">
        <v>7013</v>
      </c>
    </row>
    <row r="4909" spans="1:17" x14ac:dyDescent="0.2">
      <c r="A4909" t="s">
        <v>4933</v>
      </c>
      <c r="B4909" t="s">
        <v>4893</v>
      </c>
      <c r="C4909">
        <v>6</v>
      </c>
      <c r="D4909" s="6" t="s">
        <v>4934</v>
      </c>
      <c r="E4909" s="8" t="s">
        <v>5090</v>
      </c>
      <c r="F4909" t="s">
        <v>6882</v>
      </c>
      <c r="G4909">
        <f>13-8</f>
        <v>5</v>
      </c>
      <c r="Q4909" t="s">
        <v>7012</v>
      </c>
    </row>
    <row r="4910" spans="1:17" x14ac:dyDescent="0.2">
      <c r="A4910" t="s">
        <v>4933</v>
      </c>
      <c r="B4910" t="s">
        <v>4893</v>
      </c>
      <c r="C4910">
        <v>6</v>
      </c>
      <c r="D4910" s="6" t="s">
        <v>4934</v>
      </c>
      <c r="E4910" s="8" t="s">
        <v>5091</v>
      </c>
      <c r="F4910" t="s">
        <v>6882</v>
      </c>
      <c r="G4910">
        <f>28-8</f>
        <v>20</v>
      </c>
      <c r="Q4910" t="s">
        <v>7011</v>
      </c>
    </row>
    <row r="4911" spans="1:17" x14ac:dyDescent="0.2">
      <c r="A4911" t="s">
        <v>4933</v>
      </c>
      <c r="B4911" t="s">
        <v>4893</v>
      </c>
      <c r="C4911">
        <v>6</v>
      </c>
      <c r="D4911" s="6" t="s">
        <v>4934</v>
      </c>
      <c r="E4911" s="8" t="s">
        <v>5092</v>
      </c>
      <c r="F4911" t="s">
        <v>6882</v>
      </c>
      <c r="G4911">
        <v>7</v>
      </c>
      <c r="Q4911" t="s">
        <v>7010</v>
      </c>
    </row>
    <row r="4912" spans="1:17" x14ac:dyDescent="0.2">
      <c r="A4912" t="s">
        <v>4933</v>
      </c>
      <c r="B4912" t="s">
        <v>4893</v>
      </c>
      <c r="C4912">
        <v>6</v>
      </c>
      <c r="D4912" s="6" t="s">
        <v>4934</v>
      </c>
      <c r="E4912" s="8" t="s">
        <v>5094</v>
      </c>
      <c r="F4912" t="s">
        <v>5869</v>
      </c>
      <c r="G4912">
        <v>43</v>
      </c>
      <c r="Q4912" t="s">
        <v>5889</v>
      </c>
    </row>
    <row r="4913" spans="1:17" x14ac:dyDescent="0.2">
      <c r="A4913" t="s">
        <v>4933</v>
      </c>
      <c r="B4913" t="s">
        <v>4893</v>
      </c>
      <c r="C4913">
        <v>6</v>
      </c>
      <c r="D4913" s="6" t="s">
        <v>4934</v>
      </c>
      <c r="E4913" s="8" t="s">
        <v>5097</v>
      </c>
      <c r="F4913" t="s">
        <v>7057</v>
      </c>
      <c r="G4913" t="s">
        <v>114</v>
      </c>
    </row>
    <row r="4914" spans="1:17" x14ac:dyDescent="0.2">
      <c r="A4914" t="s">
        <v>4933</v>
      </c>
      <c r="B4914" t="s">
        <v>4893</v>
      </c>
      <c r="C4914">
        <v>6</v>
      </c>
      <c r="D4914" s="6" t="s">
        <v>4934</v>
      </c>
      <c r="E4914" s="8" t="s">
        <v>5098</v>
      </c>
      <c r="F4914" t="s">
        <v>7057</v>
      </c>
      <c r="G4914" t="s">
        <v>114</v>
      </c>
    </row>
    <row r="4915" spans="1:17" x14ac:dyDescent="0.2">
      <c r="A4915" t="s">
        <v>4933</v>
      </c>
      <c r="B4915" t="s">
        <v>4893</v>
      </c>
      <c r="C4915">
        <v>6</v>
      </c>
      <c r="D4915" s="6" t="s">
        <v>4934</v>
      </c>
      <c r="E4915" s="8" t="s">
        <v>5166</v>
      </c>
      <c r="F4915" t="s">
        <v>7057</v>
      </c>
      <c r="G4915">
        <v>1</v>
      </c>
    </row>
    <row r="4916" spans="1:17" x14ac:dyDescent="0.2">
      <c r="A4916" t="s">
        <v>4933</v>
      </c>
      <c r="B4916" t="s">
        <v>4893</v>
      </c>
      <c r="C4916">
        <v>6</v>
      </c>
      <c r="D4916" s="6" t="s">
        <v>4934</v>
      </c>
      <c r="E4916" s="8" t="s">
        <v>5167</v>
      </c>
      <c r="F4916" t="s">
        <v>6239</v>
      </c>
      <c r="G4916">
        <v>1</v>
      </c>
      <c r="Q4916" t="s">
        <v>7014</v>
      </c>
    </row>
    <row r="4917" spans="1:17" x14ac:dyDescent="0.2">
      <c r="A4917" t="s">
        <v>4933</v>
      </c>
      <c r="B4917" t="s">
        <v>4893</v>
      </c>
      <c r="C4917">
        <v>6</v>
      </c>
      <c r="D4917" s="6" t="s">
        <v>4934</v>
      </c>
      <c r="E4917" s="8" t="s">
        <v>5168</v>
      </c>
      <c r="F4917" t="s">
        <v>6239</v>
      </c>
      <c r="G4917">
        <v>1</v>
      </c>
      <c r="Q4917" t="s">
        <v>7015</v>
      </c>
    </row>
    <row r="4918" spans="1:17" x14ac:dyDescent="0.2">
      <c r="A4918" t="s">
        <v>4933</v>
      </c>
      <c r="B4918" t="s">
        <v>4893</v>
      </c>
      <c r="C4918">
        <v>6</v>
      </c>
      <c r="D4918" s="6" t="s">
        <v>4934</v>
      </c>
      <c r="E4918" s="8" t="s">
        <v>5169</v>
      </c>
      <c r="F4918" t="s">
        <v>6239</v>
      </c>
      <c r="G4918" t="s">
        <v>114</v>
      </c>
      <c r="Q4918" t="s">
        <v>7016</v>
      </c>
    </row>
    <row r="4919" spans="1:17" x14ac:dyDescent="0.2">
      <c r="A4919" t="s">
        <v>4933</v>
      </c>
      <c r="B4919" t="s">
        <v>4893</v>
      </c>
      <c r="C4919">
        <v>6</v>
      </c>
      <c r="D4919" s="6" t="s">
        <v>4934</v>
      </c>
      <c r="E4919" s="8" t="s">
        <v>5170</v>
      </c>
      <c r="F4919" t="s">
        <v>6239</v>
      </c>
      <c r="G4919" t="s">
        <v>114</v>
      </c>
      <c r="Q4919" t="s">
        <v>7017</v>
      </c>
    </row>
    <row r="4920" spans="1:17" x14ac:dyDescent="0.2">
      <c r="A4920" t="s">
        <v>4933</v>
      </c>
      <c r="B4920" t="s">
        <v>4893</v>
      </c>
      <c r="C4920">
        <v>6</v>
      </c>
      <c r="D4920" s="6" t="s">
        <v>4934</v>
      </c>
      <c r="E4920" s="8" t="s">
        <v>5171</v>
      </c>
      <c r="F4920" t="s">
        <v>6239</v>
      </c>
      <c r="G4920">
        <v>1</v>
      </c>
      <c r="Q4920" t="s">
        <v>7018</v>
      </c>
    </row>
    <row r="4921" spans="1:17" x14ac:dyDescent="0.2">
      <c r="A4921" t="s">
        <v>4933</v>
      </c>
      <c r="B4921" t="s">
        <v>4893</v>
      </c>
      <c r="C4921">
        <v>6</v>
      </c>
      <c r="D4921" s="6" t="s">
        <v>4934</v>
      </c>
      <c r="E4921" s="8" t="s">
        <v>5140</v>
      </c>
      <c r="F4921" t="s">
        <v>6239</v>
      </c>
      <c r="G4921">
        <v>3</v>
      </c>
      <c r="M4921">
        <v>4</v>
      </c>
      <c r="O4921" t="s">
        <v>5300</v>
      </c>
      <c r="Q4921" t="s">
        <v>7019</v>
      </c>
    </row>
    <row r="4922" spans="1:17" x14ac:dyDescent="0.2">
      <c r="A4922" t="s">
        <v>4933</v>
      </c>
      <c r="B4922" t="s">
        <v>4893</v>
      </c>
      <c r="C4922">
        <v>6</v>
      </c>
      <c r="D4922" s="6" t="s">
        <v>4934</v>
      </c>
      <c r="E4922" s="8" t="s">
        <v>5142</v>
      </c>
      <c r="F4922" t="s">
        <v>7021</v>
      </c>
      <c r="G4922">
        <v>275</v>
      </c>
      <c r="Q4922" t="s">
        <v>7020</v>
      </c>
    </row>
    <row r="4923" spans="1:17" x14ac:dyDescent="0.2">
      <c r="A4923" t="s">
        <v>4933</v>
      </c>
      <c r="B4923" t="s">
        <v>4893</v>
      </c>
      <c r="C4923">
        <v>6</v>
      </c>
      <c r="D4923" s="6" t="s">
        <v>4934</v>
      </c>
      <c r="E4923" s="8" t="s">
        <v>5143</v>
      </c>
      <c r="F4923" t="s">
        <v>7021</v>
      </c>
      <c r="G4923">
        <v>67</v>
      </c>
      <c r="Q4923" t="s">
        <v>7022</v>
      </c>
    </row>
    <row r="4924" spans="1:17" x14ac:dyDescent="0.2">
      <c r="A4924" t="s">
        <v>4933</v>
      </c>
      <c r="B4924" t="s">
        <v>4893</v>
      </c>
      <c r="C4924">
        <v>6</v>
      </c>
      <c r="D4924" s="6" t="s">
        <v>4934</v>
      </c>
      <c r="E4924" s="8" t="s">
        <v>5144</v>
      </c>
      <c r="F4924" t="s">
        <v>7024</v>
      </c>
      <c r="G4924">
        <v>4</v>
      </c>
      <c r="M4924">
        <v>5</v>
      </c>
      <c r="Q4924" t="s">
        <v>7023</v>
      </c>
    </row>
    <row r="4925" spans="1:17" x14ac:dyDescent="0.2">
      <c r="A4925" t="s">
        <v>4933</v>
      </c>
      <c r="B4925" t="s">
        <v>4893</v>
      </c>
      <c r="C4925">
        <v>6</v>
      </c>
      <c r="D4925" s="6" t="s">
        <v>4934</v>
      </c>
      <c r="E4925" s="8" t="s">
        <v>5145</v>
      </c>
      <c r="F4925" t="s">
        <v>3982</v>
      </c>
      <c r="G4925">
        <v>2</v>
      </c>
      <c r="M4925">
        <v>2</v>
      </c>
    </row>
    <row r="4926" spans="1:17" x14ac:dyDescent="0.2">
      <c r="A4926" t="s">
        <v>4933</v>
      </c>
      <c r="B4926" t="s">
        <v>4893</v>
      </c>
      <c r="C4926">
        <v>6</v>
      </c>
      <c r="D4926" s="6" t="s">
        <v>4934</v>
      </c>
      <c r="E4926" s="8" t="s">
        <v>5147</v>
      </c>
      <c r="F4926" t="s">
        <v>5299</v>
      </c>
      <c r="G4926">
        <v>1</v>
      </c>
    </row>
    <row r="4927" spans="1:17" x14ac:dyDescent="0.2">
      <c r="A4927" t="s">
        <v>4933</v>
      </c>
      <c r="B4927" t="s">
        <v>4893</v>
      </c>
      <c r="C4927">
        <v>6</v>
      </c>
      <c r="D4927" s="6" t="s">
        <v>4934</v>
      </c>
      <c r="E4927" s="8" t="s">
        <v>5146</v>
      </c>
      <c r="F4927" t="s">
        <v>106</v>
      </c>
      <c r="G4927">
        <v>7</v>
      </c>
    </row>
    <row r="4928" spans="1:17" x14ac:dyDescent="0.2">
      <c r="A4928" t="s">
        <v>4933</v>
      </c>
      <c r="B4928" t="s">
        <v>4893</v>
      </c>
      <c r="C4928">
        <v>6</v>
      </c>
      <c r="D4928" s="6" t="s">
        <v>4934</v>
      </c>
      <c r="E4928" s="8" t="s">
        <v>5148</v>
      </c>
      <c r="F4928" t="s">
        <v>3875</v>
      </c>
      <c r="G4928">
        <v>14</v>
      </c>
    </row>
    <row r="4929" spans="1:17" x14ac:dyDescent="0.2">
      <c r="A4929" t="s">
        <v>4933</v>
      </c>
      <c r="B4929" t="s">
        <v>4893</v>
      </c>
      <c r="C4929">
        <v>6</v>
      </c>
      <c r="D4929" s="6" t="s">
        <v>4934</v>
      </c>
      <c r="E4929" s="8" t="s">
        <v>5149</v>
      </c>
      <c r="F4929" t="s">
        <v>121</v>
      </c>
      <c r="G4929">
        <v>37</v>
      </c>
    </row>
    <row r="4930" spans="1:17" x14ac:dyDescent="0.2">
      <c r="A4930" t="s">
        <v>4933</v>
      </c>
      <c r="B4930" t="s">
        <v>4893</v>
      </c>
      <c r="C4930">
        <v>6</v>
      </c>
      <c r="D4930" s="6" t="s">
        <v>4934</v>
      </c>
      <c r="E4930" s="8" t="s">
        <v>5150</v>
      </c>
      <c r="F4930" t="s">
        <v>5255</v>
      </c>
      <c r="G4930">
        <v>9</v>
      </c>
      <c r="O4930" t="s">
        <v>5302</v>
      </c>
    </row>
    <row r="4931" spans="1:17" x14ac:dyDescent="0.2">
      <c r="A4931" t="s">
        <v>4933</v>
      </c>
      <c r="B4931" t="s">
        <v>4893</v>
      </c>
      <c r="C4931">
        <v>6</v>
      </c>
      <c r="D4931" s="6" t="s">
        <v>4934</v>
      </c>
      <c r="E4931" s="8" t="s">
        <v>5151</v>
      </c>
      <c r="F4931" t="s">
        <v>1538</v>
      </c>
      <c r="G4931">
        <v>20</v>
      </c>
      <c r="Q4931" t="s">
        <v>7042</v>
      </c>
    </row>
    <row r="4932" spans="1:17" x14ac:dyDescent="0.2">
      <c r="A4932" t="s">
        <v>4933</v>
      </c>
      <c r="B4932" t="s">
        <v>4893</v>
      </c>
      <c r="C4932">
        <v>6</v>
      </c>
      <c r="D4932" s="6" t="s">
        <v>4934</v>
      </c>
      <c r="E4932" s="8" t="s">
        <v>5152</v>
      </c>
      <c r="F4932" t="s">
        <v>1538</v>
      </c>
      <c r="G4932">
        <v>22</v>
      </c>
      <c r="Q4932" t="s">
        <v>7041</v>
      </c>
    </row>
    <row r="4933" spans="1:17" x14ac:dyDescent="0.2">
      <c r="A4933" t="s">
        <v>4933</v>
      </c>
      <c r="B4933" t="s">
        <v>4893</v>
      </c>
      <c r="C4933">
        <v>6</v>
      </c>
      <c r="D4933" s="6" t="s">
        <v>4934</v>
      </c>
      <c r="E4933" s="8" t="s">
        <v>5153</v>
      </c>
      <c r="F4933" t="s">
        <v>1538</v>
      </c>
      <c r="G4933">
        <v>4</v>
      </c>
      <c r="Q4933" t="s">
        <v>7040</v>
      </c>
    </row>
    <row r="4934" spans="1:17" x14ac:dyDescent="0.2">
      <c r="A4934" t="s">
        <v>4933</v>
      </c>
      <c r="B4934" t="s">
        <v>4893</v>
      </c>
      <c r="C4934">
        <v>6</v>
      </c>
      <c r="D4934" s="6" t="s">
        <v>4934</v>
      </c>
      <c r="E4934" s="8" t="s">
        <v>5154</v>
      </c>
      <c r="F4934" t="s">
        <v>1538</v>
      </c>
      <c r="G4934">
        <v>1</v>
      </c>
      <c r="Q4934" t="s">
        <v>7039</v>
      </c>
    </row>
    <row r="4935" spans="1:17" x14ac:dyDescent="0.2">
      <c r="A4935" t="s">
        <v>4933</v>
      </c>
      <c r="B4935" t="s">
        <v>4893</v>
      </c>
      <c r="C4935">
        <v>6</v>
      </c>
      <c r="D4935" s="6" t="s">
        <v>4934</v>
      </c>
      <c r="E4935" s="8" t="s">
        <v>5155</v>
      </c>
      <c r="F4935" t="s">
        <v>1538</v>
      </c>
      <c r="G4935" t="s">
        <v>114</v>
      </c>
      <c r="Q4935" t="s">
        <v>7038</v>
      </c>
    </row>
    <row r="4936" spans="1:17" x14ac:dyDescent="0.2">
      <c r="A4936" t="s">
        <v>4933</v>
      </c>
      <c r="B4936" t="s">
        <v>4893</v>
      </c>
      <c r="C4936">
        <v>6</v>
      </c>
      <c r="D4936" s="6" t="s">
        <v>4934</v>
      </c>
      <c r="E4936" s="8" t="s">
        <v>5156</v>
      </c>
      <c r="F4936" t="s">
        <v>1538</v>
      </c>
      <c r="G4936" t="s">
        <v>114</v>
      </c>
      <c r="Q4936" t="s">
        <v>7037</v>
      </c>
    </row>
    <row r="4937" spans="1:17" x14ac:dyDescent="0.2">
      <c r="A4937" t="s">
        <v>4933</v>
      </c>
      <c r="B4937" t="s">
        <v>4893</v>
      </c>
      <c r="C4937">
        <v>6</v>
      </c>
      <c r="D4937" s="6" t="s">
        <v>4934</v>
      </c>
      <c r="E4937" s="8" t="s">
        <v>5158</v>
      </c>
      <c r="F4937" t="s">
        <v>1425</v>
      </c>
      <c r="G4937">
        <v>1</v>
      </c>
      <c r="Q4937" t="s">
        <v>7055</v>
      </c>
    </row>
    <row r="4938" spans="1:17" x14ac:dyDescent="0.2">
      <c r="A4938" t="s">
        <v>4933</v>
      </c>
      <c r="B4938" t="s">
        <v>4893</v>
      </c>
      <c r="C4938">
        <v>6</v>
      </c>
      <c r="D4938" s="6" t="s">
        <v>4934</v>
      </c>
      <c r="E4938" s="8" t="s">
        <v>5172</v>
      </c>
      <c r="F4938" t="s">
        <v>1425</v>
      </c>
      <c r="G4938">
        <v>12</v>
      </c>
      <c r="M4938">
        <v>7</v>
      </c>
      <c r="O4938" t="s">
        <v>5301</v>
      </c>
    </row>
    <row r="4939" spans="1:17" x14ac:dyDescent="0.2">
      <c r="A4939" t="s">
        <v>4933</v>
      </c>
      <c r="B4939" t="s">
        <v>4893</v>
      </c>
      <c r="C4939">
        <v>6</v>
      </c>
      <c r="D4939" s="6" t="s">
        <v>4934</v>
      </c>
      <c r="E4939" s="8" t="s">
        <v>5157</v>
      </c>
      <c r="F4939" t="s">
        <v>1389</v>
      </c>
      <c r="G4939" t="s">
        <v>114</v>
      </c>
      <c r="M4939">
        <v>2</v>
      </c>
      <c r="O4939" t="s">
        <v>5303</v>
      </c>
      <c r="Q4939" t="s">
        <v>7054</v>
      </c>
    </row>
    <row r="4940" spans="1:17" x14ac:dyDescent="0.2">
      <c r="A4940" t="s">
        <v>4933</v>
      </c>
      <c r="B4940" t="s">
        <v>4893</v>
      </c>
      <c r="C4940">
        <v>6</v>
      </c>
      <c r="D4940" s="6" t="s">
        <v>4934</v>
      </c>
      <c r="E4940" s="8" t="s">
        <v>5173</v>
      </c>
      <c r="F4940" t="s">
        <v>1559</v>
      </c>
      <c r="G4940">
        <v>2</v>
      </c>
      <c r="Q4940" t="s">
        <v>7048</v>
      </c>
    </row>
    <row r="4941" spans="1:17" x14ac:dyDescent="0.2">
      <c r="A4941" t="s">
        <v>4933</v>
      </c>
      <c r="B4941" t="s">
        <v>4893</v>
      </c>
      <c r="C4941">
        <v>6</v>
      </c>
      <c r="D4941" s="6" t="s">
        <v>4934</v>
      </c>
      <c r="E4941" s="8" t="s">
        <v>5174</v>
      </c>
      <c r="F4941" t="s">
        <v>1559</v>
      </c>
      <c r="G4941">
        <v>1</v>
      </c>
      <c r="Q4941" t="s">
        <v>7049</v>
      </c>
    </row>
    <row r="4942" spans="1:17" x14ac:dyDescent="0.2">
      <c r="A4942" t="s">
        <v>4933</v>
      </c>
      <c r="B4942" t="s">
        <v>4893</v>
      </c>
      <c r="C4942">
        <v>6</v>
      </c>
      <c r="D4942" s="6" t="s">
        <v>4934</v>
      </c>
      <c r="E4942" s="8" t="s">
        <v>5175</v>
      </c>
      <c r="F4942" t="s">
        <v>1559</v>
      </c>
      <c r="G4942">
        <v>1</v>
      </c>
      <c r="Q4942" t="s">
        <v>7050</v>
      </c>
    </row>
    <row r="4943" spans="1:17" x14ac:dyDescent="0.2">
      <c r="A4943" t="s">
        <v>4933</v>
      </c>
      <c r="B4943" t="s">
        <v>4893</v>
      </c>
      <c r="C4943">
        <v>6</v>
      </c>
      <c r="D4943" s="6" t="s">
        <v>4934</v>
      </c>
      <c r="E4943" s="8" t="s">
        <v>5139</v>
      </c>
      <c r="F4943" t="s">
        <v>1559</v>
      </c>
      <c r="G4943" t="s">
        <v>114</v>
      </c>
      <c r="Q4943" t="s">
        <v>7051</v>
      </c>
    </row>
    <row r="4944" spans="1:17" x14ac:dyDescent="0.2">
      <c r="A4944" t="s">
        <v>4933</v>
      </c>
      <c r="B4944" t="s">
        <v>4893</v>
      </c>
      <c r="C4944">
        <v>6</v>
      </c>
      <c r="D4944" s="6" t="s">
        <v>4934</v>
      </c>
      <c r="E4944" s="8" t="s">
        <v>5162</v>
      </c>
      <c r="F4944" t="s">
        <v>1559</v>
      </c>
      <c r="G4944" t="s">
        <v>114</v>
      </c>
      <c r="Q4944" t="s">
        <v>7052</v>
      </c>
    </row>
    <row r="4945" spans="1:17" x14ac:dyDescent="0.2">
      <c r="A4945" t="s">
        <v>4933</v>
      </c>
      <c r="B4945" t="s">
        <v>4893</v>
      </c>
      <c r="C4945">
        <v>6</v>
      </c>
      <c r="D4945" s="6" t="s">
        <v>4934</v>
      </c>
      <c r="E4945" s="8" t="s">
        <v>5159</v>
      </c>
      <c r="F4945" t="s">
        <v>1559</v>
      </c>
      <c r="G4945" t="s">
        <v>114</v>
      </c>
      <c r="Q4945" t="s">
        <v>7053</v>
      </c>
    </row>
    <row r="4946" spans="1:17" x14ac:dyDescent="0.2">
      <c r="A4946" t="s">
        <v>4933</v>
      </c>
      <c r="B4946" t="s">
        <v>4893</v>
      </c>
      <c r="C4946">
        <v>6</v>
      </c>
      <c r="D4946" s="6" t="s">
        <v>4934</v>
      </c>
      <c r="E4946" s="8" t="s">
        <v>5160</v>
      </c>
      <c r="F4946" t="s">
        <v>1311</v>
      </c>
      <c r="G4946">
        <v>3</v>
      </c>
      <c r="Q4946" t="s">
        <v>7046</v>
      </c>
    </row>
    <row r="4947" spans="1:17" x14ac:dyDescent="0.2">
      <c r="A4947" t="s">
        <v>4933</v>
      </c>
      <c r="B4947" t="s">
        <v>4893</v>
      </c>
      <c r="C4947">
        <v>6</v>
      </c>
      <c r="D4947" s="6" t="s">
        <v>4934</v>
      </c>
      <c r="E4947" s="8" t="s">
        <v>5161</v>
      </c>
      <c r="F4947" t="s">
        <v>1311</v>
      </c>
      <c r="G4947" t="s">
        <v>114</v>
      </c>
      <c r="Q4947" t="s">
        <v>7044</v>
      </c>
    </row>
    <row r="4948" spans="1:17" x14ac:dyDescent="0.2">
      <c r="A4948" t="s">
        <v>4933</v>
      </c>
      <c r="B4948" t="s">
        <v>4893</v>
      </c>
      <c r="C4948">
        <v>6</v>
      </c>
      <c r="D4948" s="6" t="s">
        <v>4934</v>
      </c>
      <c r="E4948" s="8" t="s">
        <v>5189</v>
      </c>
      <c r="F4948" t="s">
        <v>1311</v>
      </c>
      <c r="G4948" t="s">
        <v>114</v>
      </c>
      <c r="Q4948" t="s">
        <v>7047</v>
      </c>
    </row>
    <row r="4949" spans="1:17" x14ac:dyDescent="0.2">
      <c r="A4949" t="s">
        <v>4933</v>
      </c>
      <c r="B4949" t="s">
        <v>4893</v>
      </c>
      <c r="C4949">
        <v>6</v>
      </c>
      <c r="D4949" s="6" t="s">
        <v>4934</v>
      </c>
      <c r="E4949" s="8" t="s">
        <v>5184</v>
      </c>
      <c r="F4949" t="s">
        <v>1311</v>
      </c>
      <c r="G4949">
        <v>1</v>
      </c>
      <c r="Q4949" t="s">
        <v>7045</v>
      </c>
    </row>
    <row r="4950" spans="1:17" x14ac:dyDescent="0.2">
      <c r="A4950" t="s">
        <v>4933</v>
      </c>
      <c r="B4950" t="s">
        <v>4893</v>
      </c>
      <c r="C4950">
        <v>6</v>
      </c>
      <c r="D4950" s="6" t="s">
        <v>4934</v>
      </c>
      <c r="E4950" s="8" t="s">
        <v>5185</v>
      </c>
      <c r="F4950" t="s">
        <v>1311</v>
      </c>
      <c r="G4950">
        <v>1</v>
      </c>
      <c r="Q4950" t="s">
        <v>7043</v>
      </c>
    </row>
    <row r="4951" spans="1:17" x14ac:dyDescent="0.2">
      <c r="A4951" t="s">
        <v>4933</v>
      </c>
      <c r="B4951" t="s">
        <v>4893</v>
      </c>
      <c r="C4951">
        <v>6</v>
      </c>
      <c r="D4951" s="6" t="s">
        <v>4934</v>
      </c>
      <c r="E4951" s="8" t="s">
        <v>5186</v>
      </c>
      <c r="F4951" t="s">
        <v>1311</v>
      </c>
      <c r="G4951">
        <v>5</v>
      </c>
      <c r="M4951">
        <v>5</v>
      </c>
    </row>
    <row r="4952" spans="1:17" x14ac:dyDescent="0.2">
      <c r="A4952" t="s">
        <v>4933</v>
      </c>
      <c r="B4952" t="s">
        <v>4893</v>
      </c>
      <c r="C4952">
        <v>6</v>
      </c>
      <c r="D4952" s="6" t="s">
        <v>4934</v>
      </c>
      <c r="E4952" t="s">
        <v>5056</v>
      </c>
      <c r="F4952" t="s">
        <v>1311</v>
      </c>
      <c r="G4952">
        <v>9</v>
      </c>
      <c r="M4952">
        <v>10</v>
      </c>
    </row>
    <row r="4953" spans="1:17" x14ac:dyDescent="0.2">
      <c r="A4953" t="s">
        <v>4933</v>
      </c>
      <c r="B4953" t="s">
        <v>4893</v>
      </c>
      <c r="C4953">
        <v>6</v>
      </c>
      <c r="D4953" s="6" t="s">
        <v>4934</v>
      </c>
      <c r="E4953" s="8" t="s">
        <v>5081</v>
      </c>
      <c r="F4953" t="s">
        <v>1264</v>
      </c>
      <c r="H4953">
        <f>23.2-2.8+26.4-1.8</f>
        <v>45</v>
      </c>
      <c r="O4953" t="s">
        <v>5305</v>
      </c>
    </row>
    <row r="4954" spans="1:17" x14ac:dyDescent="0.2">
      <c r="A4954" t="s">
        <v>4933</v>
      </c>
      <c r="B4954" t="s">
        <v>4893</v>
      </c>
      <c r="C4954">
        <v>4</v>
      </c>
      <c r="D4954" s="6" t="s">
        <v>4934</v>
      </c>
      <c r="E4954" s="8" t="s">
        <v>5082</v>
      </c>
      <c r="F4954" t="s">
        <v>1425</v>
      </c>
      <c r="G4954">
        <v>29</v>
      </c>
      <c r="Q4954" t="s">
        <v>7059</v>
      </c>
    </row>
    <row r="4955" spans="1:17" x14ac:dyDescent="0.2">
      <c r="A4955" t="s">
        <v>4933</v>
      </c>
      <c r="B4955" t="s">
        <v>4893</v>
      </c>
      <c r="C4955">
        <v>4</v>
      </c>
      <c r="D4955" s="6" t="s">
        <v>4934</v>
      </c>
      <c r="E4955" s="8" t="s">
        <v>5089</v>
      </c>
      <c r="F4955" t="s">
        <v>1425</v>
      </c>
      <c r="G4955">
        <v>6</v>
      </c>
      <c r="Q4955" t="s">
        <v>7060</v>
      </c>
    </row>
    <row r="4956" spans="1:17" x14ac:dyDescent="0.2">
      <c r="A4956" t="s">
        <v>4933</v>
      </c>
      <c r="B4956" t="s">
        <v>4893</v>
      </c>
      <c r="C4956">
        <v>4</v>
      </c>
      <c r="D4956" s="6" t="s">
        <v>4934</v>
      </c>
      <c r="E4956" s="8" t="s">
        <v>5090</v>
      </c>
      <c r="F4956" t="s">
        <v>1425</v>
      </c>
      <c r="G4956">
        <v>13</v>
      </c>
      <c r="Q4956" t="s">
        <v>7061</v>
      </c>
    </row>
    <row r="4957" spans="1:17" x14ac:dyDescent="0.2">
      <c r="A4957" t="s">
        <v>4933</v>
      </c>
      <c r="B4957" t="s">
        <v>4893</v>
      </c>
      <c r="C4957">
        <v>4</v>
      </c>
      <c r="D4957" s="6" t="s">
        <v>4934</v>
      </c>
      <c r="E4957" s="8" t="s">
        <v>5091</v>
      </c>
      <c r="F4957" t="s">
        <v>1425</v>
      </c>
      <c r="G4957">
        <v>10</v>
      </c>
      <c r="Q4957" t="s">
        <v>7062</v>
      </c>
    </row>
    <row r="4958" spans="1:17" x14ac:dyDescent="0.2">
      <c r="A4958" t="s">
        <v>4933</v>
      </c>
      <c r="B4958" t="s">
        <v>4893</v>
      </c>
      <c r="C4958">
        <v>4</v>
      </c>
      <c r="D4958" s="6" t="s">
        <v>4934</v>
      </c>
      <c r="E4958" s="8" t="s">
        <v>5092</v>
      </c>
      <c r="F4958" t="s">
        <v>1425</v>
      </c>
      <c r="G4958">
        <v>6</v>
      </c>
      <c r="Q4958" t="s">
        <v>7063</v>
      </c>
    </row>
    <row r="4959" spans="1:17" x14ac:dyDescent="0.2">
      <c r="A4959" t="s">
        <v>4933</v>
      </c>
      <c r="B4959" t="s">
        <v>4893</v>
      </c>
      <c r="C4959">
        <v>4</v>
      </c>
      <c r="D4959" s="6" t="s">
        <v>4934</v>
      </c>
      <c r="E4959" s="8" t="s">
        <v>5094</v>
      </c>
      <c r="F4959" t="s">
        <v>1425</v>
      </c>
      <c r="G4959">
        <v>5</v>
      </c>
      <c r="Q4959" t="s">
        <v>7064</v>
      </c>
    </row>
    <row r="4960" spans="1:17" x14ac:dyDescent="0.2">
      <c r="A4960" t="s">
        <v>4933</v>
      </c>
      <c r="B4960" t="s">
        <v>4893</v>
      </c>
      <c r="C4960">
        <v>4</v>
      </c>
      <c r="D4960" s="6" t="s">
        <v>4934</v>
      </c>
      <c r="E4960" s="8" t="s">
        <v>5097</v>
      </c>
      <c r="F4960" t="s">
        <v>1425</v>
      </c>
      <c r="G4960">
        <v>3</v>
      </c>
      <c r="Q4960" t="s">
        <v>7065</v>
      </c>
    </row>
    <row r="4961" spans="1:17" x14ac:dyDescent="0.2">
      <c r="A4961" t="s">
        <v>4933</v>
      </c>
      <c r="B4961" t="s">
        <v>4893</v>
      </c>
      <c r="C4961">
        <v>4</v>
      </c>
      <c r="D4961" s="6" t="s">
        <v>4934</v>
      </c>
      <c r="E4961" s="8" t="s">
        <v>5098</v>
      </c>
      <c r="F4961" t="s">
        <v>1425</v>
      </c>
      <c r="G4961">
        <v>25</v>
      </c>
      <c r="M4961">
        <v>3</v>
      </c>
    </row>
    <row r="4962" spans="1:17" x14ac:dyDescent="0.2">
      <c r="A4962" t="s">
        <v>4933</v>
      </c>
      <c r="B4962" t="s">
        <v>4893</v>
      </c>
      <c r="C4962">
        <v>4</v>
      </c>
      <c r="D4962" s="6" t="s">
        <v>4934</v>
      </c>
      <c r="E4962" s="8" t="s">
        <v>5081</v>
      </c>
      <c r="F4962" t="s">
        <v>1425</v>
      </c>
      <c r="G4962">
        <v>42</v>
      </c>
      <c r="Q4962" t="s">
        <v>7058</v>
      </c>
    </row>
    <row r="4963" spans="1:17" x14ac:dyDescent="0.2">
      <c r="A4963" t="s">
        <v>4933</v>
      </c>
      <c r="B4963" t="s">
        <v>4893</v>
      </c>
      <c r="C4963">
        <v>4</v>
      </c>
      <c r="D4963" s="6" t="s">
        <v>4934</v>
      </c>
      <c r="E4963" s="8" t="s">
        <v>5166</v>
      </c>
      <c r="F4963" t="s">
        <v>6882</v>
      </c>
      <c r="G4963">
        <v>25</v>
      </c>
      <c r="Q4963" t="s">
        <v>7056</v>
      </c>
    </row>
    <row r="4964" spans="1:17" x14ac:dyDescent="0.2">
      <c r="A4964" t="s">
        <v>4933</v>
      </c>
      <c r="B4964" t="s">
        <v>4893</v>
      </c>
      <c r="C4964">
        <v>4</v>
      </c>
      <c r="D4964" s="6" t="s">
        <v>4934</v>
      </c>
      <c r="E4964" s="8" t="s">
        <v>5168</v>
      </c>
      <c r="F4964" t="s">
        <v>7000</v>
      </c>
      <c r="G4964">
        <v>8</v>
      </c>
      <c r="Q4964" t="s">
        <v>7025</v>
      </c>
    </row>
    <row r="4965" spans="1:17" x14ac:dyDescent="0.2">
      <c r="A4965" t="s">
        <v>4933</v>
      </c>
      <c r="B4965" t="s">
        <v>4893</v>
      </c>
      <c r="C4965">
        <v>4</v>
      </c>
      <c r="D4965" s="6" t="s">
        <v>4934</v>
      </c>
      <c r="E4965" s="8" t="s">
        <v>5169</v>
      </c>
      <c r="F4965" t="s">
        <v>1389</v>
      </c>
      <c r="G4965">
        <v>4</v>
      </c>
      <c r="Q4965" t="s">
        <v>7026</v>
      </c>
    </row>
    <row r="4966" spans="1:17" x14ac:dyDescent="0.2">
      <c r="A4966" t="s">
        <v>4933</v>
      </c>
      <c r="B4966" t="s">
        <v>4893</v>
      </c>
      <c r="C4966">
        <v>4</v>
      </c>
      <c r="D4966" s="6" t="s">
        <v>4934</v>
      </c>
      <c r="E4966" s="8" t="s">
        <v>5170</v>
      </c>
      <c r="F4966" t="s">
        <v>1389</v>
      </c>
      <c r="G4966">
        <v>2</v>
      </c>
      <c r="Q4966" t="s">
        <v>7027</v>
      </c>
    </row>
    <row r="4967" spans="1:17" x14ac:dyDescent="0.2">
      <c r="A4967" t="s">
        <v>4933</v>
      </c>
      <c r="B4967" t="s">
        <v>4893</v>
      </c>
      <c r="C4967">
        <v>4</v>
      </c>
      <c r="D4967" s="6" t="s">
        <v>4934</v>
      </c>
      <c r="E4967" s="8" t="s">
        <v>5171</v>
      </c>
      <c r="F4967" t="s">
        <v>1389</v>
      </c>
      <c r="G4967">
        <v>1</v>
      </c>
      <c r="Q4967" t="s">
        <v>7028</v>
      </c>
    </row>
    <row r="4968" spans="1:17" x14ac:dyDescent="0.2">
      <c r="A4968" t="s">
        <v>4933</v>
      </c>
      <c r="B4968" t="s">
        <v>4893</v>
      </c>
      <c r="C4968">
        <v>4</v>
      </c>
      <c r="D4968" s="6" t="s">
        <v>4934</v>
      </c>
      <c r="E4968" s="8" t="s">
        <v>5140</v>
      </c>
      <c r="F4968" t="s">
        <v>1389</v>
      </c>
      <c r="G4968">
        <v>1</v>
      </c>
      <c r="M4968">
        <v>2</v>
      </c>
      <c r="O4968" t="s">
        <v>5304</v>
      </c>
      <c r="Q4968" t="s">
        <v>7029</v>
      </c>
    </row>
    <row r="4969" spans="1:17" x14ac:dyDescent="0.2">
      <c r="A4969" t="s">
        <v>4933</v>
      </c>
      <c r="B4969" t="s">
        <v>4893</v>
      </c>
      <c r="C4969">
        <v>4</v>
      </c>
      <c r="D4969" s="6" t="s">
        <v>4934</v>
      </c>
      <c r="E4969" s="8" t="s">
        <v>5141</v>
      </c>
      <c r="F4969" t="s">
        <v>1389</v>
      </c>
      <c r="G4969">
        <v>16</v>
      </c>
      <c r="M4969">
        <v>5</v>
      </c>
    </row>
    <row r="4970" spans="1:17" x14ac:dyDescent="0.2">
      <c r="A4970" t="s">
        <v>4933</v>
      </c>
      <c r="B4970" t="s">
        <v>4893</v>
      </c>
      <c r="C4970">
        <v>4</v>
      </c>
      <c r="D4970" s="6" t="s">
        <v>4934</v>
      </c>
      <c r="E4970" s="8" t="s">
        <v>5142</v>
      </c>
      <c r="F4970" t="s">
        <v>1311</v>
      </c>
      <c r="G4970">
        <v>1</v>
      </c>
      <c r="Q4970" t="s">
        <v>7030</v>
      </c>
    </row>
    <row r="4971" spans="1:17" x14ac:dyDescent="0.2">
      <c r="A4971" t="s">
        <v>4933</v>
      </c>
      <c r="B4971" t="s">
        <v>4893</v>
      </c>
      <c r="C4971">
        <v>4</v>
      </c>
      <c r="D4971" s="6" t="s">
        <v>4934</v>
      </c>
      <c r="E4971" s="8" t="s">
        <v>5143</v>
      </c>
      <c r="F4971" t="s">
        <v>1538</v>
      </c>
      <c r="G4971">
        <v>1</v>
      </c>
      <c r="Q4971" t="s">
        <v>7031</v>
      </c>
    </row>
    <row r="4972" spans="1:17" x14ac:dyDescent="0.2">
      <c r="A4972" t="s">
        <v>4933</v>
      </c>
      <c r="B4972" t="s">
        <v>4893</v>
      </c>
      <c r="C4972">
        <v>4</v>
      </c>
      <c r="D4972" s="6" t="s">
        <v>4934</v>
      </c>
      <c r="E4972" s="8" t="s">
        <v>5144</v>
      </c>
      <c r="F4972" t="s">
        <v>1559</v>
      </c>
      <c r="G4972" t="s">
        <v>114</v>
      </c>
      <c r="Q4972" t="s">
        <v>7036</v>
      </c>
    </row>
    <row r="4973" spans="1:17" x14ac:dyDescent="0.2">
      <c r="A4973" t="s">
        <v>4933</v>
      </c>
      <c r="B4973" t="s">
        <v>4893</v>
      </c>
      <c r="C4973">
        <v>4</v>
      </c>
      <c r="D4973" s="6" t="s">
        <v>4934</v>
      </c>
      <c r="E4973" s="8" t="s">
        <v>5145</v>
      </c>
      <c r="F4973" t="s">
        <v>1559</v>
      </c>
      <c r="G4973">
        <v>2</v>
      </c>
      <c r="Q4973" t="s">
        <v>7032</v>
      </c>
    </row>
    <row r="4974" spans="1:17" x14ac:dyDescent="0.2">
      <c r="A4974" t="s">
        <v>4933</v>
      </c>
      <c r="B4974" t="s">
        <v>4893</v>
      </c>
      <c r="C4974">
        <v>4</v>
      </c>
      <c r="D4974" s="6" t="s">
        <v>4934</v>
      </c>
      <c r="E4974" s="8" t="s">
        <v>5146</v>
      </c>
      <c r="F4974" t="s">
        <v>1559</v>
      </c>
      <c r="G4974">
        <v>1</v>
      </c>
      <c r="Q4974" t="s">
        <v>7034</v>
      </c>
    </row>
    <row r="4975" spans="1:17" x14ac:dyDescent="0.2">
      <c r="A4975" t="s">
        <v>4933</v>
      </c>
      <c r="B4975" t="s">
        <v>4893</v>
      </c>
      <c r="C4975">
        <v>4</v>
      </c>
      <c r="D4975" s="6" t="s">
        <v>4934</v>
      </c>
      <c r="E4975" s="8" t="s">
        <v>5147</v>
      </c>
      <c r="F4975" t="s">
        <v>1559</v>
      </c>
      <c r="G4975">
        <v>2</v>
      </c>
      <c r="Q4975" t="s">
        <v>7033</v>
      </c>
    </row>
    <row r="4976" spans="1:17" x14ac:dyDescent="0.2">
      <c r="A4976" t="s">
        <v>4933</v>
      </c>
      <c r="B4976" t="s">
        <v>4893</v>
      </c>
      <c r="C4976">
        <v>4</v>
      </c>
      <c r="D4976" s="6" t="s">
        <v>4934</v>
      </c>
      <c r="E4976" s="8" t="s">
        <v>5148</v>
      </c>
      <c r="F4976" t="s">
        <v>1559</v>
      </c>
      <c r="G4976">
        <v>1</v>
      </c>
      <c r="Q4976" t="s">
        <v>7035</v>
      </c>
    </row>
    <row r="4977" spans="1:15" x14ac:dyDescent="0.2">
      <c r="A4977" t="s">
        <v>4933</v>
      </c>
      <c r="B4977" t="s">
        <v>4893</v>
      </c>
      <c r="C4977">
        <v>4</v>
      </c>
      <c r="D4977" s="6" t="s">
        <v>4934</v>
      </c>
      <c r="E4977" s="8" t="s">
        <v>5149</v>
      </c>
      <c r="F4977" t="s">
        <v>1559</v>
      </c>
      <c r="G4977">
        <v>6</v>
      </c>
      <c r="M4977">
        <v>3</v>
      </c>
    </row>
    <row r="4978" spans="1:15" x14ac:dyDescent="0.2">
      <c r="A4978" t="s">
        <v>4933</v>
      </c>
      <c r="B4978" t="s">
        <v>4893</v>
      </c>
      <c r="C4978">
        <v>4</v>
      </c>
      <c r="D4978" s="6" t="s">
        <v>4934</v>
      </c>
      <c r="E4978" t="s">
        <v>5056</v>
      </c>
      <c r="F4978" t="s">
        <v>1389</v>
      </c>
      <c r="G4978">
        <v>22</v>
      </c>
      <c r="M4978">
        <v>14</v>
      </c>
    </row>
    <row r="4979" spans="1:15" x14ac:dyDescent="0.2">
      <c r="A4979" t="s">
        <v>4933</v>
      </c>
      <c r="B4979" t="s">
        <v>4893</v>
      </c>
      <c r="C4979">
        <v>4</v>
      </c>
      <c r="D4979" s="6" t="s">
        <v>4934</v>
      </c>
      <c r="E4979" s="8" t="s">
        <v>5156</v>
      </c>
      <c r="F4979" t="s">
        <v>1426</v>
      </c>
      <c r="G4979">
        <v>1</v>
      </c>
      <c r="M4979">
        <v>2</v>
      </c>
    </row>
    <row r="4980" spans="1:15" x14ac:dyDescent="0.2">
      <c r="A4980" t="s">
        <v>4933</v>
      </c>
      <c r="B4980" t="s">
        <v>4893</v>
      </c>
      <c r="C4980">
        <v>4</v>
      </c>
      <c r="D4980" s="6" t="s">
        <v>4934</v>
      </c>
      <c r="E4980" s="8" t="s">
        <v>5152</v>
      </c>
      <c r="F4980" t="s">
        <v>121</v>
      </c>
      <c r="G4980">
        <v>2</v>
      </c>
    </row>
    <row r="4981" spans="1:15" x14ac:dyDescent="0.2">
      <c r="A4981" t="s">
        <v>4933</v>
      </c>
      <c r="B4981" t="s">
        <v>4893</v>
      </c>
      <c r="C4981">
        <v>4</v>
      </c>
      <c r="D4981" s="6" t="s">
        <v>4934</v>
      </c>
      <c r="E4981" s="8" t="s">
        <v>5151</v>
      </c>
      <c r="F4981" t="s">
        <v>106</v>
      </c>
      <c r="G4981">
        <v>16</v>
      </c>
    </row>
    <row r="4982" spans="1:15" x14ac:dyDescent="0.2">
      <c r="A4982" t="s">
        <v>4933</v>
      </c>
      <c r="B4982" t="s">
        <v>4893</v>
      </c>
      <c r="C4982">
        <v>4</v>
      </c>
      <c r="D4982" s="6" t="s">
        <v>4934</v>
      </c>
      <c r="E4982" s="8" t="s">
        <v>5153</v>
      </c>
      <c r="F4982" t="s">
        <v>3431</v>
      </c>
      <c r="G4982">
        <v>2</v>
      </c>
    </row>
    <row r="4983" spans="1:15" x14ac:dyDescent="0.2">
      <c r="A4983" t="s">
        <v>4933</v>
      </c>
      <c r="B4983" t="s">
        <v>4893</v>
      </c>
      <c r="C4983">
        <v>4</v>
      </c>
      <c r="D4983" s="6" t="s">
        <v>4934</v>
      </c>
      <c r="E4983" s="8" t="s">
        <v>5155</v>
      </c>
      <c r="F4983" t="s">
        <v>2789</v>
      </c>
      <c r="G4983">
        <v>14</v>
      </c>
      <c r="O4983" t="s">
        <v>5306</v>
      </c>
    </row>
    <row r="4984" spans="1:15" x14ac:dyDescent="0.2">
      <c r="A4984" t="s">
        <v>4933</v>
      </c>
      <c r="B4984" t="s">
        <v>4893</v>
      </c>
      <c r="C4984">
        <v>4</v>
      </c>
      <c r="D4984" s="6" t="s">
        <v>4934</v>
      </c>
      <c r="E4984" s="8" t="s">
        <v>5150</v>
      </c>
      <c r="F4984" t="s">
        <v>3875</v>
      </c>
      <c r="G4984">
        <v>102</v>
      </c>
    </row>
    <row r="4985" spans="1:15" x14ac:dyDescent="0.2">
      <c r="A4985" t="s">
        <v>4933</v>
      </c>
      <c r="B4985" t="s">
        <v>4893</v>
      </c>
      <c r="C4985">
        <v>4</v>
      </c>
      <c r="D4985" s="6" t="s">
        <v>4934</v>
      </c>
      <c r="E4985" s="8" t="s">
        <v>5154</v>
      </c>
      <c r="F4985" t="s">
        <v>5308</v>
      </c>
      <c r="G4985">
        <f>825-587</f>
        <v>238</v>
      </c>
      <c r="O4985" t="s">
        <v>5307</v>
      </c>
    </row>
    <row r="4986" spans="1:15" x14ac:dyDescent="0.2">
      <c r="A4986" t="s">
        <v>4933</v>
      </c>
      <c r="B4986" t="s">
        <v>4893</v>
      </c>
      <c r="C4986">
        <v>1</v>
      </c>
      <c r="D4986" s="6" t="s">
        <v>4934</v>
      </c>
      <c r="E4986" s="8" t="s">
        <v>5081</v>
      </c>
      <c r="F4986" t="s">
        <v>112</v>
      </c>
      <c r="G4986">
        <v>370</v>
      </c>
    </row>
    <row r="4987" spans="1:15" x14ac:dyDescent="0.2">
      <c r="A4987" t="s">
        <v>4933</v>
      </c>
      <c r="B4987" t="s">
        <v>4893</v>
      </c>
      <c r="C4987">
        <v>1</v>
      </c>
      <c r="D4987" s="6" t="s">
        <v>4934</v>
      </c>
      <c r="E4987" s="8" t="s">
        <v>5082</v>
      </c>
      <c r="F4987" t="s">
        <v>5286</v>
      </c>
      <c r="G4987">
        <f>665-427</f>
        <v>238</v>
      </c>
      <c r="M4987">
        <v>2</v>
      </c>
    </row>
    <row r="4988" spans="1:15" x14ac:dyDescent="0.2">
      <c r="A4988" t="s">
        <v>4933</v>
      </c>
      <c r="B4988" t="s">
        <v>4893</v>
      </c>
      <c r="C4988">
        <v>1</v>
      </c>
      <c r="D4988" s="6" t="s">
        <v>4934</v>
      </c>
      <c r="E4988" s="8" t="s">
        <v>5089</v>
      </c>
      <c r="F4988" t="s">
        <v>3215</v>
      </c>
      <c r="G4988">
        <v>50</v>
      </c>
      <c r="M4988">
        <v>2</v>
      </c>
    </row>
    <row r="4989" spans="1:15" x14ac:dyDescent="0.2">
      <c r="A4989" t="s">
        <v>4933</v>
      </c>
      <c r="B4989" t="s">
        <v>4893</v>
      </c>
      <c r="C4989">
        <v>1</v>
      </c>
      <c r="D4989" s="6" t="s">
        <v>4934</v>
      </c>
      <c r="E4989" t="s">
        <v>5056</v>
      </c>
      <c r="F4989" t="s">
        <v>1264</v>
      </c>
      <c r="H4989">
        <f>8.6-0.323</f>
        <v>8.2769999999999992</v>
      </c>
    </row>
    <row r="4990" spans="1:15" x14ac:dyDescent="0.2">
      <c r="A4990" t="s">
        <v>4933</v>
      </c>
      <c r="B4990" t="s">
        <v>4893</v>
      </c>
      <c r="C4990">
        <v>1</v>
      </c>
      <c r="D4990" s="6" t="s">
        <v>4934</v>
      </c>
      <c r="E4990" t="s">
        <v>5056</v>
      </c>
      <c r="F4990" t="s">
        <v>1264</v>
      </c>
      <c r="H4990">
        <f>3.9-0.427+0.619-0.345</f>
        <v>3.7469999999999999</v>
      </c>
    </row>
    <row r="4991" spans="1:15" x14ac:dyDescent="0.2">
      <c r="A4991" t="s">
        <v>4933</v>
      </c>
      <c r="B4991" t="s">
        <v>4893</v>
      </c>
      <c r="C4991">
        <v>1</v>
      </c>
      <c r="D4991" s="6" t="s">
        <v>4934</v>
      </c>
      <c r="E4991" s="8" t="s">
        <v>5091</v>
      </c>
      <c r="F4991" t="s">
        <v>5309</v>
      </c>
      <c r="H4991">
        <f>2.6-0.59+0.158</f>
        <v>2.1680000000000001</v>
      </c>
    </row>
    <row r="4992" spans="1:15" x14ac:dyDescent="0.2">
      <c r="A4992" t="s">
        <v>4933</v>
      </c>
      <c r="B4992" t="s">
        <v>4893</v>
      </c>
      <c r="C4992">
        <v>1</v>
      </c>
      <c r="D4992" s="6" t="s">
        <v>4934</v>
      </c>
      <c r="E4992" s="8" t="s">
        <v>5090</v>
      </c>
      <c r="F4992" t="s">
        <v>5310</v>
      </c>
      <c r="G4992">
        <f>745-410</f>
        <v>335</v>
      </c>
    </row>
    <row r="4993" spans="1:17" x14ac:dyDescent="0.2">
      <c r="A4993" t="s">
        <v>4933</v>
      </c>
      <c r="B4993" t="s">
        <v>4893</v>
      </c>
      <c r="C4993">
        <v>1</v>
      </c>
      <c r="D4993" s="6" t="s">
        <v>4934</v>
      </c>
      <c r="E4993" t="s">
        <v>5056</v>
      </c>
      <c r="F4993" t="s">
        <v>2222</v>
      </c>
      <c r="G4993">
        <f>953-261</f>
        <v>692</v>
      </c>
      <c r="O4993" t="s">
        <v>5312</v>
      </c>
    </row>
    <row r="4994" spans="1:17" x14ac:dyDescent="0.2">
      <c r="A4994" t="s">
        <v>4933</v>
      </c>
      <c r="B4994" t="s">
        <v>4893</v>
      </c>
      <c r="C4994">
        <v>1</v>
      </c>
      <c r="D4994" s="6" t="s">
        <v>4934</v>
      </c>
      <c r="E4994" s="8" t="s">
        <v>5092</v>
      </c>
      <c r="F4994" t="s">
        <v>5311</v>
      </c>
      <c r="G4994">
        <f>651-344</f>
        <v>307</v>
      </c>
    </row>
    <row r="4995" spans="1:17" x14ac:dyDescent="0.2">
      <c r="A4995" t="s">
        <v>4935</v>
      </c>
      <c r="B4995" t="s">
        <v>4894</v>
      </c>
      <c r="C4995">
        <v>2</v>
      </c>
      <c r="D4995" s="6" t="s">
        <v>4934</v>
      </c>
      <c r="E4995" s="8" t="s">
        <v>5081</v>
      </c>
      <c r="F4995" t="s">
        <v>6654</v>
      </c>
      <c r="G4995">
        <v>101</v>
      </c>
      <c r="Q4995" t="s">
        <v>7075</v>
      </c>
    </row>
    <row r="4996" spans="1:17" x14ac:dyDescent="0.2">
      <c r="A4996" t="s">
        <v>4935</v>
      </c>
      <c r="B4996" t="s">
        <v>4894</v>
      </c>
      <c r="C4996">
        <v>2</v>
      </c>
      <c r="D4996" s="6" t="s">
        <v>4934</v>
      </c>
      <c r="E4996" s="8" t="s">
        <v>5082</v>
      </c>
      <c r="F4996" t="s">
        <v>6654</v>
      </c>
      <c r="G4996">
        <v>169</v>
      </c>
      <c r="Q4996" t="s">
        <v>7076</v>
      </c>
    </row>
    <row r="4997" spans="1:17" x14ac:dyDescent="0.2">
      <c r="A4997" t="s">
        <v>4935</v>
      </c>
      <c r="B4997" t="s">
        <v>4894</v>
      </c>
      <c r="C4997">
        <v>2</v>
      </c>
      <c r="D4997" s="6" t="s">
        <v>4934</v>
      </c>
      <c r="E4997" s="8" t="s">
        <v>5089</v>
      </c>
      <c r="F4997" t="s">
        <v>6654</v>
      </c>
      <c r="G4997">
        <v>53</v>
      </c>
      <c r="Q4997" t="s">
        <v>7077</v>
      </c>
    </row>
    <row r="4998" spans="1:17" x14ac:dyDescent="0.2">
      <c r="A4998" t="s">
        <v>4935</v>
      </c>
      <c r="B4998" t="s">
        <v>4894</v>
      </c>
      <c r="C4998">
        <v>2</v>
      </c>
      <c r="D4998" s="6" t="s">
        <v>4934</v>
      </c>
      <c r="E4998" s="8" t="s">
        <v>5090</v>
      </c>
      <c r="F4998" t="s">
        <v>6654</v>
      </c>
      <c r="G4998">
        <v>84</v>
      </c>
      <c r="Q4998" t="s">
        <v>7078</v>
      </c>
    </row>
    <row r="4999" spans="1:17" x14ac:dyDescent="0.2">
      <c r="A4999" t="s">
        <v>4935</v>
      </c>
      <c r="B4999" t="s">
        <v>4894</v>
      </c>
      <c r="C4999">
        <v>2</v>
      </c>
      <c r="D4999" s="6" t="s">
        <v>4934</v>
      </c>
      <c r="E4999" s="8" t="s">
        <v>5091</v>
      </c>
      <c r="F4999" t="s">
        <v>6654</v>
      </c>
      <c r="G4999">
        <v>48</v>
      </c>
      <c r="Q4999" t="s">
        <v>7079</v>
      </c>
    </row>
    <row r="5000" spans="1:17" x14ac:dyDescent="0.2">
      <c r="A5000" t="s">
        <v>4935</v>
      </c>
      <c r="B5000" t="s">
        <v>4894</v>
      </c>
      <c r="C5000">
        <v>2</v>
      </c>
      <c r="D5000" s="6" t="s">
        <v>4934</v>
      </c>
      <c r="E5000" s="8" t="s">
        <v>5092</v>
      </c>
      <c r="F5000" t="s">
        <v>6231</v>
      </c>
      <c r="G5000">
        <v>28</v>
      </c>
      <c r="Q5000" t="s">
        <v>7080</v>
      </c>
    </row>
    <row r="5001" spans="1:17" x14ac:dyDescent="0.2">
      <c r="A5001" t="s">
        <v>4935</v>
      </c>
      <c r="B5001" t="s">
        <v>4894</v>
      </c>
      <c r="C5001">
        <v>2</v>
      </c>
      <c r="D5001" s="6" t="s">
        <v>4934</v>
      </c>
      <c r="E5001" s="8" t="s">
        <v>5155</v>
      </c>
      <c r="F5001" t="s">
        <v>6862</v>
      </c>
      <c r="G5001">
        <v>2</v>
      </c>
      <c r="Q5001" t="s">
        <v>7081</v>
      </c>
    </row>
    <row r="5002" spans="1:17" x14ac:dyDescent="0.2">
      <c r="A5002" t="s">
        <v>4935</v>
      </c>
      <c r="B5002" t="s">
        <v>4894</v>
      </c>
      <c r="C5002">
        <v>2</v>
      </c>
      <c r="D5002" s="6" t="s">
        <v>4934</v>
      </c>
      <c r="E5002" s="8" t="s">
        <v>5158</v>
      </c>
      <c r="F5002" t="s">
        <v>1538</v>
      </c>
      <c r="G5002">
        <v>62</v>
      </c>
      <c r="Q5002" t="s">
        <v>7082</v>
      </c>
    </row>
    <row r="5003" spans="1:17" x14ac:dyDescent="0.2">
      <c r="A5003" t="s">
        <v>4935</v>
      </c>
      <c r="B5003" t="s">
        <v>4894</v>
      </c>
      <c r="C5003">
        <v>2</v>
      </c>
      <c r="D5003" s="6" t="s">
        <v>4934</v>
      </c>
      <c r="E5003" s="8" t="s">
        <v>5172</v>
      </c>
      <c r="F5003" t="s">
        <v>1538</v>
      </c>
      <c r="G5003">
        <v>19</v>
      </c>
      <c r="Q5003" t="s">
        <v>7086</v>
      </c>
    </row>
    <row r="5004" spans="1:17" x14ac:dyDescent="0.2">
      <c r="A5004" t="s">
        <v>4935</v>
      </c>
      <c r="B5004" t="s">
        <v>4894</v>
      </c>
      <c r="C5004">
        <v>2</v>
      </c>
      <c r="D5004" s="6" t="s">
        <v>4934</v>
      </c>
      <c r="E5004" s="8" t="s">
        <v>5157</v>
      </c>
      <c r="F5004" t="s">
        <v>1538</v>
      </c>
      <c r="G5004">
        <v>5</v>
      </c>
      <c r="Q5004" t="s">
        <v>7083</v>
      </c>
    </row>
    <row r="5005" spans="1:17" x14ac:dyDescent="0.2">
      <c r="A5005" t="s">
        <v>4935</v>
      </c>
      <c r="B5005" t="s">
        <v>4894</v>
      </c>
      <c r="C5005">
        <v>2</v>
      </c>
      <c r="D5005" s="6" t="s">
        <v>4934</v>
      </c>
      <c r="E5005" s="8" t="s">
        <v>5173</v>
      </c>
      <c r="F5005" t="s">
        <v>1538</v>
      </c>
      <c r="G5005">
        <v>54</v>
      </c>
      <c r="Q5005" t="s">
        <v>7085</v>
      </c>
    </row>
    <row r="5006" spans="1:17" x14ac:dyDescent="0.2">
      <c r="A5006" t="s">
        <v>4935</v>
      </c>
      <c r="B5006" t="s">
        <v>4894</v>
      </c>
      <c r="C5006">
        <v>2</v>
      </c>
      <c r="D5006" s="6" t="s">
        <v>4934</v>
      </c>
      <c r="E5006" s="8" t="s">
        <v>5174</v>
      </c>
      <c r="F5006" t="s">
        <v>1538</v>
      </c>
      <c r="G5006">
        <v>41</v>
      </c>
      <c r="Q5006" t="s">
        <v>7084</v>
      </c>
    </row>
    <row r="5007" spans="1:17" x14ac:dyDescent="0.2">
      <c r="A5007" t="s">
        <v>4935</v>
      </c>
      <c r="B5007" t="s">
        <v>4894</v>
      </c>
      <c r="C5007">
        <v>2</v>
      </c>
      <c r="D5007" s="6" t="s">
        <v>4934</v>
      </c>
      <c r="E5007" s="8" t="s">
        <v>5175</v>
      </c>
      <c r="F5007" t="s">
        <v>1538</v>
      </c>
      <c r="G5007">
        <v>172</v>
      </c>
      <c r="M5007">
        <v>5</v>
      </c>
    </row>
    <row r="5008" spans="1:17" x14ac:dyDescent="0.2">
      <c r="A5008" t="s">
        <v>4935</v>
      </c>
      <c r="B5008" t="s">
        <v>4894</v>
      </c>
      <c r="C5008">
        <v>2</v>
      </c>
      <c r="D5008" s="6" t="s">
        <v>4934</v>
      </c>
      <c r="E5008" t="s">
        <v>5056</v>
      </c>
      <c r="F5008" t="s">
        <v>1538</v>
      </c>
      <c r="G5008">
        <v>708</v>
      </c>
      <c r="M5008">
        <v>21</v>
      </c>
    </row>
    <row r="5009" spans="1:17" x14ac:dyDescent="0.2">
      <c r="A5009" t="s">
        <v>4935</v>
      </c>
      <c r="B5009" t="s">
        <v>4894</v>
      </c>
      <c r="C5009">
        <v>2</v>
      </c>
      <c r="D5009" s="6" t="s">
        <v>4934</v>
      </c>
      <c r="E5009" s="8" t="s">
        <v>5142</v>
      </c>
      <c r="F5009" t="s">
        <v>1425</v>
      </c>
      <c r="G5009">
        <v>14</v>
      </c>
      <c r="Q5009" t="s">
        <v>7089</v>
      </c>
    </row>
    <row r="5010" spans="1:17" x14ac:dyDescent="0.2">
      <c r="A5010" t="s">
        <v>4935</v>
      </c>
      <c r="B5010" t="s">
        <v>4894</v>
      </c>
      <c r="C5010">
        <v>2</v>
      </c>
      <c r="D5010" s="6" t="s">
        <v>4934</v>
      </c>
      <c r="E5010" s="8" t="s">
        <v>5143</v>
      </c>
      <c r="F5010" t="s">
        <v>1425</v>
      </c>
      <c r="G5010">
        <v>4</v>
      </c>
      <c r="Q5010" t="s">
        <v>7088</v>
      </c>
    </row>
    <row r="5011" spans="1:17" x14ac:dyDescent="0.2">
      <c r="A5011" t="s">
        <v>4935</v>
      </c>
      <c r="B5011" t="s">
        <v>4894</v>
      </c>
      <c r="C5011">
        <v>2</v>
      </c>
      <c r="D5011" s="6" t="s">
        <v>4934</v>
      </c>
      <c r="E5011" s="8" t="s">
        <v>5144</v>
      </c>
      <c r="F5011" t="s">
        <v>1425</v>
      </c>
      <c r="G5011">
        <v>11</v>
      </c>
      <c r="Q5011" t="s">
        <v>7087</v>
      </c>
    </row>
    <row r="5012" spans="1:17" x14ac:dyDescent="0.2">
      <c r="A5012" t="s">
        <v>4935</v>
      </c>
      <c r="B5012" t="s">
        <v>4894</v>
      </c>
      <c r="C5012">
        <v>2</v>
      </c>
      <c r="D5012" s="6" t="s">
        <v>4934</v>
      </c>
      <c r="E5012" s="8" t="s">
        <v>5150</v>
      </c>
      <c r="F5012" t="s">
        <v>1425</v>
      </c>
      <c r="G5012">
        <v>11</v>
      </c>
      <c r="Q5012" t="s">
        <v>7097</v>
      </c>
    </row>
    <row r="5013" spans="1:17" x14ac:dyDescent="0.2">
      <c r="A5013" t="s">
        <v>4935</v>
      </c>
      <c r="B5013" t="s">
        <v>4894</v>
      </c>
      <c r="C5013">
        <v>2</v>
      </c>
      <c r="D5013" s="6" t="s">
        <v>4934</v>
      </c>
      <c r="E5013" s="8" t="s">
        <v>5153</v>
      </c>
      <c r="F5013" t="s">
        <v>1425</v>
      </c>
      <c r="G5013">
        <v>3</v>
      </c>
      <c r="Q5013" t="s">
        <v>7094</v>
      </c>
    </row>
    <row r="5014" spans="1:17" x14ac:dyDescent="0.2">
      <c r="A5014" t="s">
        <v>4935</v>
      </c>
      <c r="B5014" t="s">
        <v>4894</v>
      </c>
      <c r="C5014">
        <v>2</v>
      </c>
      <c r="D5014" s="6" t="s">
        <v>4934</v>
      </c>
      <c r="E5014" s="8" t="s">
        <v>5152</v>
      </c>
      <c r="F5014" t="s">
        <v>1425</v>
      </c>
      <c r="G5014">
        <v>5</v>
      </c>
      <c r="Q5014" t="s">
        <v>7095</v>
      </c>
    </row>
    <row r="5015" spans="1:17" x14ac:dyDescent="0.2">
      <c r="A5015" t="s">
        <v>4935</v>
      </c>
      <c r="B5015" t="s">
        <v>4894</v>
      </c>
      <c r="C5015">
        <v>2</v>
      </c>
      <c r="D5015" s="6" t="s">
        <v>4934</v>
      </c>
      <c r="E5015" s="8" t="s">
        <v>5151</v>
      </c>
      <c r="F5015" t="s">
        <v>1425</v>
      </c>
      <c r="G5015">
        <v>8</v>
      </c>
      <c r="Q5015" t="s">
        <v>7096</v>
      </c>
    </row>
    <row r="5016" spans="1:17" x14ac:dyDescent="0.2">
      <c r="A5016" t="s">
        <v>4935</v>
      </c>
      <c r="B5016" t="s">
        <v>4894</v>
      </c>
      <c r="C5016">
        <v>2</v>
      </c>
      <c r="D5016" s="6" t="s">
        <v>4934</v>
      </c>
      <c r="E5016" s="8" t="s">
        <v>5154</v>
      </c>
      <c r="F5016" t="s">
        <v>1425</v>
      </c>
      <c r="G5016">
        <v>3</v>
      </c>
      <c r="Q5016" t="s">
        <v>7098</v>
      </c>
    </row>
    <row r="5017" spans="1:17" x14ac:dyDescent="0.2">
      <c r="A5017" t="s">
        <v>4935</v>
      </c>
      <c r="B5017" t="s">
        <v>4894</v>
      </c>
      <c r="C5017">
        <v>2</v>
      </c>
      <c r="D5017" s="6" t="s">
        <v>4934</v>
      </c>
      <c r="E5017" s="8" t="s">
        <v>5185</v>
      </c>
      <c r="F5017" t="s">
        <v>1425</v>
      </c>
      <c r="G5017">
        <v>28</v>
      </c>
      <c r="M5017">
        <v>5</v>
      </c>
    </row>
    <row r="5018" spans="1:17" x14ac:dyDescent="0.2">
      <c r="A5018" t="s">
        <v>4935</v>
      </c>
      <c r="B5018" t="s">
        <v>4894</v>
      </c>
      <c r="C5018">
        <v>2</v>
      </c>
      <c r="D5018" s="6" t="s">
        <v>4934</v>
      </c>
      <c r="E5018" t="s">
        <v>5056</v>
      </c>
      <c r="F5018" t="s">
        <v>1425</v>
      </c>
      <c r="G5018">
        <v>18</v>
      </c>
      <c r="M5018">
        <v>4</v>
      </c>
    </row>
    <row r="5019" spans="1:17" x14ac:dyDescent="0.2">
      <c r="A5019" t="s">
        <v>4935</v>
      </c>
      <c r="B5019" t="s">
        <v>4894</v>
      </c>
      <c r="C5019">
        <v>2</v>
      </c>
      <c r="D5019" s="6" t="s">
        <v>4934</v>
      </c>
      <c r="E5019" s="8" t="s">
        <v>5156</v>
      </c>
      <c r="F5019" t="s">
        <v>1538</v>
      </c>
      <c r="G5019">
        <v>4</v>
      </c>
      <c r="Q5019" t="s">
        <v>7104</v>
      </c>
    </row>
    <row r="5020" spans="1:17" x14ac:dyDescent="0.2">
      <c r="A5020" t="s">
        <v>4935</v>
      </c>
      <c r="B5020" t="s">
        <v>4894</v>
      </c>
      <c r="C5020">
        <v>2</v>
      </c>
      <c r="D5020" s="6" t="s">
        <v>4934</v>
      </c>
      <c r="E5020" s="8" t="s">
        <v>5159</v>
      </c>
      <c r="F5020" t="s">
        <v>1538</v>
      </c>
      <c r="G5020">
        <v>2</v>
      </c>
      <c r="Q5020" t="s">
        <v>7103</v>
      </c>
    </row>
    <row r="5021" spans="1:17" x14ac:dyDescent="0.2">
      <c r="A5021" t="s">
        <v>4935</v>
      </c>
      <c r="B5021" t="s">
        <v>4894</v>
      </c>
      <c r="C5021">
        <v>2</v>
      </c>
      <c r="D5021" s="6" t="s">
        <v>4934</v>
      </c>
      <c r="E5021" s="8" t="s">
        <v>5189</v>
      </c>
      <c r="F5021" t="s">
        <v>1538</v>
      </c>
      <c r="G5021">
        <v>1</v>
      </c>
      <c r="Q5021" t="s">
        <v>7102</v>
      </c>
    </row>
    <row r="5022" spans="1:17" x14ac:dyDescent="0.2">
      <c r="A5022" t="s">
        <v>4935</v>
      </c>
      <c r="B5022" t="s">
        <v>4894</v>
      </c>
      <c r="C5022">
        <v>2</v>
      </c>
      <c r="D5022" s="6" t="s">
        <v>4934</v>
      </c>
      <c r="E5022" s="8" t="s">
        <v>5160</v>
      </c>
      <c r="F5022" t="s">
        <v>1538</v>
      </c>
      <c r="G5022">
        <v>3</v>
      </c>
      <c r="Q5022" t="s">
        <v>7101</v>
      </c>
    </row>
    <row r="5023" spans="1:17" x14ac:dyDescent="0.2">
      <c r="A5023" t="s">
        <v>4935</v>
      </c>
      <c r="B5023" t="s">
        <v>4894</v>
      </c>
      <c r="C5023">
        <v>2</v>
      </c>
      <c r="D5023" s="6" t="s">
        <v>4934</v>
      </c>
      <c r="E5023" s="8" t="s">
        <v>5161</v>
      </c>
      <c r="F5023" t="s">
        <v>1538</v>
      </c>
      <c r="G5023">
        <v>4</v>
      </c>
      <c r="Q5023" t="s">
        <v>7100</v>
      </c>
    </row>
    <row r="5024" spans="1:17" x14ac:dyDescent="0.2">
      <c r="A5024" t="s">
        <v>4935</v>
      </c>
      <c r="B5024" t="s">
        <v>4894</v>
      </c>
      <c r="C5024">
        <v>2</v>
      </c>
      <c r="D5024" s="6" t="s">
        <v>4934</v>
      </c>
      <c r="E5024" s="8" t="s">
        <v>5184</v>
      </c>
      <c r="F5024" t="s">
        <v>1538</v>
      </c>
      <c r="G5024">
        <v>9</v>
      </c>
      <c r="M5024">
        <v>5</v>
      </c>
    </row>
    <row r="5025" spans="1:17" x14ac:dyDescent="0.2">
      <c r="A5025" t="s">
        <v>4935</v>
      </c>
      <c r="B5025" t="s">
        <v>4894</v>
      </c>
      <c r="C5025">
        <v>2</v>
      </c>
      <c r="D5025" s="6" t="s">
        <v>4934</v>
      </c>
      <c r="E5025" t="s">
        <v>5056</v>
      </c>
      <c r="F5025" t="s">
        <v>1538</v>
      </c>
      <c r="G5025">
        <v>12</v>
      </c>
      <c r="M5025">
        <v>3</v>
      </c>
    </row>
    <row r="5026" spans="1:17" x14ac:dyDescent="0.2">
      <c r="A5026" t="s">
        <v>4935</v>
      </c>
      <c r="B5026" t="s">
        <v>4894</v>
      </c>
      <c r="C5026">
        <v>2</v>
      </c>
      <c r="D5026" s="6" t="s">
        <v>4934</v>
      </c>
      <c r="E5026" s="8" t="s">
        <v>5145</v>
      </c>
      <c r="F5026" t="s">
        <v>6239</v>
      </c>
      <c r="G5026">
        <v>1</v>
      </c>
      <c r="Q5026" t="s">
        <v>7091</v>
      </c>
    </row>
    <row r="5027" spans="1:17" x14ac:dyDescent="0.2">
      <c r="A5027" t="s">
        <v>4935</v>
      </c>
      <c r="B5027" t="s">
        <v>4894</v>
      </c>
      <c r="C5027">
        <v>2</v>
      </c>
      <c r="D5027" s="6" t="s">
        <v>4934</v>
      </c>
      <c r="E5027" s="8" t="s">
        <v>5146</v>
      </c>
      <c r="F5027" t="s">
        <v>6239</v>
      </c>
      <c r="G5027">
        <v>1</v>
      </c>
      <c r="Q5027" t="s">
        <v>7090</v>
      </c>
    </row>
    <row r="5028" spans="1:17" x14ac:dyDescent="0.2">
      <c r="A5028" t="s">
        <v>4935</v>
      </c>
      <c r="B5028" t="s">
        <v>4894</v>
      </c>
      <c r="C5028">
        <v>2</v>
      </c>
      <c r="D5028" s="6" t="s">
        <v>4934</v>
      </c>
      <c r="E5028" s="8" t="s">
        <v>5148</v>
      </c>
      <c r="F5028" t="s">
        <v>6239</v>
      </c>
      <c r="G5028" t="s">
        <v>114</v>
      </c>
      <c r="Q5028" t="s">
        <v>7092</v>
      </c>
    </row>
    <row r="5029" spans="1:17" x14ac:dyDescent="0.2">
      <c r="A5029" t="s">
        <v>4935</v>
      </c>
      <c r="B5029" t="s">
        <v>4894</v>
      </c>
      <c r="C5029">
        <v>2</v>
      </c>
      <c r="D5029" s="6" t="s">
        <v>4934</v>
      </c>
      <c r="E5029" s="8" t="s">
        <v>5149</v>
      </c>
      <c r="F5029" t="s">
        <v>6239</v>
      </c>
      <c r="G5029">
        <v>1</v>
      </c>
      <c r="Q5029" t="s">
        <v>7093</v>
      </c>
    </row>
    <row r="5030" spans="1:17" x14ac:dyDescent="0.2">
      <c r="A5030" t="s">
        <v>4935</v>
      </c>
      <c r="B5030" t="s">
        <v>4894</v>
      </c>
      <c r="C5030">
        <v>2</v>
      </c>
      <c r="D5030" s="6" t="s">
        <v>4934</v>
      </c>
      <c r="E5030" s="8" t="s">
        <v>5147</v>
      </c>
      <c r="F5030" t="s">
        <v>6239</v>
      </c>
      <c r="G5030">
        <v>5</v>
      </c>
      <c r="M5030">
        <v>4</v>
      </c>
      <c r="Q5030" t="s">
        <v>7099</v>
      </c>
    </row>
    <row r="5031" spans="1:17" x14ac:dyDescent="0.2">
      <c r="A5031" t="s">
        <v>4935</v>
      </c>
      <c r="B5031" t="s">
        <v>4894</v>
      </c>
      <c r="C5031">
        <v>2</v>
      </c>
      <c r="D5031" s="6" t="s">
        <v>4934</v>
      </c>
      <c r="E5031" s="8" t="s">
        <v>5172</v>
      </c>
      <c r="F5031" t="s">
        <v>504</v>
      </c>
      <c r="H5031">
        <f>1.422-0.357</f>
        <v>1.0649999999999999</v>
      </c>
      <c r="O5031" t="s">
        <v>5319</v>
      </c>
    </row>
    <row r="5032" spans="1:17" x14ac:dyDescent="0.2">
      <c r="A5032" t="s">
        <v>4935</v>
      </c>
      <c r="B5032" t="s">
        <v>4894</v>
      </c>
      <c r="C5032">
        <v>2</v>
      </c>
      <c r="D5032" s="6" t="s">
        <v>4934</v>
      </c>
      <c r="E5032" s="8" t="s">
        <v>5169</v>
      </c>
      <c r="F5032" t="s">
        <v>1389</v>
      </c>
      <c r="G5032">
        <v>9</v>
      </c>
      <c r="Q5032" t="s">
        <v>7068</v>
      </c>
    </row>
    <row r="5033" spans="1:17" x14ac:dyDescent="0.2">
      <c r="A5033" t="s">
        <v>4935</v>
      </c>
      <c r="B5033" t="s">
        <v>4894</v>
      </c>
      <c r="C5033">
        <v>2</v>
      </c>
      <c r="D5033" s="6" t="s">
        <v>4934</v>
      </c>
      <c r="E5033" s="8" t="s">
        <v>5170</v>
      </c>
      <c r="F5033" t="s">
        <v>1389</v>
      </c>
      <c r="G5033">
        <v>2</v>
      </c>
      <c r="Q5033" t="s">
        <v>7069</v>
      </c>
    </row>
    <row r="5034" spans="1:17" x14ac:dyDescent="0.2">
      <c r="A5034" t="s">
        <v>4935</v>
      </c>
      <c r="B5034" t="s">
        <v>4894</v>
      </c>
      <c r="C5034">
        <v>2</v>
      </c>
      <c r="D5034" s="6" t="s">
        <v>4934</v>
      </c>
      <c r="E5034" s="8" t="s">
        <v>5171</v>
      </c>
      <c r="F5034" t="s">
        <v>1389</v>
      </c>
      <c r="G5034">
        <v>4</v>
      </c>
      <c r="Q5034" t="s">
        <v>7067</v>
      </c>
    </row>
    <row r="5035" spans="1:17" x14ac:dyDescent="0.2">
      <c r="A5035" t="s">
        <v>4935</v>
      </c>
      <c r="B5035" t="s">
        <v>4894</v>
      </c>
      <c r="C5035">
        <v>2</v>
      </c>
      <c r="D5035" s="6" t="s">
        <v>4934</v>
      </c>
      <c r="E5035" s="8" t="s">
        <v>5140</v>
      </c>
      <c r="F5035" t="s">
        <v>1389</v>
      </c>
      <c r="G5035">
        <v>7</v>
      </c>
      <c r="Q5035" t="s">
        <v>7066</v>
      </c>
    </row>
    <row r="5036" spans="1:17" x14ac:dyDescent="0.2">
      <c r="A5036" t="s">
        <v>4935</v>
      </c>
      <c r="B5036" t="s">
        <v>4894</v>
      </c>
      <c r="C5036">
        <v>2</v>
      </c>
      <c r="D5036" s="6" t="s">
        <v>4934</v>
      </c>
      <c r="E5036" s="8" t="s">
        <v>5168</v>
      </c>
      <c r="F5036" t="s">
        <v>1389</v>
      </c>
      <c r="G5036" t="s">
        <v>114</v>
      </c>
    </row>
    <row r="5037" spans="1:17" x14ac:dyDescent="0.2">
      <c r="A5037" t="s">
        <v>4935</v>
      </c>
      <c r="B5037" t="s">
        <v>4894</v>
      </c>
      <c r="C5037">
        <v>2</v>
      </c>
      <c r="D5037" s="6" t="s">
        <v>4934</v>
      </c>
      <c r="E5037" s="8" t="s">
        <v>5162</v>
      </c>
      <c r="F5037" t="s">
        <v>1264</v>
      </c>
      <c r="H5037">
        <f>4.7-0.357</f>
        <v>4.343</v>
      </c>
      <c r="O5037" t="s">
        <v>5318</v>
      </c>
    </row>
    <row r="5038" spans="1:17" x14ac:dyDescent="0.2">
      <c r="A5038" t="s">
        <v>4935</v>
      </c>
      <c r="B5038" t="s">
        <v>4894</v>
      </c>
      <c r="C5038">
        <v>2</v>
      </c>
      <c r="D5038" s="6" t="s">
        <v>4934</v>
      </c>
      <c r="E5038" s="8" t="s">
        <v>5141</v>
      </c>
      <c r="F5038" t="s">
        <v>1389</v>
      </c>
      <c r="G5038">
        <v>31</v>
      </c>
      <c r="M5038">
        <v>5</v>
      </c>
    </row>
    <row r="5039" spans="1:17" x14ac:dyDescent="0.2">
      <c r="A5039" t="s">
        <v>4935</v>
      </c>
      <c r="B5039" t="s">
        <v>4894</v>
      </c>
      <c r="C5039">
        <v>2</v>
      </c>
      <c r="D5039" s="6" t="s">
        <v>4934</v>
      </c>
      <c r="E5039" t="s">
        <v>5056</v>
      </c>
      <c r="F5039" t="s">
        <v>1389</v>
      </c>
      <c r="G5039">
        <v>12</v>
      </c>
      <c r="M5039">
        <v>2</v>
      </c>
    </row>
    <row r="5040" spans="1:17" x14ac:dyDescent="0.2">
      <c r="A5040" t="s">
        <v>4935</v>
      </c>
      <c r="B5040" t="s">
        <v>4894</v>
      </c>
      <c r="C5040">
        <v>2</v>
      </c>
      <c r="D5040" s="6" t="s">
        <v>4934</v>
      </c>
      <c r="E5040" s="8" t="s">
        <v>5094</v>
      </c>
      <c r="F5040" t="s">
        <v>1311</v>
      </c>
      <c r="G5040">
        <v>2</v>
      </c>
      <c r="Q5040" t="s">
        <v>7070</v>
      </c>
    </row>
    <row r="5041" spans="1:17" x14ac:dyDescent="0.2">
      <c r="A5041" t="s">
        <v>4935</v>
      </c>
      <c r="B5041" t="s">
        <v>4894</v>
      </c>
      <c r="C5041">
        <v>2</v>
      </c>
      <c r="D5041" s="6" t="s">
        <v>4934</v>
      </c>
      <c r="E5041" s="8" t="s">
        <v>5097</v>
      </c>
      <c r="F5041" t="s">
        <v>1311</v>
      </c>
      <c r="G5041">
        <v>3</v>
      </c>
      <c r="Q5041" t="s">
        <v>7071</v>
      </c>
    </row>
    <row r="5042" spans="1:17" x14ac:dyDescent="0.2">
      <c r="A5042" t="s">
        <v>4935</v>
      </c>
      <c r="B5042" t="s">
        <v>4894</v>
      </c>
      <c r="C5042">
        <v>2</v>
      </c>
      <c r="D5042" s="6" t="s">
        <v>4934</v>
      </c>
      <c r="E5042" s="8" t="s">
        <v>5098</v>
      </c>
      <c r="F5042" t="s">
        <v>1311</v>
      </c>
      <c r="G5042">
        <v>4</v>
      </c>
      <c r="Q5042" t="s">
        <v>7072</v>
      </c>
    </row>
    <row r="5043" spans="1:17" x14ac:dyDescent="0.2">
      <c r="A5043" t="s">
        <v>4935</v>
      </c>
      <c r="B5043" t="s">
        <v>4894</v>
      </c>
      <c r="C5043">
        <v>2</v>
      </c>
      <c r="D5043" s="6" t="s">
        <v>4934</v>
      </c>
      <c r="E5043" s="8" t="s">
        <v>5166</v>
      </c>
      <c r="F5043" t="s">
        <v>1311</v>
      </c>
      <c r="G5043">
        <v>5</v>
      </c>
      <c r="Q5043" t="s">
        <v>7073</v>
      </c>
    </row>
    <row r="5044" spans="1:17" x14ac:dyDescent="0.2">
      <c r="A5044" t="s">
        <v>4935</v>
      </c>
      <c r="B5044" t="s">
        <v>4894</v>
      </c>
      <c r="C5044">
        <v>2</v>
      </c>
      <c r="D5044" s="6" t="s">
        <v>4934</v>
      </c>
      <c r="E5044" s="8" t="s">
        <v>5167</v>
      </c>
      <c r="F5044" t="s">
        <v>1311</v>
      </c>
      <c r="G5044">
        <v>4</v>
      </c>
      <c r="Q5044" t="s">
        <v>7074</v>
      </c>
    </row>
    <row r="5045" spans="1:17" x14ac:dyDescent="0.2">
      <c r="A5045" t="s">
        <v>4935</v>
      </c>
      <c r="B5045" t="s">
        <v>4894</v>
      </c>
      <c r="C5045">
        <v>2</v>
      </c>
      <c r="D5045" s="6" t="s">
        <v>4934</v>
      </c>
      <c r="E5045" s="8" t="s">
        <v>5186</v>
      </c>
      <c r="F5045" t="s">
        <v>7106</v>
      </c>
      <c r="G5045">
        <v>20</v>
      </c>
      <c r="M5045">
        <v>6</v>
      </c>
      <c r="O5045" t="s">
        <v>7107</v>
      </c>
      <c r="Q5045" t="s">
        <v>7105</v>
      </c>
    </row>
    <row r="5046" spans="1:17" x14ac:dyDescent="0.2">
      <c r="A5046" t="s">
        <v>4935</v>
      </c>
      <c r="B5046" t="s">
        <v>4894</v>
      </c>
      <c r="C5046">
        <v>2</v>
      </c>
      <c r="D5046" s="6" t="s">
        <v>4934</v>
      </c>
      <c r="E5046" s="8" t="s">
        <v>5188</v>
      </c>
      <c r="F5046" t="s">
        <v>3875</v>
      </c>
      <c r="G5046">
        <v>3</v>
      </c>
    </row>
    <row r="5047" spans="1:17" x14ac:dyDescent="0.2">
      <c r="A5047" t="s">
        <v>4935</v>
      </c>
      <c r="B5047" t="s">
        <v>4894</v>
      </c>
      <c r="C5047">
        <v>2</v>
      </c>
      <c r="D5047" s="6" t="s">
        <v>4934</v>
      </c>
      <c r="E5047" s="8" t="s">
        <v>5187</v>
      </c>
      <c r="F5047" t="s">
        <v>106</v>
      </c>
      <c r="G5047">
        <v>4</v>
      </c>
    </row>
    <row r="5048" spans="1:17" x14ac:dyDescent="0.2">
      <c r="A5048" t="s">
        <v>4935</v>
      </c>
      <c r="B5048" t="s">
        <v>4894</v>
      </c>
      <c r="C5048">
        <v>2</v>
      </c>
      <c r="D5048" s="6" t="s">
        <v>4934</v>
      </c>
      <c r="E5048" s="8" t="s">
        <v>5183</v>
      </c>
      <c r="F5048" t="s">
        <v>810</v>
      </c>
      <c r="G5048">
        <v>7</v>
      </c>
    </row>
    <row r="5049" spans="1:17" x14ac:dyDescent="0.2">
      <c r="A5049" t="s">
        <v>4935</v>
      </c>
      <c r="B5049" t="s">
        <v>4894</v>
      </c>
      <c r="C5049">
        <v>2</v>
      </c>
      <c r="D5049" s="6" t="s">
        <v>4934</v>
      </c>
      <c r="E5049" s="8" t="s">
        <v>5182</v>
      </c>
      <c r="F5049" t="s">
        <v>121</v>
      </c>
      <c r="G5049">
        <v>19</v>
      </c>
    </row>
    <row r="5050" spans="1:17" x14ac:dyDescent="0.2">
      <c r="A5050" t="s">
        <v>4935</v>
      </c>
      <c r="B5050" t="s">
        <v>4894</v>
      </c>
      <c r="C5050">
        <v>2</v>
      </c>
      <c r="D5050" s="6" t="s">
        <v>4934</v>
      </c>
      <c r="E5050" s="8" t="s">
        <v>5226</v>
      </c>
      <c r="F5050" t="s">
        <v>5317</v>
      </c>
      <c r="G5050" t="s">
        <v>114</v>
      </c>
    </row>
    <row r="5051" spans="1:17" x14ac:dyDescent="0.2">
      <c r="A5051" t="s">
        <v>4935</v>
      </c>
      <c r="B5051" t="s">
        <v>4894</v>
      </c>
      <c r="C5051">
        <v>2</v>
      </c>
      <c r="D5051" s="6" t="s">
        <v>4934</v>
      </c>
      <c r="E5051" s="8" t="s">
        <v>5223</v>
      </c>
      <c r="F5051" t="s">
        <v>3431</v>
      </c>
      <c r="G5051">
        <v>1</v>
      </c>
    </row>
    <row r="5052" spans="1:17" x14ac:dyDescent="0.2">
      <c r="A5052" t="s">
        <v>4935</v>
      </c>
      <c r="B5052" t="s">
        <v>4894</v>
      </c>
      <c r="C5052">
        <v>2</v>
      </c>
      <c r="D5052" s="6" t="s">
        <v>4934</v>
      </c>
      <c r="E5052" s="8" t="s">
        <v>5227</v>
      </c>
      <c r="F5052" t="s">
        <v>3927</v>
      </c>
      <c r="G5052">
        <v>4</v>
      </c>
    </row>
    <row r="5053" spans="1:17" x14ac:dyDescent="0.2">
      <c r="A5053" t="s">
        <v>4935</v>
      </c>
      <c r="B5053" t="s">
        <v>4894</v>
      </c>
      <c r="C5053">
        <v>3</v>
      </c>
      <c r="D5053" s="6" t="s">
        <v>4934</v>
      </c>
      <c r="E5053" s="8" t="s">
        <v>5081</v>
      </c>
      <c r="F5053" t="s">
        <v>1264</v>
      </c>
      <c r="H5053">
        <f>11.4-0.295+1.305-0.344</f>
        <v>12.066000000000001</v>
      </c>
      <c r="O5053" t="s">
        <v>5321</v>
      </c>
    </row>
    <row r="5054" spans="1:17" x14ac:dyDescent="0.2">
      <c r="A5054" t="s">
        <v>4935</v>
      </c>
      <c r="B5054" t="s">
        <v>4894</v>
      </c>
      <c r="C5054">
        <v>3</v>
      </c>
      <c r="D5054" s="6" t="s">
        <v>4934</v>
      </c>
      <c r="E5054" s="8" t="s">
        <v>5082</v>
      </c>
      <c r="F5054" t="s">
        <v>504</v>
      </c>
      <c r="H5054">
        <f>2.461-0.323</f>
        <v>2.1379999999999999</v>
      </c>
      <c r="O5054" t="s">
        <v>5320</v>
      </c>
    </row>
    <row r="5055" spans="1:17" x14ac:dyDescent="0.2">
      <c r="A5055" t="s">
        <v>4935</v>
      </c>
      <c r="B5055" t="s">
        <v>4894</v>
      </c>
      <c r="C5055">
        <v>3</v>
      </c>
      <c r="D5055" s="6" t="s">
        <v>4934</v>
      </c>
      <c r="E5055" s="8" t="s">
        <v>5094</v>
      </c>
      <c r="F5055" t="s">
        <v>1389</v>
      </c>
      <c r="G5055">
        <v>9</v>
      </c>
      <c r="Q5055" t="s">
        <v>7117</v>
      </c>
    </row>
    <row r="5056" spans="1:17" x14ac:dyDescent="0.2">
      <c r="A5056" t="s">
        <v>4935</v>
      </c>
      <c r="B5056" t="s">
        <v>4894</v>
      </c>
      <c r="C5056">
        <v>3</v>
      </c>
      <c r="D5056" s="6" t="s">
        <v>4934</v>
      </c>
      <c r="E5056" s="8" t="s">
        <v>5090</v>
      </c>
      <c r="F5056" t="s">
        <v>1389</v>
      </c>
      <c r="G5056">
        <v>3</v>
      </c>
      <c r="Q5056" t="s">
        <v>7113</v>
      </c>
    </row>
    <row r="5057" spans="1:17" x14ac:dyDescent="0.2">
      <c r="A5057" t="s">
        <v>4935</v>
      </c>
      <c r="B5057" t="s">
        <v>4894</v>
      </c>
      <c r="C5057">
        <v>3</v>
      </c>
      <c r="D5057" s="6" t="s">
        <v>4934</v>
      </c>
      <c r="E5057" s="8" t="s">
        <v>5091</v>
      </c>
      <c r="F5057" t="s">
        <v>1389</v>
      </c>
      <c r="G5057">
        <v>14</v>
      </c>
      <c r="Q5057" t="s">
        <v>7114</v>
      </c>
    </row>
    <row r="5058" spans="1:17" x14ac:dyDescent="0.2">
      <c r="A5058" t="s">
        <v>4935</v>
      </c>
      <c r="B5058" t="s">
        <v>4894</v>
      </c>
      <c r="C5058">
        <v>3</v>
      </c>
      <c r="D5058" s="6" t="s">
        <v>4934</v>
      </c>
      <c r="E5058" s="8" t="s">
        <v>5092</v>
      </c>
      <c r="F5058" t="s">
        <v>1389</v>
      </c>
      <c r="G5058">
        <v>7</v>
      </c>
      <c r="Q5058" t="s">
        <v>7116</v>
      </c>
    </row>
    <row r="5059" spans="1:17" x14ac:dyDescent="0.2">
      <c r="A5059" t="s">
        <v>4935</v>
      </c>
      <c r="B5059" t="s">
        <v>4894</v>
      </c>
      <c r="C5059">
        <v>3</v>
      </c>
      <c r="D5059" s="6" t="s">
        <v>4934</v>
      </c>
      <c r="E5059" s="8" t="s">
        <v>5089</v>
      </c>
      <c r="F5059" t="s">
        <v>1389</v>
      </c>
      <c r="G5059">
        <v>1</v>
      </c>
      <c r="Q5059" t="s">
        <v>7115</v>
      </c>
    </row>
    <row r="5060" spans="1:17" x14ac:dyDescent="0.2">
      <c r="A5060" t="s">
        <v>4935</v>
      </c>
      <c r="B5060" t="s">
        <v>4894</v>
      </c>
      <c r="C5060">
        <v>3</v>
      </c>
      <c r="D5060" s="6" t="s">
        <v>4934</v>
      </c>
      <c r="E5060" s="8" t="s">
        <v>5097</v>
      </c>
      <c r="F5060" t="s">
        <v>1389</v>
      </c>
      <c r="G5060">
        <v>47</v>
      </c>
      <c r="M5060">
        <v>5</v>
      </c>
    </row>
    <row r="5061" spans="1:17" x14ac:dyDescent="0.2">
      <c r="A5061" t="s">
        <v>4935</v>
      </c>
      <c r="B5061" t="s">
        <v>4894</v>
      </c>
      <c r="C5061">
        <v>3</v>
      </c>
      <c r="D5061" s="6" t="s">
        <v>4934</v>
      </c>
      <c r="E5061" t="s">
        <v>5056</v>
      </c>
      <c r="F5061" t="s">
        <v>1389</v>
      </c>
      <c r="G5061">
        <v>41</v>
      </c>
      <c r="M5061">
        <v>5</v>
      </c>
    </row>
    <row r="5062" spans="1:17" x14ac:dyDescent="0.2">
      <c r="A5062" t="s">
        <v>4935</v>
      </c>
      <c r="B5062" t="s">
        <v>4894</v>
      </c>
      <c r="C5062">
        <v>3</v>
      </c>
      <c r="D5062" s="6" t="s">
        <v>4934</v>
      </c>
      <c r="E5062" s="8" t="s">
        <v>5098</v>
      </c>
      <c r="F5062" t="s">
        <v>1425</v>
      </c>
      <c r="G5062">
        <v>18</v>
      </c>
      <c r="Q5062" t="s">
        <v>7111</v>
      </c>
    </row>
    <row r="5063" spans="1:17" x14ac:dyDescent="0.2">
      <c r="A5063" t="s">
        <v>4935</v>
      </c>
      <c r="B5063" t="s">
        <v>4894</v>
      </c>
      <c r="C5063">
        <v>3</v>
      </c>
      <c r="D5063" s="6" t="s">
        <v>4934</v>
      </c>
      <c r="E5063" s="8" t="s">
        <v>5166</v>
      </c>
      <c r="F5063" t="s">
        <v>1425</v>
      </c>
      <c r="G5063">
        <v>10</v>
      </c>
      <c r="Q5063" t="s">
        <v>7110</v>
      </c>
    </row>
    <row r="5064" spans="1:17" x14ac:dyDescent="0.2">
      <c r="A5064" t="s">
        <v>4935</v>
      </c>
      <c r="B5064" t="s">
        <v>4894</v>
      </c>
      <c r="C5064">
        <v>3</v>
      </c>
      <c r="D5064" s="6" t="s">
        <v>4934</v>
      </c>
      <c r="E5064" s="8" t="s">
        <v>5167</v>
      </c>
      <c r="F5064" t="s">
        <v>1425</v>
      </c>
      <c r="G5064">
        <v>24</v>
      </c>
      <c r="Q5064" t="s">
        <v>7109</v>
      </c>
    </row>
    <row r="5065" spans="1:17" x14ac:dyDescent="0.2">
      <c r="A5065" t="s">
        <v>4935</v>
      </c>
      <c r="B5065" t="s">
        <v>4894</v>
      </c>
      <c r="C5065">
        <v>3</v>
      </c>
      <c r="D5065" s="6" t="s">
        <v>4934</v>
      </c>
      <c r="E5065" s="8" t="s">
        <v>5169</v>
      </c>
      <c r="F5065" t="s">
        <v>5348</v>
      </c>
      <c r="G5065">
        <v>21</v>
      </c>
      <c r="Q5065" t="s">
        <v>7108</v>
      </c>
    </row>
    <row r="5066" spans="1:17" x14ac:dyDescent="0.2">
      <c r="A5066" t="s">
        <v>4935</v>
      </c>
      <c r="B5066" t="s">
        <v>4894</v>
      </c>
      <c r="C5066">
        <v>3</v>
      </c>
      <c r="D5066" s="6" t="s">
        <v>4934</v>
      </c>
      <c r="E5066" s="8" t="s">
        <v>5168</v>
      </c>
      <c r="F5066" t="s">
        <v>1425</v>
      </c>
      <c r="G5066">
        <v>5</v>
      </c>
      <c r="Q5066" t="s">
        <v>7112</v>
      </c>
    </row>
    <row r="5067" spans="1:17" x14ac:dyDescent="0.2">
      <c r="A5067" t="s">
        <v>4935</v>
      </c>
      <c r="B5067" t="s">
        <v>4894</v>
      </c>
      <c r="C5067">
        <v>3</v>
      </c>
      <c r="D5067" s="6" t="s">
        <v>4934</v>
      </c>
      <c r="E5067" s="8" t="s">
        <v>5170</v>
      </c>
      <c r="F5067" t="s">
        <v>1425</v>
      </c>
      <c r="G5067">
        <v>34</v>
      </c>
      <c r="M5067">
        <v>3</v>
      </c>
    </row>
    <row r="5068" spans="1:17" x14ac:dyDescent="0.2">
      <c r="A5068" t="s">
        <v>4935</v>
      </c>
      <c r="B5068" t="s">
        <v>4894</v>
      </c>
      <c r="C5068">
        <v>3</v>
      </c>
      <c r="D5068" s="6" t="s">
        <v>4934</v>
      </c>
      <c r="E5068" s="8" t="s">
        <v>5155</v>
      </c>
      <c r="F5068" t="s">
        <v>1538</v>
      </c>
      <c r="G5068">
        <v>63</v>
      </c>
      <c r="Q5068" t="s">
        <v>7122</v>
      </c>
    </row>
    <row r="5069" spans="1:17" x14ac:dyDescent="0.2">
      <c r="A5069" t="s">
        <v>4935</v>
      </c>
      <c r="B5069" t="s">
        <v>4894</v>
      </c>
      <c r="C5069">
        <v>3</v>
      </c>
      <c r="D5069" s="6" t="s">
        <v>4934</v>
      </c>
      <c r="E5069" s="8" t="s">
        <v>5156</v>
      </c>
      <c r="F5069" t="s">
        <v>1538</v>
      </c>
      <c r="G5069">
        <v>26</v>
      </c>
      <c r="Q5069" t="s">
        <v>7121</v>
      </c>
    </row>
    <row r="5070" spans="1:17" x14ac:dyDescent="0.2">
      <c r="A5070" t="s">
        <v>4935</v>
      </c>
      <c r="B5070" t="s">
        <v>4894</v>
      </c>
      <c r="C5070">
        <v>3</v>
      </c>
      <c r="D5070" s="6" t="s">
        <v>4934</v>
      </c>
      <c r="E5070" s="8" t="s">
        <v>5157</v>
      </c>
      <c r="F5070" t="s">
        <v>1538</v>
      </c>
      <c r="G5070">
        <v>15</v>
      </c>
      <c r="Q5070" t="s">
        <v>7119</v>
      </c>
    </row>
    <row r="5071" spans="1:17" x14ac:dyDescent="0.2">
      <c r="A5071" t="s">
        <v>4935</v>
      </c>
      <c r="B5071" t="s">
        <v>4894</v>
      </c>
      <c r="C5071">
        <v>3</v>
      </c>
      <c r="D5071" s="6" t="s">
        <v>4934</v>
      </c>
      <c r="E5071" s="8" t="s">
        <v>5172</v>
      </c>
      <c r="F5071" t="s">
        <v>1538</v>
      </c>
      <c r="G5071">
        <v>6</v>
      </c>
      <c r="Q5071" t="s">
        <v>7118</v>
      </c>
    </row>
    <row r="5072" spans="1:17" x14ac:dyDescent="0.2">
      <c r="A5072" t="s">
        <v>4935</v>
      </c>
      <c r="B5072" t="s">
        <v>4894</v>
      </c>
      <c r="C5072">
        <v>3</v>
      </c>
      <c r="D5072" s="6" t="s">
        <v>4934</v>
      </c>
      <c r="E5072" s="8" t="s">
        <v>5158</v>
      </c>
      <c r="F5072" t="s">
        <v>1538</v>
      </c>
      <c r="G5072">
        <v>5</v>
      </c>
      <c r="Q5072" t="s">
        <v>7120</v>
      </c>
    </row>
    <row r="5073" spans="1:17" x14ac:dyDescent="0.2">
      <c r="A5073" t="s">
        <v>4935</v>
      </c>
      <c r="B5073" t="s">
        <v>4894</v>
      </c>
      <c r="C5073">
        <v>3</v>
      </c>
      <c r="D5073" s="6" t="s">
        <v>4934</v>
      </c>
      <c r="E5073" s="8" t="s">
        <v>5173</v>
      </c>
      <c r="F5073" t="s">
        <v>1538</v>
      </c>
      <c r="G5073">
        <v>109</v>
      </c>
      <c r="M5073">
        <v>5</v>
      </c>
    </row>
    <row r="5074" spans="1:17" x14ac:dyDescent="0.2">
      <c r="A5074" t="s">
        <v>4935</v>
      </c>
      <c r="B5074" t="s">
        <v>4894</v>
      </c>
      <c r="C5074">
        <v>3</v>
      </c>
      <c r="D5074" s="6" t="s">
        <v>4934</v>
      </c>
      <c r="E5074" s="8" t="s">
        <v>5151</v>
      </c>
      <c r="F5074" t="s">
        <v>1538</v>
      </c>
      <c r="G5074">
        <v>5</v>
      </c>
      <c r="Q5074" t="s">
        <v>7125</v>
      </c>
    </row>
    <row r="5075" spans="1:17" x14ac:dyDescent="0.2">
      <c r="A5075" t="s">
        <v>4935</v>
      </c>
      <c r="B5075" t="s">
        <v>4894</v>
      </c>
      <c r="C5075">
        <v>3</v>
      </c>
      <c r="D5075" s="6" t="s">
        <v>4934</v>
      </c>
      <c r="E5075" s="8" t="s">
        <v>5153</v>
      </c>
      <c r="F5075" t="s">
        <v>1538</v>
      </c>
      <c r="G5075">
        <v>1</v>
      </c>
      <c r="Q5075" t="s">
        <v>7123</v>
      </c>
    </row>
    <row r="5076" spans="1:17" x14ac:dyDescent="0.2">
      <c r="A5076" t="s">
        <v>4935</v>
      </c>
      <c r="B5076" t="s">
        <v>4894</v>
      </c>
      <c r="C5076">
        <v>3</v>
      </c>
      <c r="D5076" s="6" t="s">
        <v>4934</v>
      </c>
      <c r="E5076" s="8" t="s">
        <v>5152</v>
      </c>
      <c r="F5076" t="s">
        <v>1538</v>
      </c>
      <c r="G5076" t="s">
        <v>114</v>
      </c>
      <c r="Q5076" t="s">
        <v>7124</v>
      </c>
    </row>
    <row r="5077" spans="1:17" x14ac:dyDescent="0.2">
      <c r="A5077" t="s">
        <v>4935</v>
      </c>
      <c r="B5077" t="s">
        <v>4894</v>
      </c>
      <c r="C5077">
        <v>3</v>
      </c>
      <c r="D5077" s="6" t="s">
        <v>4934</v>
      </c>
      <c r="E5077" s="8" t="s">
        <v>5184</v>
      </c>
      <c r="F5077" t="s">
        <v>1538</v>
      </c>
      <c r="G5077">
        <v>8</v>
      </c>
      <c r="M5077">
        <v>5</v>
      </c>
    </row>
    <row r="5078" spans="1:17" x14ac:dyDescent="0.2">
      <c r="A5078" t="s">
        <v>4935</v>
      </c>
      <c r="B5078" t="s">
        <v>4894</v>
      </c>
      <c r="C5078">
        <v>3</v>
      </c>
      <c r="D5078" s="6" t="s">
        <v>4934</v>
      </c>
      <c r="E5078" t="s">
        <v>5056</v>
      </c>
      <c r="F5078" t="s">
        <v>1538</v>
      </c>
      <c r="G5078">
        <f>593-427</f>
        <v>166</v>
      </c>
      <c r="M5078">
        <v>9</v>
      </c>
    </row>
    <row r="5079" spans="1:17" x14ac:dyDescent="0.2">
      <c r="A5079" t="s">
        <v>4935</v>
      </c>
      <c r="B5079" t="s">
        <v>4894</v>
      </c>
      <c r="C5079">
        <v>3</v>
      </c>
      <c r="D5079" s="6" t="s">
        <v>4934</v>
      </c>
      <c r="E5079" s="8" t="s">
        <v>5171</v>
      </c>
      <c r="F5079" t="s">
        <v>1425</v>
      </c>
      <c r="G5079">
        <v>19</v>
      </c>
      <c r="Q5079" t="s">
        <v>7129</v>
      </c>
    </row>
    <row r="5080" spans="1:17" x14ac:dyDescent="0.2">
      <c r="A5080" t="s">
        <v>4935</v>
      </c>
      <c r="B5080" t="s">
        <v>4894</v>
      </c>
      <c r="C5080">
        <v>3</v>
      </c>
      <c r="D5080" s="6" t="s">
        <v>4934</v>
      </c>
      <c r="E5080" s="8" t="s">
        <v>5140</v>
      </c>
      <c r="F5080" t="s">
        <v>1425</v>
      </c>
      <c r="G5080">
        <v>4</v>
      </c>
      <c r="Q5080" t="s">
        <v>7131</v>
      </c>
    </row>
    <row r="5081" spans="1:17" x14ac:dyDescent="0.2">
      <c r="A5081" t="s">
        <v>4935</v>
      </c>
      <c r="B5081" t="s">
        <v>4894</v>
      </c>
      <c r="C5081">
        <v>3</v>
      </c>
      <c r="D5081" s="6" t="s">
        <v>4934</v>
      </c>
      <c r="E5081" s="8" t="s">
        <v>5141</v>
      </c>
      <c r="F5081" t="s">
        <v>1425</v>
      </c>
      <c r="G5081">
        <v>7</v>
      </c>
      <c r="Q5081" t="s">
        <v>7127</v>
      </c>
    </row>
    <row r="5082" spans="1:17" x14ac:dyDescent="0.2">
      <c r="A5082" t="s">
        <v>4935</v>
      </c>
      <c r="B5082" t="s">
        <v>4894</v>
      </c>
      <c r="C5082">
        <v>3</v>
      </c>
      <c r="D5082" s="6" t="s">
        <v>4934</v>
      </c>
      <c r="E5082" s="8" t="s">
        <v>5142</v>
      </c>
      <c r="F5082" t="s">
        <v>1425</v>
      </c>
      <c r="G5082">
        <v>2</v>
      </c>
      <c r="Q5082" t="s">
        <v>7126</v>
      </c>
    </row>
    <row r="5083" spans="1:17" x14ac:dyDescent="0.2">
      <c r="A5083" t="s">
        <v>4935</v>
      </c>
      <c r="B5083" t="s">
        <v>4894</v>
      </c>
      <c r="C5083">
        <v>3</v>
      </c>
      <c r="D5083" s="6" t="s">
        <v>4934</v>
      </c>
      <c r="E5083" s="8" t="s">
        <v>5143</v>
      </c>
      <c r="F5083" t="s">
        <v>1425</v>
      </c>
      <c r="G5083">
        <v>8</v>
      </c>
      <c r="Q5083" t="s">
        <v>7128</v>
      </c>
    </row>
    <row r="5084" spans="1:17" x14ac:dyDescent="0.2">
      <c r="A5084" t="s">
        <v>4935</v>
      </c>
      <c r="B5084" t="s">
        <v>4894</v>
      </c>
      <c r="C5084">
        <v>3</v>
      </c>
      <c r="D5084" s="6" t="s">
        <v>4934</v>
      </c>
      <c r="E5084" s="8" t="s">
        <v>5144</v>
      </c>
      <c r="F5084" t="s">
        <v>1425</v>
      </c>
      <c r="G5084">
        <v>6</v>
      </c>
      <c r="Q5084" t="s">
        <v>7130</v>
      </c>
    </row>
    <row r="5085" spans="1:17" x14ac:dyDescent="0.2">
      <c r="A5085" t="s">
        <v>4935</v>
      </c>
      <c r="B5085" t="s">
        <v>4894</v>
      </c>
      <c r="C5085">
        <v>3</v>
      </c>
      <c r="D5085" s="6" t="s">
        <v>4934</v>
      </c>
      <c r="E5085" s="8" t="s">
        <v>5145</v>
      </c>
      <c r="F5085" t="s">
        <v>1425</v>
      </c>
      <c r="G5085">
        <v>22</v>
      </c>
      <c r="M5085">
        <v>5</v>
      </c>
    </row>
    <row r="5086" spans="1:17" x14ac:dyDescent="0.2">
      <c r="A5086" t="s">
        <v>4935</v>
      </c>
      <c r="B5086" t="s">
        <v>4894</v>
      </c>
      <c r="C5086">
        <v>3</v>
      </c>
      <c r="D5086" s="6" t="s">
        <v>4934</v>
      </c>
      <c r="E5086" s="8" t="s">
        <v>5146</v>
      </c>
      <c r="F5086" t="s">
        <v>1311</v>
      </c>
      <c r="G5086">
        <v>2</v>
      </c>
      <c r="Q5086" t="s">
        <v>7133</v>
      </c>
    </row>
    <row r="5087" spans="1:17" x14ac:dyDescent="0.2">
      <c r="A5087" t="s">
        <v>4935</v>
      </c>
      <c r="B5087" t="s">
        <v>4894</v>
      </c>
      <c r="C5087">
        <v>3</v>
      </c>
      <c r="D5087" s="6" t="s">
        <v>4934</v>
      </c>
      <c r="E5087" s="8" t="s">
        <v>5147</v>
      </c>
      <c r="F5087" t="s">
        <v>1311</v>
      </c>
      <c r="G5087">
        <v>1</v>
      </c>
      <c r="Q5087" t="s">
        <v>7132</v>
      </c>
    </row>
    <row r="5088" spans="1:17" x14ac:dyDescent="0.2">
      <c r="A5088" t="s">
        <v>4935</v>
      </c>
      <c r="B5088" t="s">
        <v>4894</v>
      </c>
      <c r="C5088">
        <v>3</v>
      </c>
      <c r="D5088" s="6" t="s">
        <v>4934</v>
      </c>
      <c r="E5088" s="8" t="s">
        <v>5148</v>
      </c>
      <c r="F5088" t="s">
        <v>1425</v>
      </c>
      <c r="G5088">
        <v>2</v>
      </c>
      <c r="Q5088" t="s">
        <v>7134</v>
      </c>
    </row>
    <row r="5089" spans="1:17" x14ac:dyDescent="0.2">
      <c r="A5089" t="s">
        <v>4935</v>
      </c>
      <c r="B5089" t="s">
        <v>4894</v>
      </c>
      <c r="C5089">
        <v>3</v>
      </c>
      <c r="D5089" s="6" t="s">
        <v>4934</v>
      </c>
      <c r="E5089" s="8" t="s">
        <v>5150</v>
      </c>
      <c r="F5089" t="s">
        <v>1538</v>
      </c>
      <c r="G5089">
        <v>3</v>
      </c>
      <c r="Q5089" t="s">
        <v>7135</v>
      </c>
    </row>
    <row r="5090" spans="1:17" x14ac:dyDescent="0.2">
      <c r="A5090" t="s">
        <v>4935</v>
      </c>
      <c r="B5090" t="s">
        <v>4894</v>
      </c>
      <c r="C5090">
        <v>3</v>
      </c>
      <c r="D5090" s="6" t="s">
        <v>4934</v>
      </c>
      <c r="E5090" s="8" t="s">
        <v>5154</v>
      </c>
      <c r="F5090" t="s">
        <v>1538</v>
      </c>
      <c r="G5090">
        <v>2</v>
      </c>
      <c r="Q5090" t="s">
        <v>7136</v>
      </c>
    </row>
    <row r="5091" spans="1:17" x14ac:dyDescent="0.2">
      <c r="A5091" t="s">
        <v>4935</v>
      </c>
      <c r="B5091" t="s">
        <v>4894</v>
      </c>
      <c r="C5091">
        <v>3</v>
      </c>
      <c r="D5091" s="6" t="s">
        <v>4934</v>
      </c>
      <c r="E5091" t="s">
        <v>5056</v>
      </c>
      <c r="F5091" t="s">
        <v>1425</v>
      </c>
      <c r="G5091">
        <v>65</v>
      </c>
      <c r="M5091">
        <v>14</v>
      </c>
    </row>
    <row r="5092" spans="1:17" x14ac:dyDescent="0.2">
      <c r="A5092" t="s">
        <v>4935</v>
      </c>
      <c r="B5092" t="s">
        <v>4894</v>
      </c>
      <c r="C5092">
        <v>3</v>
      </c>
      <c r="D5092" s="6" t="s">
        <v>4934</v>
      </c>
      <c r="E5092" s="8" t="s">
        <v>5182</v>
      </c>
      <c r="F5092" t="s">
        <v>6239</v>
      </c>
      <c r="G5092">
        <v>3</v>
      </c>
      <c r="M5092">
        <v>2</v>
      </c>
    </row>
    <row r="5093" spans="1:17" x14ac:dyDescent="0.2">
      <c r="A5093" t="s">
        <v>4935</v>
      </c>
      <c r="B5093" t="s">
        <v>4894</v>
      </c>
      <c r="C5093">
        <v>3</v>
      </c>
      <c r="D5093" s="6" t="s">
        <v>4934</v>
      </c>
      <c r="E5093" s="8" t="s">
        <v>5174</v>
      </c>
      <c r="F5093" t="s">
        <v>126</v>
      </c>
      <c r="G5093">
        <v>44</v>
      </c>
      <c r="O5093" t="s">
        <v>5327</v>
      </c>
    </row>
    <row r="5094" spans="1:17" x14ac:dyDescent="0.2">
      <c r="A5094" t="s">
        <v>4935</v>
      </c>
      <c r="B5094" t="s">
        <v>4894</v>
      </c>
      <c r="C5094">
        <v>3</v>
      </c>
      <c r="D5094" s="6" t="s">
        <v>4934</v>
      </c>
      <c r="E5094" s="8" t="s">
        <v>5139</v>
      </c>
      <c r="F5094" t="s">
        <v>2553</v>
      </c>
      <c r="G5094">
        <v>2</v>
      </c>
    </row>
    <row r="5095" spans="1:17" x14ac:dyDescent="0.2">
      <c r="A5095" t="s">
        <v>4935</v>
      </c>
      <c r="B5095" t="s">
        <v>4894</v>
      </c>
      <c r="C5095">
        <v>3</v>
      </c>
      <c r="D5095" s="6" t="s">
        <v>4934</v>
      </c>
      <c r="E5095" s="8" t="s">
        <v>5161</v>
      </c>
      <c r="F5095" t="s">
        <v>5869</v>
      </c>
      <c r="G5095">
        <v>36</v>
      </c>
      <c r="Q5095" t="s">
        <v>5890</v>
      </c>
    </row>
    <row r="5096" spans="1:17" x14ac:dyDescent="0.2">
      <c r="A5096" t="s">
        <v>4935</v>
      </c>
      <c r="B5096" t="s">
        <v>4894</v>
      </c>
      <c r="C5096">
        <v>3</v>
      </c>
      <c r="D5096" s="6" t="s">
        <v>4934</v>
      </c>
      <c r="E5096" s="8" t="s">
        <v>5189</v>
      </c>
      <c r="F5096" t="s">
        <v>6338</v>
      </c>
      <c r="G5096">
        <v>82</v>
      </c>
      <c r="Q5096" t="s">
        <v>7137</v>
      </c>
    </row>
    <row r="5097" spans="1:17" x14ac:dyDescent="0.2">
      <c r="A5097" t="s">
        <v>4935</v>
      </c>
      <c r="B5097" t="s">
        <v>4894</v>
      </c>
      <c r="C5097">
        <v>3</v>
      </c>
      <c r="D5097" s="6" t="s">
        <v>4934</v>
      </c>
      <c r="E5097" s="8" t="s">
        <v>5160</v>
      </c>
      <c r="F5097" t="s">
        <v>7138</v>
      </c>
      <c r="G5097">
        <v>8</v>
      </c>
      <c r="M5097">
        <v>2</v>
      </c>
      <c r="Q5097" t="s">
        <v>7139</v>
      </c>
    </row>
    <row r="5098" spans="1:17" x14ac:dyDescent="0.2">
      <c r="A5098" t="s">
        <v>4935</v>
      </c>
      <c r="B5098" t="s">
        <v>4894</v>
      </c>
      <c r="C5098">
        <v>3</v>
      </c>
      <c r="D5098" s="6" t="s">
        <v>4934</v>
      </c>
      <c r="E5098" s="8" t="s">
        <v>5162</v>
      </c>
      <c r="F5098" t="s">
        <v>3927</v>
      </c>
      <c r="G5098">
        <v>3</v>
      </c>
    </row>
    <row r="5099" spans="1:17" x14ac:dyDescent="0.2">
      <c r="A5099" t="s">
        <v>4935</v>
      </c>
      <c r="B5099" t="s">
        <v>4894</v>
      </c>
      <c r="C5099">
        <v>3</v>
      </c>
      <c r="D5099" s="6" t="s">
        <v>4934</v>
      </c>
      <c r="E5099" s="8" t="s">
        <v>5159</v>
      </c>
      <c r="F5099" t="s">
        <v>3875</v>
      </c>
      <c r="G5099">
        <v>22</v>
      </c>
    </row>
    <row r="5100" spans="1:17" x14ac:dyDescent="0.2">
      <c r="A5100" t="s">
        <v>4935</v>
      </c>
      <c r="B5100" t="s">
        <v>4894</v>
      </c>
      <c r="C5100">
        <v>3</v>
      </c>
      <c r="D5100" s="6" t="s">
        <v>4934</v>
      </c>
      <c r="E5100" s="8" t="s">
        <v>5175</v>
      </c>
      <c r="F5100" t="s">
        <v>810</v>
      </c>
      <c r="G5100">
        <v>7</v>
      </c>
    </row>
    <row r="5101" spans="1:17" x14ac:dyDescent="0.2">
      <c r="A5101" t="s">
        <v>4935</v>
      </c>
      <c r="B5101" t="s">
        <v>4894</v>
      </c>
      <c r="C5101">
        <v>3</v>
      </c>
      <c r="D5101" s="6" t="s">
        <v>4934</v>
      </c>
      <c r="E5101" s="8" t="s">
        <v>5185</v>
      </c>
      <c r="F5101" t="s">
        <v>106</v>
      </c>
      <c r="G5101">
        <v>1</v>
      </c>
    </row>
    <row r="5102" spans="1:17" x14ac:dyDescent="0.2">
      <c r="A5102" t="s">
        <v>4935</v>
      </c>
      <c r="B5102" t="s">
        <v>4894</v>
      </c>
      <c r="C5102">
        <v>3</v>
      </c>
      <c r="D5102" s="6" t="s">
        <v>4934</v>
      </c>
      <c r="E5102" s="8" t="s">
        <v>5187</v>
      </c>
      <c r="F5102" t="s">
        <v>121</v>
      </c>
      <c r="G5102">
        <v>4</v>
      </c>
    </row>
    <row r="5103" spans="1:17" x14ac:dyDescent="0.2">
      <c r="A5103" t="s">
        <v>4935</v>
      </c>
      <c r="B5103" t="s">
        <v>4894</v>
      </c>
      <c r="C5103">
        <v>3</v>
      </c>
      <c r="D5103" s="6" t="s">
        <v>4934</v>
      </c>
      <c r="E5103" s="8" t="s">
        <v>5188</v>
      </c>
      <c r="F5103" t="s">
        <v>5322</v>
      </c>
      <c r="G5103">
        <v>1</v>
      </c>
      <c r="M5103">
        <v>1</v>
      </c>
    </row>
    <row r="5104" spans="1:17" x14ac:dyDescent="0.2">
      <c r="A5104" t="s">
        <v>4935</v>
      </c>
      <c r="B5104" t="s">
        <v>4894</v>
      </c>
      <c r="C5104">
        <v>4</v>
      </c>
      <c r="D5104" s="6" t="s">
        <v>4934</v>
      </c>
      <c r="E5104" s="8" t="s">
        <v>5081</v>
      </c>
      <c r="F5104" t="s">
        <v>1264</v>
      </c>
      <c r="H5104">
        <f>1.98-0.295</f>
        <v>1.6850000000000001</v>
      </c>
      <c r="O5104" t="s">
        <v>5326</v>
      </c>
    </row>
    <row r="5105" spans="1:17" x14ac:dyDescent="0.2">
      <c r="A5105" t="s">
        <v>4935</v>
      </c>
      <c r="B5105" t="s">
        <v>4894</v>
      </c>
      <c r="C5105">
        <v>4</v>
      </c>
      <c r="D5105" s="6" t="s">
        <v>4934</v>
      </c>
      <c r="E5105" s="8" t="s">
        <v>5082</v>
      </c>
      <c r="F5105" t="s">
        <v>5328</v>
      </c>
      <c r="G5105">
        <v>734</v>
      </c>
      <c r="O5105" t="s">
        <v>5324</v>
      </c>
    </row>
    <row r="5106" spans="1:17" x14ac:dyDescent="0.2">
      <c r="A5106" t="s">
        <v>4935</v>
      </c>
      <c r="B5106" t="s">
        <v>4894</v>
      </c>
      <c r="C5106">
        <v>4</v>
      </c>
      <c r="D5106" s="6" t="s">
        <v>4934</v>
      </c>
      <c r="E5106" s="8" t="s">
        <v>5171</v>
      </c>
      <c r="F5106" t="s">
        <v>3875</v>
      </c>
      <c r="G5106">
        <v>299</v>
      </c>
      <c r="O5106" t="s">
        <v>5325</v>
      </c>
    </row>
    <row r="5107" spans="1:17" x14ac:dyDescent="0.2">
      <c r="A5107" t="s">
        <v>4935</v>
      </c>
      <c r="B5107" t="s">
        <v>4894</v>
      </c>
      <c r="C5107">
        <v>4</v>
      </c>
      <c r="D5107" s="6" t="s">
        <v>4934</v>
      </c>
      <c r="E5107" s="8" t="s">
        <v>5143</v>
      </c>
      <c r="F5107" t="s">
        <v>7140</v>
      </c>
      <c r="G5107">
        <v>29</v>
      </c>
      <c r="M5107">
        <v>2</v>
      </c>
      <c r="Q5107" t="s">
        <v>7141</v>
      </c>
    </row>
    <row r="5108" spans="1:17" x14ac:dyDescent="0.2">
      <c r="A5108" t="s">
        <v>4935</v>
      </c>
      <c r="B5108" t="s">
        <v>4894</v>
      </c>
      <c r="C5108">
        <v>4</v>
      </c>
      <c r="D5108" s="6" t="s">
        <v>4934</v>
      </c>
      <c r="E5108" s="8" t="s">
        <v>5144</v>
      </c>
      <c r="F5108" t="s">
        <v>121</v>
      </c>
      <c r="G5108">
        <v>3</v>
      </c>
      <c r="M5108">
        <v>2</v>
      </c>
    </row>
    <row r="5109" spans="1:17" x14ac:dyDescent="0.2">
      <c r="A5109" t="s">
        <v>4935</v>
      </c>
      <c r="B5109" t="s">
        <v>4894</v>
      </c>
      <c r="C5109">
        <v>4</v>
      </c>
      <c r="D5109" s="6" t="s">
        <v>4934</v>
      </c>
      <c r="E5109" s="8" t="s">
        <v>5145</v>
      </c>
      <c r="F5109" t="s">
        <v>106</v>
      </c>
      <c r="G5109">
        <v>5</v>
      </c>
      <c r="M5109">
        <v>2</v>
      </c>
    </row>
    <row r="5110" spans="1:17" x14ac:dyDescent="0.2">
      <c r="A5110" t="s">
        <v>4935</v>
      </c>
      <c r="B5110" t="s">
        <v>4894</v>
      </c>
      <c r="C5110">
        <v>4</v>
      </c>
      <c r="D5110" s="6" t="s">
        <v>4934</v>
      </c>
      <c r="E5110" s="8" t="s">
        <v>5140</v>
      </c>
      <c r="F5110" t="s">
        <v>3927</v>
      </c>
      <c r="G5110">
        <v>25</v>
      </c>
    </row>
    <row r="5111" spans="1:17" x14ac:dyDescent="0.2">
      <c r="A5111" t="s">
        <v>4935</v>
      </c>
      <c r="B5111" t="s">
        <v>4894</v>
      </c>
      <c r="C5111">
        <v>4</v>
      </c>
      <c r="D5111" s="6" t="s">
        <v>4934</v>
      </c>
      <c r="E5111" s="8" t="s">
        <v>5142</v>
      </c>
      <c r="F5111" t="s">
        <v>126</v>
      </c>
      <c r="G5111">
        <v>9</v>
      </c>
      <c r="O5111" t="s">
        <v>5327</v>
      </c>
    </row>
    <row r="5112" spans="1:17" x14ac:dyDescent="0.2">
      <c r="A5112" t="s">
        <v>4935</v>
      </c>
      <c r="B5112" t="s">
        <v>4894</v>
      </c>
      <c r="C5112">
        <v>4</v>
      </c>
      <c r="D5112" s="6" t="s">
        <v>4934</v>
      </c>
      <c r="E5112" s="8" t="s">
        <v>5141</v>
      </c>
      <c r="F5112" t="s">
        <v>2836</v>
      </c>
      <c r="G5112">
        <v>5</v>
      </c>
    </row>
    <row r="5113" spans="1:17" x14ac:dyDescent="0.2">
      <c r="A5113" t="s">
        <v>4935</v>
      </c>
      <c r="B5113" t="s">
        <v>4894</v>
      </c>
      <c r="C5113">
        <v>4</v>
      </c>
      <c r="D5113" s="6" t="s">
        <v>4934</v>
      </c>
      <c r="E5113" s="8" t="s">
        <v>5089</v>
      </c>
      <c r="F5113" t="s">
        <v>7148</v>
      </c>
      <c r="G5113">
        <v>86</v>
      </c>
      <c r="Q5113" t="s">
        <v>7147</v>
      </c>
    </row>
    <row r="5114" spans="1:17" x14ac:dyDescent="0.2">
      <c r="A5114" t="s">
        <v>4935</v>
      </c>
      <c r="B5114" t="s">
        <v>4894</v>
      </c>
      <c r="C5114">
        <v>4</v>
      </c>
      <c r="D5114" s="6" t="s">
        <v>4934</v>
      </c>
      <c r="E5114" s="8" t="s">
        <v>5098</v>
      </c>
      <c r="F5114" t="s">
        <v>6862</v>
      </c>
      <c r="G5114" t="s">
        <v>114</v>
      </c>
      <c r="Q5114" t="s">
        <v>7146</v>
      </c>
    </row>
    <row r="5115" spans="1:17" x14ac:dyDescent="0.2">
      <c r="A5115" t="s">
        <v>4935</v>
      </c>
      <c r="B5115" t="s">
        <v>4894</v>
      </c>
      <c r="C5115">
        <v>4</v>
      </c>
      <c r="D5115" s="6" t="s">
        <v>4934</v>
      </c>
      <c r="E5115" s="8" t="s">
        <v>5091</v>
      </c>
      <c r="F5115" t="s">
        <v>4881</v>
      </c>
      <c r="G5115">
        <v>8</v>
      </c>
      <c r="Q5115" t="s">
        <v>7145</v>
      </c>
    </row>
    <row r="5116" spans="1:17" x14ac:dyDescent="0.2">
      <c r="A5116" t="s">
        <v>4935</v>
      </c>
      <c r="B5116" t="s">
        <v>4894</v>
      </c>
      <c r="C5116">
        <v>4</v>
      </c>
      <c r="D5116" s="6" t="s">
        <v>4934</v>
      </c>
      <c r="E5116" s="8" t="s">
        <v>5092</v>
      </c>
      <c r="F5116" t="s">
        <v>4881</v>
      </c>
      <c r="G5116">
        <v>3</v>
      </c>
      <c r="Q5116" t="s">
        <v>7144</v>
      </c>
    </row>
    <row r="5117" spans="1:17" x14ac:dyDescent="0.2">
      <c r="A5117" t="s">
        <v>4935</v>
      </c>
      <c r="B5117" t="s">
        <v>4894</v>
      </c>
      <c r="C5117">
        <v>4</v>
      </c>
      <c r="D5117" s="6" t="s">
        <v>4934</v>
      </c>
      <c r="E5117" s="8" t="s">
        <v>5094</v>
      </c>
      <c r="F5117" t="s">
        <v>4881</v>
      </c>
      <c r="G5117">
        <v>4</v>
      </c>
      <c r="Q5117" t="s">
        <v>7143</v>
      </c>
    </row>
    <row r="5118" spans="1:17" x14ac:dyDescent="0.2">
      <c r="A5118" t="s">
        <v>4935</v>
      </c>
      <c r="B5118" t="s">
        <v>4894</v>
      </c>
      <c r="C5118">
        <v>4</v>
      </c>
      <c r="D5118" s="6" t="s">
        <v>4934</v>
      </c>
      <c r="E5118" s="8" t="s">
        <v>5097</v>
      </c>
      <c r="F5118" t="s">
        <v>1311</v>
      </c>
      <c r="G5118">
        <v>2</v>
      </c>
      <c r="Q5118" t="s">
        <v>7142</v>
      </c>
    </row>
    <row r="5119" spans="1:17" x14ac:dyDescent="0.2">
      <c r="A5119" t="s">
        <v>4935</v>
      </c>
      <c r="B5119" t="s">
        <v>4894</v>
      </c>
      <c r="C5119">
        <v>4</v>
      </c>
      <c r="D5119" s="6" t="s">
        <v>4934</v>
      </c>
      <c r="E5119" s="8" t="s">
        <v>5090</v>
      </c>
      <c r="F5119" t="s">
        <v>7149</v>
      </c>
      <c r="G5119">
        <v>130</v>
      </c>
      <c r="O5119" t="s">
        <v>5331</v>
      </c>
      <c r="Q5119" t="s">
        <v>7150</v>
      </c>
    </row>
    <row r="5120" spans="1:17" x14ac:dyDescent="0.2">
      <c r="A5120" t="s">
        <v>4935</v>
      </c>
      <c r="B5120" t="s">
        <v>4894</v>
      </c>
      <c r="C5120">
        <v>4</v>
      </c>
      <c r="D5120" s="6" t="s">
        <v>4934</v>
      </c>
      <c r="E5120" s="8" t="s">
        <v>5166</v>
      </c>
      <c r="F5120" t="s">
        <v>7152</v>
      </c>
      <c r="G5120">
        <v>46</v>
      </c>
      <c r="Q5120" t="s">
        <v>7157</v>
      </c>
    </row>
    <row r="5121" spans="1:17" x14ac:dyDescent="0.2">
      <c r="A5121" t="s">
        <v>4935</v>
      </c>
      <c r="B5121" t="s">
        <v>4894</v>
      </c>
      <c r="C5121">
        <v>4</v>
      </c>
      <c r="D5121" s="6" t="s">
        <v>4934</v>
      </c>
      <c r="E5121" s="8" t="s">
        <v>5167</v>
      </c>
      <c r="F5121" t="s">
        <v>1389</v>
      </c>
      <c r="G5121">
        <v>15</v>
      </c>
      <c r="Q5121" t="s">
        <v>7151</v>
      </c>
    </row>
    <row r="5122" spans="1:17" x14ac:dyDescent="0.2">
      <c r="A5122" t="s">
        <v>4935</v>
      </c>
      <c r="B5122" t="s">
        <v>4894</v>
      </c>
      <c r="C5122">
        <v>4</v>
      </c>
      <c r="D5122" s="6" t="s">
        <v>4934</v>
      </c>
      <c r="E5122" s="8" t="s">
        <v>5168</v>
      </c>
      <c r="F5122" t="s">
        <v>1389</v>
      </c>
      <c r="G5122">
        <v>6</v>
      </c>
      <c r="Q5122" t="s">
        <v>7156</v>
      </c>
    </row>
    <row r="5123" spans="1:17" x14ac:dyDescent="0.2">
      <c r="A5123" t="s">
        <v>4935</v>
      </c>
      <c r="B5123" t="s">
        <v>4894</v>
      </c>
      <c r="C5123">
        <v>4</v>
      </c>
      <c r="D5123" s="6" t="s">
        <v>4934</v>
      </c>
      <c r="E5123" s="8" t="s">
        <v>5169</v>
      </c>
      <c r="F5123" t="s">
        <v>1389</v>
      </c>
      <c r="G5123">
        <v>1</v>
      </c>
      <c r="Q5123" t="s">
        <v>7154</v>
      </c>
    </row>
    <row r="5124" spans="1:17" x14ac:dyDescent="0.2">
      <c r="A5124" t="s">
        <v>4935</v>
      </c>
      <c r="B5124" t="s">
        <v>4894</v>
      </c>
      <c r="C5124">
        <v>4</v>
      </c>
      <c r="D5124" s="6" t="s">
        <v>4934</v>
      </c>
      <c r="E5124" s="8" t="s">
        <v>5170</v>
      </c>
      <c r="F5124" t="s">
        <v>1389</v>
      </c>
      <c r="G5124">
        <v>2</v>
      </c>
      <c r="Q5124" t="s">
        <v>7155</v>
      </c>
    </row>
    <row r="5125" spans="1:17" x14ac:dyDescent="0.2">
      <c r="A5125" t="s">
        <v>4935</v>
      </c>
      <c r="B5125" t="s">
        <v>4894</v>
      </c>
      <c r="C5125">
        <v>4</v>
      </c>
      <c r="D5125" s="6" t="s">
        <v>4934</v>
      </c>
      <c r="E5125" s="8" t="s">
        <v>5329</v>
      </c>
      <c r="F5125" t="s">
        <v>1389</v>
      </c>
      <c r="G5125">
        <v>8</v>
      </c>
      <c r="Q5125" t="s">
        <v>7153</v>
      </c>
    </row>
    <row r="5126" spans="1:17" x14ac:dyDescent="0.2">
      <c r="A5126" t="s">
        <v>4935</v>
      </c>
      <c r="B5126" t="s">
        <v>4894</v>
      </c>
      <c r="C5126">
        <v>4</v>
      </c>
      <c r="D5126" s="6" t="s">
        <v>4934</v>
      </c>
      <c r="E5126" s="8" t="s">
        <v>5248</v>
      </c>
      <c r="F5126" t="s">
        <v>1389</v>
      </c>
      <c r="G5126">
        <v>31</v>
      </c>
      <c r="M5126">
        <v>5</v>
      </c>
    </row>
    <row r="5127" spans="1:17" x14ac:dyDescent="0.2">
      <c r="A5127" t="s">
        <v>4935</v>
      </c>
      <c r="B5127" t="s">
        <v>4894</v>
      </c>
      <c r="C5127">
        <v>4</v>
      </c>
      <c r="D5127" s="6" t="s">
        <v>4934</v>
      </c>
      <c r="E5127" t="s">
        <v>5056</v>
      </c>
      <c r="F5127" t="s">
        <v>1389</v>
      </c>
      <c r="G5127">
        <v>135</v>
      </c>
      <c r="M5127">
        <v>25</v>
      </c>
    </row>
    <row r="5128" spans="1:17" x14ac:dyDescent="0.2">
      <c r="A5128" t="s">
        <v>4935</v>
      </c>
      <c r="B5128" t="s">
        <v>4894</v>
      </c>
      <c r="C5128">
        <v>5</v>
      </c>
      <c r="D5128" s="6" t="s">
        <v>4934</v>
      </c>
      <c r="E5128" s="8" t="s">
        <v>5082</v>
      </c>
      <c r="F5128" t="s">
        <v>1264</v>
      </c>
      <c r="G5128">
        <f>1.637-0.357</f>
        <v>1.28</v>
      </c>
      <c r="O5128" t="s">
        <v>5333</v>
      </c>
    </row>
    <row r="5129" spans="1:17" x14ac:dyDescent="0.2">
      <c r="A5129" t="s">
        <v>4935</v>
      </c>
      <c r="B5129" t="s">
        <v>4894</v>
      </c>
      <c r="C5129">
        <v>5</v>
      </c>
      <c r="D5129" s="6" t="s">
        <v>4934</v>
      </c>
      <c r="E5129" s="8" t="s">
        <v>5089</v>
      </c>
      <c r="F5129" t="s">
        <v>504</v>
      </c>
      <c r="G5129">
        <f>1.353-0.427</f>
        <v>0.92599999999999993</v>
      </c>
      <c r="O5129" t="s">
        <v>5334</v>
      </c>
    </row>
    <row r="5130" spans="1:17" x14ac:dyDescent="0.2">
      <c r="A5130" t="s">
        <v>4935</v>
      </c>
      <c r="B5130" t="s">
        <v>4894</v>
      </c>
      <c r="C5130">
        <v>5</v>
      </c>
      <c r="D5130" s="6" t="s">
        <v>4934</v>
      </c>
      <c r="E5130" s="8" t="s">
        <v>5081</v>
      </c>
      <c r="F5130" t="s">
        <v>6282</v>
      </c>
      <c r="G5130">
        <v>26</v>
      </c>
      <c r="Q5130" t="s">
        <v>7165</v>
      </c>
    </row>
    <row r="5131" spans="1:17" x14ac:dyDescent="0.2">
      <c r="A5131" t="s">
        <v>4935</v>
      </c>
      <c r="B5131" t="s">
        <v>4894</v>
      </c>
      <c r="C5131">
        <v>5</v>
      </c>
      <c r="D5131" s="6" t="s">
        <v>4934</v>
      </c>
      <c r="E5131" s="8" t="s">
        <v>5090</v>
      </c>
      <c r="F5131" t="s">
        <v>1425</v>
      </c>
      <c r="G5131">
        <v>3</v>
      </c>
      <c r="Q5131" t="s">
        <v>7164</v>
      </c>
    </row>
    <row r="5132" spans="1:17" x14ac:dyDescent="0.2">
      <c r="A5132" t="s">
        <v>4935</v>
      </c>
      <c r="B5132" t="s">
        <v>4894</v>
      </c>
      <c r="C5132">
        <v>5</v>
      </c>
      <c r="D5132" s="6" t="s">
        <v>4934</v>
      </c>
      <c r="E5132" s="8" t="s">
        <v>5091</v>
      </c>
      <c r="F5132" t="s">
        <v>1559</v>
      </c>
      <c r="G5132">
        <v>2</v>
      </c>
      <c r="Q5132" t="s">
        <v>7163</v>
      </c>
    </row>
    <row r="5133" spans="1:17" x14ac:dyDescent="0.2">
      <c r="A5133" t="s">
        <v>4935</v>
      </c>
      <c r="B5133" t="s">
        <v>4894</v>
      </c>
      <c r="C5133">
        <v>5</v>
      </c>
      <c r="D5133" s="6" t="s">
        <v>4934</v>
      </c>
      <c r="E5133" s="8" t="s">
        <v>5092</v>
      </c>
      <c r="F5133" t="s">
        <v>1559</v>
      </c>
      <c r="G5133">
        <v>1</v>
      </c>
      <c r="Q5133" t="s">
        <v>7162</v>
      </c>
    </row>
    <row r="5134" spans="1:17" x14ac:dyDescent="0.2">
      <c r="A5134" t="s">
        <v>4935</v>
      </c>
      <c r="B5134" t="s">
        <v>4894</v>
      </c>
      <c r="C5134">
        <v>5</v>
      </c>
      <c r="D5134" s="6" t="s">
        <v>4934</v>
      </c>
      <c r="E5134" s="8" t="s">
        <v>5094</v>
      </c>
      <c r="F5134" t="s">
        <v>1559</v>
      </c>
      <c r="G5134">
        <v>1</v>
      </c>
      <c r="Q5134" t="s">
        <v>7161</v>
      </c>
    </row>
    <row r="5135" spans="1:17" x14ac:dyDescent="0.2">
      <c r="A5135" t="s">
        <v>4935</v>
      </c>
      <c r="B5135" t="s">
        <v>4894</v>
      </c>
      <c r="C5135">
        <v>5</v>
      </c>
      <c r="D5135" s="6" t="s">
        <v>4934</v>
      </c>
      <c r="E5135" s="8" t="s">
        <v>5097</v>
      </c>
      <c r="F5135" t="s">
        <v>1559</v>
      </c>
      <c r="G5135">
        <v>1</v>
      </c>
      <c r="Q5135" t="s">
        <v>7160</v>
      </c>
    </row>
    <row r="5136" spans="1:17" x14ac:dyDescent="0.2">
      <c r="A5136" t="s">
        <v>4935</v>
      </c>
      <c r="B5136" t="s">
        <v>4894</v>
      </c>
      <c r="C5136">
        <v>5</v>
      </c>
      <c r="D5136" s="6" t="s">
        <v>4934</v>
      </c>
      <c r="E5136" s="8" t="s">
        <v>5098</v>
      </c>
      <c r="F5136" t="s">
        <v>1559</v>
      </c>
      <c r="G5136">
        <v>2</v>
      </c>
      <c r="Q5136" t="s">
        <v>7159</v>
      </c>
    </row>
    <row r="5137" spans="1:17" x14ac:dyDescent="0.2">
      <c r="A5137" t="s">
        <v>4935</v>
      </c>
      <c r="B5137" t="s">
        <v>4894</v>
      </c>
      <c r="C5137">
        <v>5</v>
      </c>
      <c r="D5137" s="6" t="s">
        <v>4934</v>
      </c>
      <c r="E5137" s="8" t="s">
        <v>5169</v>
      </c>
      <c r="F5137" t="s">
        <v>1311</v>
      </c>
      <c r="G5137">
        <v>3</v>
      </c>
      <c r="Q5137" t="s">
        <v>7158</v>
      </c>
    </row>
    <row r="5138" spans="1:17" x14ac:dyDescent="0.2">
      <c r="A5138" t="s">
        <v>4935</v>
      </c>
      <c r="B5138" t="s">
        <v>4894</v>
      </c>
      <c r="C5138">
        <v>5</v>
      </c>
      <c r="D5138" s="6" t="s">
        <v>4934</v>
      </c>
      <c r="E5138" s="8" t="s">
        <v>5168</v>
      </c>
      <c r="F5138" t="s">
        <v>5332</v>
      </c>
      <c r="G5138" t="s">
        <v>114</v>
      </c>
      <c r="Q5138" t="s">
        <v>7166</v>
      </c>
    </row>
    <row r="5139" spans="1:17" x14ac:dyDescent="0.2">
      <c r="A5139" t="s">
        <v>4935</v>
      </c>
      <c r="B5139" t="s">
        <v>4894</v>
      </c>
      <c r="C5139">
        <v>5</v>
      </c>
      <c r="D5139" s="6" t="s">
        <v>4934</v>
      </c>
      <c r="E5139" s="8" t="s">
        <v>5166</v>
      </c>
      <c r="F5139" t="s">
        <v>106</v>
      </c>
      <c r="G5139">
        <v>1</v>
      </c>
    </row>
    <row r="5140" spans="1:17" x14ac:dyDescent="0.2">
      <c r="A5140" t="s">
        <v>4935</v>
      </c>
      <c r="B5140" t="s">
        <v>4894</v>
      </c>
      <c r="C5140">
        <v>5</v>
      </c>
      <c r="D5140" s="6" t="s">
        <v>4934</v>
      </c>
      <c r="E5140" s="8" t="s">
        <v>5167</v>
      </c>
      <c r="F5140" t="s">
        <v>7057</v>
      </c>
      <c r="G5140" t="s">
        <v>114</v>
      </c>
      <c r="Q5140" t="s">
        <v>7167</v>
      </c>
    </row>
    <row r="5141" spans="1:17" x14ac:dyDescent="0.2">
      <c r="A5141" t="s">
        <v>4935</v>
      </c>
      <c r="B5141" t="s">
        <v>4894</v>
      </c>
      <c r="C5141">
        <v>5</v>
      </c>
      <c r="D5141" s="6" t="s">
        <v>4934</v>
      </c>
      <c r="E5141" s="8" t="s">
        <v>5140</v>
      </c>
      <c r="F5141" t="s">
        <v>3875</v>
      </c>
      <c r="G5141">
        <v>43</v>
      </c>
    </row>
    <row r="5142" spans="1:17" x14ac:dyDescent="0.2">
      <c r="A5142" t="s">
        <v>4935</v>
      </c>
      <c r="B5142" t="s">
        <v>4894</v>
      </c>
      <c r="C5142">
        <v>5</v>
      </c>
      <c r="D5142" s="6" t="s">
        <v>4934</v>
      </c>
      <c r="E5142" s="8" t="s">
        <v>5141</v>
      </c>
      <c r="F5142" t="s">
        <v>2836</v>
      </c>
      <c r="G5142">
        <v>12</v>
      </c>
      <c r="M5142">
        <v>9</v>
      </c>
    </row>
    <row r="5143" spans="1:17" x14ac:dyDescent="0.2">
      <c r="A5143" t="s">
        <v>4935</v>
      </c>
      <c r="B5143" t="s">
        <v>4894</v>
      </c>
      <c r="C5143">
        <v>5</v>
      </c>
      <c r="D5143" s="6" t="s">
        <v>4934</v>
      </c>
      <c r="E5143" s="8" t="s">
        <v>5170</v>
      </c>
      <c r="F5143" t="s">
        <v>3927</v>
      </c>
      <c r="G5143">
        <v>61</v>
      </c>
    </row>
    <row r="5144" spans="1:17" x14ac:dyDescent="0.2">
      <c r="A5144" t="s">
        <v>4935</v>
      </c>
      <c r="B5144" t="s">
        <v>4894</v>
      </c>
      <c r="C5144">
        <v>5</v>
      </c>
      <c r="D5144" s="6" t="s">
        <v>4934</v>
      </c>
      <c r="E5144" s="8" t="s">
        <v>5171</v>
      </c>
      <c r="F5144" t="s">
        <v>7138</v>
      </c>
      <c r="G5144">
        <v>9</v>
      </c>
      <c r="M5144">
        <v>9</v>
      </c>
      <c r="Q5144" t="s">
        <v>7168</v>
      </c>
    </row>
    <row r="5145" spans="1:17" x14ac:dyDescent="0.2">
      <c r="A5145" t="s">
        <v>4935</v>
      </c>
      <c r="B5145" t="s">
        <v>4894</v>
      </c>
      <c r="C5145">
        <v>5</v>
      </c>
      <c r="D5145" s="6" t="s">
        <v>4934</v>
      </c>
      <c r="E5145" s="8" t="s">
        <v>5142</v>
      </c>
      <c r="F5145" t="s">
        <v>3431</v>
      </c>
      <c r="G5145" t="s">
        <v>114</v>
      </c>
      <c r="M5145">
        <v>2</v>
      </c>
    </row>
    <row r="5146" spans="1:17" x14ac:dyDescent="0.2">
      <c r="A5146" t="s">
        <v>4935</v>
      </c>
      <c r="B5146" t="s">
        <v>4894</v>
      </c>
      <c r="C5146">
        <v>6</v>
      </c>
      <c r="D5146" s="6" t="s">
        <v>4934</v>
      </c>
      <c r="E5146" s="8" t="s">
        <v>5143</v>
      </c>
      <c r="F5146" t="s">
        <v>1264</v>
      </c>
      <c r="H5146">
        <f>2.814-0.424</f>
        <v>2.39</v>
      </c>
      <c r="O5146" t="s">
        <v>5336</v>
      </c>
      <c r="P5146" t="s">
        <v>5335</v>
      </c>
    </row>
    <row r="5147" spans="1:17" x14ac:dyDescent="0.2">
      <c r="A5147" t="s">
        <v>4935</v>
      </c>
      <c r="B5147" t="s">
        <v>4894</v>
      </c>
      <c r="C5147">
        <v>6</v>
      </c>
      <c r="D5147" s="6" t="s">
        <v>4934</v>
      </c>
      <c r="E5147" s="8" t="s">
        <v>5081</v>
      </c>
      <c r="F5147" t="s">
        <v>1538</v>
      </c>
      <c r="G5147">
        <v>18</v>
      </c>
      <c r="Q5147" t="s">
        <v>7186</v>
      </c>
    </row>
    <row r="5148" spans="1:17" x14ac:dyDescent="0.2">
      <c r="A5148" t="s">
        <v>4935</v>
      </c>
      <c r="B5148" t="s">
        <v>4894</v>
      </c>
      <c r="C5148">
        <v>6</v>
      </c>
      <c r="D5148" s="6" t="s">
        <v>4934</v>
      </c>
      <c r="E5148" s="8" t="s">
        <v>5082</v>
      </c>
      <c r="F5148" t="s">
        <v>1538</v>
      </c>
      <c r="G5148">
        <v>7</v>
      </c>
      <c r="Q5148" t="s">
        <v>7187</v>
      </c>
    </row>
    <row r="5149" spans="1:17" x14ac:dyDescent="0.2">
      <c r="A5149" t="s">
        <v>4935</v>
      </c>
      <c r="B5149" t="s">
        <v>4894</v>
      </c>
      <c r="C5149">
        <v>6</v>
      </c>
      <c r="D5149" s="6" t="s">
        <v>4934</v>
      </c>
      <c r="E5149" s="8" t="s">
        <v>5089</v>
      </c>
      <c r="F5149" t="s">
        <v>1538</v>
      </c>
      <c r="G5149">
        <v>1</v>
      </c>
      <c r="Q5149" t="s">
        <v>7188</v>
      </c>
    </row>
    <row r="5150" spans="1:17" x14ac:dyDescent="0.2">
      <c r="A5150" t="s">
        <v>4935</v>
      </c>
      <c r="B5150" t="s">
        <v>4894</v>
      </c>
      <c r="C5150">
        <v>6</v>
      </c>
      <c r="D5150" s="6" t="s">
        <v>4934</v>
      </c>
      <c r="E5150" s="8" t="s">
        <v>5090</v>
      </c>
      <c r="F5150" t="s">
        <v>1538</v>
      </c>
      <c r="G5150">
        <v>1</v>
      </c>
      <c r="Q5150" t="s">
        <v>7189</v>
      </c>
    </row>
    <row r="5151" spans="1:17" x14ac:dyDescent="0.2">
      <c r="A5151" t="s">
        <v>4935</v>
      </c>
      <c r="B5151" t="s">
        <v>4894</v>
      </c>
      <c r="C5151">
        <v>6</v>
      </c>
      <c r="D5151" s="6" t="s">
        <v>4934</v>
      </c>
      <c r="E5151" s="8" t="s">
        <v>5091</v>
      </c>
      <c r="F5151" t="s">
        <v>1538</v>
      </c>
      <c r="G5151">
        <v>1</v>
      </c>
      <c r="Q5151" t="s">
        <v>7190</v>
      </c>
    </row>
    <row r="5152" spans="1:17" x14ac:dyDescent="0.2">
      <c r="A5152" t="s">
        <v>4935</v>
      </c>
      <c r="B5152" t="s">
        <v>4894</v>
      </c>
      <c r="C5152">
        <v>6</v>
      </c>
      <c r="D5152" s="6" t="s">
        <v>4934</v>
      </c>
      <c r="E5152" s="8" t="s">
        <v>5092</v>
      </c>
      <c r="F5152" t="s">
        <v>1538</v>
      </c>
      <c r="G5152" t="s">
        <v>114</v>
      </c>
      <c r="Q5152" t="s">
        <v>7191</v>
      </c>
    </row>
    <row r="5153" spans="1:17" x14ac:dyDescent="0.2">
      <c r="A5153" t="s">
        <v>4935</v>
      </c>
      <c r="B5153" t="s">
        <v>4894</v>
      </c>
      <c r="C5153">
        <v>6</v>
      </c>
      <c r="D5153" s="6" t="s">
        <v>4934</v>
      </c>
      <c r="E5153" s="8" t="s">
        <v>5094</v>
      </c>
      <c r="F5153" t="s">
        <v>1538</v>
      </c>
      <c r="G5153">
        <v>1</v>
      </c>
      <c r="M5153">
        <v>3</v>
      </c>
    </row>
    <row r="5154" spans="1:17" x14ac:dyDescent="0.2">
      <c r="A5154" t="s">
        <v>4935</v>
      </c>
      <c r="B5154" t="s">
        <v>4894</v>
      </c>
      <c r="C5154">
        <v>6</v>
      </c>
      <c r="D5154" s="6" t="s">
        <v>4934</v>
      </c>
      <c r="E5154" s="8" t="s">
        <v>5097</v>
      </c>
      <c r="F5154" t="s">
        <v>6978</v>
      </c>
      <c r="G5154" t="s">
        <v>114</v>
      </c>
      <c r="Q5154" t="s">
        <v>7177</v>
      </c>
    </row>
    <row r="5155" spans="1:17" x14ac:dyDescent="0.2">
      <c r="A5155" t="s">
        <v>4935</v>
      </c>
      <c r="B5155" t="s">
        <v>4894</v>
      </c>
      <c r="C5155">
        <v>6</v>
      </c>
      <c r="D5155" s="6" t="s">
        <v>4934</v>
      </c>
      <c r="E5155" s="8" t="s">
        <v>5098</v>
      </c>
      <c r="F5155" t="s">
        <v>6978</v>
      </c>
      <c r="G5155" t="s">
        <v>114</v>
      </c>
      <c r="Q5155" t="s">
        <v>7176</v>
      </c>
    </row>
    <row r="5156" spans="1:17" x14ac:dyDescent="0.2">
      <c r="A5156" t="s">
        <v>4935</v>
      </c>
      <c r="B5156" t="s">
        <v>4894</v>
      </c>
      <c r="C5156">
        <v>6</v>
      </c>
      <c r="D5156" s="6" t="s">
        <v>4934</v>
      </c>
      <c r="E5156" s="8" t="s">
        <v>5166</v>
      </c>
      <c r="F5156" t="s">
        <v>6978</v>
      </c>
      <c r="G5156" t="s">
        <v>114</v>
      </c>
      <c r="Q5156" t="s">
        <v>7175</v>
      </c>
    </row>
    <row r="5157" spans="1:17" x14ac:dyDescent="0.2">
      <c r="A5157" t="s">
        <v>4935</v>
      </c>
      <c r="B5157" t="s">
        <v>4894</v>
      </c>
      <c r="C5157">
        <v>6</v>
      </c>
      <c r="D5157" s="6" t="s">
        <v>4934</v>
      </c>
      <c r="E5157" s="8" t="s">
        <v>5167</v>
      </c>
      <c r="F5157" t="s">
        <v>6862</v>
      </c>
      <c r="G5157">
        <v>2</v>
      </c>
      <c r="Q5157" t="s">
        <v>7174</v>
      </c>
    </row>
    <row r="5158" spans="1:17" x14ac:dyDescent="0.2">
      <c r="A5158" t="s">
        <v>4935</v>
      </c>
      <c r="B5158" t="s">
        <v>4894</v>
      </c>
      <c r="C5158">
        <v>6</v>
      </c>
      <c r="D5158" s="6" t="s">
        <v>4934</v>
      </c>
      <c r="E5158" s="8" t="s">
        <v>5168</v>
      </c>
      <c r="F5158" t="s">
        <v>6239</v>
      </c>
      <c r="G5158">
        <v>1</v>
      </c>
      <c r="Q5158" t="s">
        <v>7173</v>
      </c>
    </row>
    <row r="5159" spans="1:17" x14ac:dyDescent="0.2">
      <c r="A5159" t="s">
        <v>4935</v>
      </c>
      <c r="B5159" t="s">
        <v>4894</v>
      </c>
      <c r="C5159">
        <v>6</v>
      </c>
      <c r="D5159" s="6" t="s">
        <v>4934</v>
      </c>
      <c r="E5159" s="8" t="s">
        <v>5141</v>
      </c>
      <c r="F5159" t="s">
        <v>6239</v>
      </c>
      <c r="G5159">
        <v>1</v>
      </c>
      <c r="Q5159" t="s">
        <v>7172</v>
      </c>
    </row>
    <row r="5160" spans="1:17" x14ac:dyDescent="0.2">
      <c r="A5160" t="s">
        <v>4935</v>
      </c>
      <c r="B5160" t="s">
        <v>4894</v>
      </c>
      <c r="C5160">
        <v>6</v>
      </c>
      <c r="D5160" s="6" t="s">
        <v>4934</v>
      </c>
      <c r="E5160" s="8" t="s">
        <v>5170</v>
      </c>
      <c r="F5160" t="s">
        <v>6239</v>
      </c>
      <c r="G5160" t="s">
        <v>114</v>
      </c>
      <c r="Q5160" t="s">
        <v>7171</v>
      </c>
    </row>
    <row r="5161" spans="1:17" x14ac:dyDescent="0.2">
      <c r="A5161" t="s">
        <v>4935</v>
      </c>
      <c r="B5161" t="s">
        <v>4894</v>
      </c>
      <c r="C5161">
        <v>6</v>
      </c>
      <c r="D5161" s="6" t="s">
        <v>4934</v>
      </c>
      <c r="E5161" s="8" t="s">
        <v>5169</v>
      </c>
      <c r="F5161" t="s">
        <v>6239</v>
      </c>
      <c r="G5161">
        <v>1</v>
      </c>
      <c r="Q5161" t="s">
        <v>7169</v>
      </c>
    </row>
    <row r="5162" spans="1:17" x14ac:dyDescent="0.2">
      <c r="A5162" t="s">
        <v>4935</v>
      </c>
      <c r="B5162" t="s">
        <v>4894</v>
      </c>
      <c r="C5162">
        <v>6</v>
      </c>
      <c r="D5162" s="6" t="s">
        <v>4934</v>
      </c>
      <c r="E5162" s="8" t="s">
        <v>5140</v>
      </c>
      <c r="F5162" t="s">
        <v>6239</v>
      </c>
      <c r="G5162">
        <v>1</v>
      </c>
      <c r="Q5162" t="s">
        <v>7170</v>
      </c>
    </row>
    <row r="5163" spans="1:17" x14ac:dyDescent="0.2">
      <c r="A5163" t="s">
        <v>4935</v>
      </c>
      <c r="B5163" t="s">
        <v>4894</v>
      </c>
      <c r="C5163">
        <v>6</v>
      </c>
      <c r="D5163" s="6" t="s">
        <v>4934</v>
      </c>
      <c r="E5163" s="8" t="s">
        <v>5142</v>
      </c>
      <c r="F5163" t="s">
        <v>6239</v>
      </c>
      <c r="G5163">
        <v>5</v>
      </c>
      <c r="M5163">
        <v>5</v>
      </c>
    </row>
    <row r="5164" spans="1:17" x14ac:dyDescent="0.2">
      <c r="A5164" t="s">
        <v>4935</v>
      </c>
      <c r="B5164" t="s">
        <v>4894</v>
      </c>
      <c r="C5164">
        <v>6</v>
      </c>
      <c r="D5164" s="6" t="s">
        <v>4934</v>
      </c>
      <c r="E5164" s="8" t="s">
        <v>5143</v>
      </c>
      <c r="F5164" t="s">
        <v>1425</v>
      </c>
      <c r="G5164">
        <v>4</v>
      </c>
      <c r="Q5164" t="s">
        <v>7185</v>
      </c>
    </row>
    <row r="5165" spans="1:17" x14ac:dyDescent="0.2">
      <c r="A5165" t="s">
        <v>4935</v>
      </c>
      <c r="B5165" t="s">
        <v>4894</v>
      </c>
      <c r="C5165">
        <v>6</v>
      </c>
      <c r="D5165" s="6" t="s">
        <v>4934</v>
      </c>
      <c r="E5165" s="8" t="s">
        <v>5144</v>
      </c>
      <c r="F5165" t="s">
        <v>1425</v>
      </c>
      <c r="G5165">
        <v>3</v>
      </c>
      <c r="Q5165" t="s">
        <v>7184</v>
      </c>
    </row>
    <row r="5166" spans="1:17" x14ac:dyDescent="0.2">
      <c r="A5166" t="s">
        <v>4935</v>
      </c>
      <c r="B5166" t="s">
        <v>4894</v>
      </c>
      <c r="C5166">
        <v>6</v>
      </c>
      <c r="D5166" s="6" t="s">
        <v>4934</v>
      </c>
      <c r="E5166" s="8" t="s">
        <v>5145</v>
      </c>
      <c r="F5166" t="s">
        <v>1389</v>
      </c>
      <c r="G5166">
        <v>2</v>
      </c>
      <c r="Q5166" t="s">
        <v>7179</v>
      </c>
    </row>
    <row r="5167" spans="1:17" x14ac:dyDescent="0.2">
      <c r="A5167" t="s">
        <v>4935</v>
      </c>
      <c r="B5167" t="s">
        <v>4894</v>
      </c>
      <c r="C5167">
        <v>6</v>
      </c>
      <c r="D5167" s="6" t="s">
        <v>4934</v>
      </c>
      <c r="E5167" s="8" t="s">
        <v>5147</v>
      </c>
      <c r="F5167" t="s">
        <v>1389</v>
      </c>
      <c r="G5167" t="s">
        <v>114</v>
      </c>
      <c r="M5167">
        <v>3</v>
      </c>
      <c r="Q5167" t="s">
        <v>7181</v>
      </c>
    </row>
    <row r="5168" spans="1:17" x14ac:dyDescent="0.2">
      <c r="A5168" t="s">
        <v>4935</v>
      </c>
      <c r="B5168" t="s">
        <v>4894</v>
      </c>
      <c r="C5168">
        <v>6</v>
      </c>
      <c r="D5168" s="6" t="s">
        <v>4934</v>
      </c>
      <c r="E5168" s="8" t="s">
        <v>5146</v>
      </c>
      <c r="F5168" t="s">
        <v>5332</v>
      </c>
      <c r="G5168" t="s">
        <v>114</v>
      </c>
      <c r="Q5168" t="s">
        <v>7182</v>
      </c>
    </row>
    <row r="5169" spans="1:17" x14ac:dyDescent="0.2">
      <c r="A5169" t="s">
        <v>4935</v>
      </c>
      <c r="B5169" t="s">
        <v>4894</v>
      </c>
      <c r="C5169">
        <v>6</v>
      </c>
      <c r="D5169" s="6" t="s">
        <v>4934</v>
      </c>
      <c r="E5169" s="8" t="s">
        <v>5150</v>
      </c>
      <c r="F5169" t="s">
        <v>1559</v>
      </c>
      <c r="G5169">
        <v>1</v>
      </c>
    </row>
    <row r="5170" spans="1:17" x14ac:dyDescent="0.2">
      <c r="A5170" t="s">
        <v>4935</v>
      </c>
      <c r="B5170" t="s">
        <v>4894</v>
      </c>
      <c r="C5170">
        <v>6</v>
      </c>
      <c r="D5170" s="6" t="s">
        <v>4934</v>
      </c>
      <c r="E5170" s="8" t="s">
        <v>5148</v>
      </c>
      <c r="F5170" t="s">
        <v>1559</v>
      </c>
      <c r="G5170">
        <v>1</v>
      </c>
      <c r="Q5170" t="s">
        <v>7180</v>
      </c>
    </row>
    <row r="5171" spans="1:17" x14ac:dyDescent="0.2">
      <c r="A5171" t="s">
        <v>4935</v>
      </c>
      <c r="B5171" t="s">
        <v>4894</v>
      </c>
      <c r="C5171">
        <v>6</v>
      </c>
      <c r="D5171" s="6" t="s">
        <v>4934</v>
      </c>
      <c r="E5171" s="8" t="s">
        <v>5149</v>
      </c>
      <c r="F5171" t="s">
        <v>1559</v>
      </c>
      <c r="G5171">
        <v>1</v>
      </c>
      <c r="Q5171" t="s">
        <v>7183</v>
      </c>
    </row>
    <row r="5172" spans="1:17" x14ac:dyDescent="0.2">
      <c r="A5172" t="s">
        <v>4935</v>
      </c>
      <c r="B5172" t="s">
        <v>4894</v>
      </c>
      <c r="C5172">
        <v>6</v>
      </c>
      <c r="D5172" s="6" t="s">
        <v>4934</v>
      </c>
      <c r="E5172" s="8" t="s">
        <v>5171</v>
      </c>
      <c r="F5172" t="s">
        <v>6862</v>
      </c>
      <c r="G5172">
        <v>1</v>
      </c>
      <c r="Q5172" t="s">
        <v>7178</v>
      </c>
    </row>
    <row r="5173" spans="1:17" x14ac:dyDescent="0.2">
      <c r="A5173" t="s">
        <v>4935</v>
      </c>
      <c r="B5173" t="s">
        <v>4894</v>
      </c>
      <c r="C5173">
        <v>6</v>
      </c>
      <c r="D5173" s="6" t="s">
        <v>4934</v>
      </c>
      <c r="E5173" t="s">
        <v>5056</v>
      </c>
      <c r="F5173" t="s">
        <v>4973</v>
      </c>
      <c r="G5173">
        <v>7</v>
      </c>
      <c r="M5173">
        <v>5</v>
      </c>
    </row>
    <row r="5174" spans="1:17" x14ac:dyDescent="0.2">
      <c r="A5174" t="s">
        <v>4935</v>
      </c>
      <c r="B5174" t="s">
        <v>4894</v>
      </c>
      <c r="C5174">
        <v>6</v>
      </c>
      <c r="D5174" s="6" t="s">
        <v>4934</v>
      </c>
      <c r="E5174" s="8" t="s">
        <v>5154</v>
      </c>
      <c r="F5174" t="s">
        <v>2218</v>
      </c>
      <c r="G5174">
        <v>13</v>
      </c>
    </row>
    <row r="5175" spans="1:17" x14ac:dyDescent="0.2">
      <c r="A5175" t="s">
        <v>4935</v>
      </c>
      <c r="B5175" t="s">
        <v>4894</v>
      </c>
      <c r="C5175">
        <v>6</v>
      </c>
      <c r="D5175" s="6" t="s">
        <v>4934</v>
      </c>
      <c r="E5175" s="8" t="s">
        <v>5152</v>
      </c>
      <c r="F5175" t="s">
        <v>3927</v>
      </c>
      <c r="G5175">
        <v>20</v>
      </c>
    </row>
    <row r="5176" spans="1:17" x14ac:dyDescent="0.2">
      <c r="A5176" t="s">
        <v>4935</v>
      </c>
      <c r="B5176" t="s">
        <v>4894</v>
      </c>
      <c r="C5176">
        <v>6</v>
      </c>
      <c r="D5176" s="6" t="s">
        <v>4934</v>
      </c>
      <c r="E5176" s="8" t="s">
        <v>5156</v>
      </c>
      <c r="F5176" t="s">
        <v>3431</v>
      </c>
      <c r="G5176">
        <v>4</v>
      </c>
    </row>
    <row r="5177" spans="1:17" x14ac:dyDescent="0.2">
      <c r="A5177" t="s">
        <v>4935</v>
      </c>
      <c r="B5177" t="s">
        <v>4894</v>
      </c>
      <c r="C5177">
        <v>6</v>
      </c>
      <c r="D5177" s="6" t="s">
        <v>4934</v>
      </c>
      <c r="E5177" s="8" t="s">
        <v>5153</v>
      </c>
      <c r="F5177" t="s">
        <v>112</v>
      </c>
      <c r="G5177">
        <v>14</v>
      </c>
      <c r="M5177">
        <v>5</v>
      </c>
      <c r="O5177" t="s">
        <v>5337</v>
      </c>
    </row>
    <row r="5178" spans="1:17" x14ac:dyDescent="0.2">
      <c r="A5178" t="s">
        <v>4935</v>
      </c>
      <c r="B5178" t="s">
        <v>4894</v>
      </c>
      <c r="C5178">
        <v>6</v>
      </c>
      <c r="D5178" s="6" t="s">
        <v>4934</v>
      </c>
      <c r="E5178" s="8" t="s">
        <v>5156</v>
      </c>
      <c r="F5178" t="s">
        <v>5338</v>
      </c>
      <c r="G5178">
        <v>7</v>
      </c>
      <c r="O5178" t="s">
        <v>5344</v>
      </c>
    </row>
    <row r="5179" spans="1:17" x14ac:dyDescent="0.2">
      <c r="A5179" t="s">
        <v>4935</v>
      </c>
      <c r="B5179" t="s">
        <v>4894</v>
      </c>
      <c r="C5179">
        <v>6</v>
      </c>
      <c r="D5179" s="6" t="s">
        <v>4934</v>
      </c>
      <c r="E5179" s="8" t="s">
        <v>5155</v>
      </c>
      <c r="F5179" t="s">
        <v>5339</v>
      </c>
      <c r="G5179">
        <v>17</v>
      </c>
    </row>
    <row r="5180" spans="1:17" x14ac:dyDescent="0.2">
      <c r="A5180" t="s">
        <v>4935</v>
      </c>
      <c r="B5180" t="s">
        <v>4894</v>
      </c>
      <c r="C5180">
        <v>6</v>
      </c>
      <c r="D5180" s="6" t="s">
        <v>4934</v>
      </c>
      <c r="E5180" s="8" t="s">
        <v>5151</v>
      </c>
      <c r="F5180" t="s">
        <v>2836</v>
      </c>
      <c r="G5180">
        <v>85</v>
      </c>
    </row>
    <row r="5181" spans="1:17" x14ac:dyDescent="0.2">
      <c r="A5181" t="s">
        <v>4935</v>
      </c>
      <c r="B5181" t="s">
        <v>4894</v>
      </c>
      <c r="C5181">
        <v>6</v>
      </c>
      <c r="D5181" s="6" t="s">
        <v>4934</v>
      </c>
      <c r="E5181" s="8" t="s">
        <v>5157</v>
      </c>
      <c r="F5181" t="s">
        <v>1264</v>
      </c>
      <c r="G5181">
        <f>0.906-0.295</f>
        <v>0.61099999999999999</v>
      </c>
      <c r="O5181" t="s">
        <v>5343</v>
      </c>
    </row>
    <row r="5182" spans="1:17" x14ac:dyDescent="0.2">
      <c r="A5182" t="s">
        <v>4935</v>
      </c>
      <c r="B5182" t="s">
        <v>4894</v>
      </c>
      <c r="C5182">
        <v>1</v>
      </c>
      <c r="D5182" s="6" t="s">
        <v>4934</v>
      </c>
      <c r="E5182" t="s">
        <v>5056</v>
      </c>
      <c r="F5182" t="s">
        <v>1264</v>
      </c>
      <c r="H5182">
        <f>7.6-0.345</f>
        <v>7.2549999999999999</v>
      </c>
    </row>
    <row r="5183" spans="1:17" x14ac:dyDescent="0.2">
      <c r="A5183" t="s">
        <v>4935</v>
      </c>
      <c r="B5183" t="s">
        <v>4894</v>
      </c>
      <c r="C5183">
        <v>1</v>
      </c>
      <c r="D5183" s="6" t="s">
        <v>4934</v>
      </c>
      <c r="E5183" s="8" t="s">
        <v>5081</v>
      </c>
      <c r="F5183" t="s">
        <v>1260</v>
      </c>
      <c r="H5183">
        <f>2.8-0.344+0.015</f>
        <v>2.4710000000000001</v>
      </c>
    </row>
    <row r="5184" spans="1:17" x14ac:dyDescent="0.2">
      <c r="A5184" t="s">
        <v>4935</v>
      </c>
      <c r="B5184" t="s">
        <v>4894</v>
      </c>
      <c r="C5184">
        <v>1</v>
      </c>
      <c r="D5184" s="6" t="s">
        <v>4934</v>
      </c>
      <c r="E5184" t="s">
        <v>5056</v>
      </c>
      <c r="F5184" t="s">
        <v>504</v>
      </c>
      <c r="G5184">
        <v>101</v>
      </c>
    </row>
    <row r="5185" spans="1:17" x14ac:dyDescent="0.2">
      <c r="A5185" t="s">
        <v>4935</v>
      </c>
      <c r="B5185" t="s">
        <v>4894</v>
      </c>
      <c r="C5185">
        <v>1</v>
      </c>
      <c r="D5185" s="6" t="s">
        <v>4934</v>
      </c>
      <c r="E5185" s="8" t="s">
        <v>5091</v>
      </c>
      <c r="F5185" t="s">
        <v>3927</v>
      </c>
      <c r="G5185">
        <v>22</v>
      </c>
    </row>
    <row r="5186" spans="1:17" x14ac:dyDescent="0.2">
      <c r="A5186" t="s">
        <v>4935</v>
      </c>
      <c r="B5186" t="s">
        <v>4894</v>
      </c>
      <c r="C5186">
        <v>1</v>
      </c>
      <c r="D5186" s="6" t="s">
        <v>4934</v>
      </c>
      <c r="E5186" s="8" t="s">
        <v>5089</v>
      </c>
      <c r="F5186" t="s">
        <v>2836</v>
      </c>
      <c r="G5186">
        <v>13</v>
      </c>
    </row>
    <row r="5187" spans="1:17" x14ac:dyDescent="0.2">
      <c r="A5187" t="s">
        <v>4935</v>
      </c>
      <c r="B5187" t="s">
        <v>4894</v>
      </c>
      <c r="C5187">
        <v>1</v>
      </c>
      <c r="D5187" s="6" t="s">
        <v>4934</v>
      </c>
      <c r="E5187" s="8" t="s">
        <v>5090</v>
      </c>
      <c r="F5187" t="s">
        <v>5340</v>
      </c>
      <c r="G5187">
        <v>134</v>
      </c>
    </row>
    <row r="5188" spans="1:17" x14ac:dyDescent="0.2">
      <c r="A5188" t="s">
        <v>4935</v>
      </c>
      <c r="B5188" t="s">
        <v>4894</v>
      </c>
      <c r="C5188" t="s">
        <v>462</v>
      </c>
      <c r="D5188" s="6" t="s">
        <v>4934</v>
      </c>
      <c r="E5188" t="s">
        <v>462</v>
      </c>
      <c r="F5188" t="s">
        <v>5342</v>
      </c>
      <c r="H5188">
        <v>1.08</v>
      </c>
      <c r="O5188" t="s">
        <v>5341</v>
      </c>
    </row>
    <row r="5189" spans="1:17" x14ac:dyDescent="0.2">
      <c r="A5189" t="s">
        <v>4942</v>
      </c>
      <c r="B5189" t="s">
        <v>4895</v>
      </c>
      <c r="C5189">
        <v>2</v>
      </c>
      <c r="D5189" s="6" t="s">
        <v>4934</v>
      </c>
      <c r="E5189" s="8" t="s">
        <v>5081</v>
      </c>
      <c r="F5189" t="s">
        <v>5345</v>
      </c>
      <c r="H5189">
        <f>24.8-1.8</f>
        <v>23</v>
      </c>
      <c r="O5189" t="s">
        <v>5181</v>
      </c>
    </row>
    <row r="5190" spans="1:17" x14ac:dyDescent="0.2">
      <c r="A5190" t="s">
        <v>4942</v>
      </c>
      <c r="B5190" t="s">
        <v>4895</v>
      </c>
      <c r="C5190">
        <v>2</v>
      </c>
      <c r="D5190" s="6" t="s">
        <v>4934</v>
      </c>
      <c r="E5190" s="8" t="s">
        <v>5082</v>
      </c>
      <c r="F5190" t="s">
        <v>7192</v>
      </c>
      <c r="G5190">
        <v>284</v>
      </c>
      <c r="I5190">
        <v>270</v>
      </c>
      <c r="J5190">
        <v>253</v>
      </c>
      <c r="K5190">
        <v>225</v>
      </c>
      <c r="O5190" t="s">
        <v>7193</v>
      </c>
      <c r="Q5190" t="s">
        <v>7194</v>
      </c>
    </row>
    <row r="5191" spans="1:17" x14ac:dyDescent="0.2">
      <c r="A5191" t="s">
        <v>4942</v>
      </c>
      <c r="B5191" t="s">
        <v>4895</v>
      </c>
      <c r="C5191">
        <v>2</v>
      </c>
      <c r="D5191" s="6" t="s">
        <v>4934</v>
      </c>
      <c r="E5191" s="8" t="s">
        <v>5089</v>
      </c>
      <c r="F5191" t="s">
        <v>6882</v>
      </c>
      <c r="G5191">
        <v>16</v>
      </c>
      <c r="Q5191" t="s">
        <v>7200</v>
      </c>
    </row>
    <row r="5192" spans="1:17" x14ac:dyDescent="0.2">
      <c r="A5192" t="s">
        <v>4942</v>
      </c>
      <c r="B5192" t="s">
        <v>4895</v>
      </c>
      <c r="C5192">
        <v>2</v>
      </c>
      <c r="D5192" s="6" t="s">
        <v>4934</v>
      </c>
      <c r="E5192" s="8" t="s">
        <v>5090</v>
      </c>
      <c r="F5192" t="s">
        <v>5286</v>
      </c>
      <c r="G5192">
        <v>28</v>
      </c>
      <c r="Q5192" t="s">
        <v>7199</v>
      </c>
    </row>
    <row r="5193" spans="1:17" x14ac:dyDescent="0.2">
      <c r="A5193" t="s">
        <v>4942</v>
      </c>
      <c r="B5193" t="s">
        <v>4895</v>
      </c>
      <c r="C5193">
        <v>2</v>
      </c>
      <c r="D5193" s="6" t="s">
        <v>4934</v>
      </c>
      <c r="E5193" s="8" t="s">
        <v>5091</v>
      </c>
      <c r="F5193" t="s">
        <v>5286</v>
      </c>
      <c r="G5193">
        <v>15</v>
      </c>
      <c r="Q5193" t="s">
        <v>7197</v>
      </c>
    </row>
    <row r="5194" spans="1:17" x14ac:dyDescent="0.2">
      <c r="A5194" t="s">
        <v>4942</v>
      </c>
      <c r="B5194" t="s">
        <v>4895</v>
      </c>
      <c r="C5194">
        <v>2</v>
      </c>
      <c r="D5194" s="6" t="s">
        <v>4934</v>
      </c>
      <c r="E5194" s="8" t="s">
        <v>5092</v>
      </c>
      <c r="F5194" t="s">
        <v>5286</v>
      </c>
      <c r="G5194">
        <v>17</v>
      </c>
      <c r="Q5194" t="s">
        <v>7196</v>
      </c>
    </row>
    <row r="5195" spans="1:17" x14ac:dyDescent="0.2">
      <c r="A5195" t="s">
        <v>4942</v>
      </c>
      <c r="B5195" t="s">
        <v>4895</v>
      </c>
      <c r="C5195">
        <v>2</v>
      </c>
      <c r="D5195" s="6" t="s">
        <v>4934</v>
      </c>
      <c r="E5195" s="8" t="s">
        <v>5094</v>
      </c>
      <c r="F5195" t="s">
        <v>5286</v>
      </c>
      <c r="G5195">
        <v>39</v>
      </c>
      <c r="Q5195" t="s">
        <v>7198</v>
      </c>
    </row>
    <row r="5196" spans="1:17" x14ac:dyDescent="0.2">
      <c r="A5196" t="s">
        <v>4942</v>
      </c>
      <c r="B5196" t="s">
        <v>4895</v>
      </c>
      <c r="C5196">
        <v>2</v>
      </c>
      <c r="D5196" s="6" t="s">
        <v>4934</v>
      </c>
      <c r="E5196" s="8" t="s">
        <v>5097</v>
      </c>
      <c r="F5196" t="s">
        <v>5286</v>
      </c>
      <c r="G5196">
        <v>49</v>
      </c>
      <c r="Q5196" t="s">
        <v>7195</v>
      </c>
    </row>
    <row r="5197" spans="1:17" x14ac:dyDescent="0.2">
      <c r="A5197" t="s">
        <v>4942</v>
      </c>
      <c r="B5197" t="s">
        <v>4895</v>
      </c>
      <c r="C5197">
        <v>2</v>
      </c>
      <c r="D5197" s="6" t="s">
        <v>4934</v>
      </c>
      <c r="E5197" s="8" t="s">
        <v>5098</v>
      </c>
      <c r="F5197" t="s">
        <v>5347</v>
      </c>
      <c r="G5197">
        <f>695-295+28</f>
        <v>428</v>
      </c>
    </row>
    <row r="5198" spans="1:17" x14ac:dyDescent="0.2">
      <c r="A5198" t="s">
        <v>4942</v>
      </c>
      <c r="B5198" t="s">
        <v>4895</v>
      </c>
      <c r="C5198">
        <v>2</v>
      </c>
      <c r="D5198" s="6" t="s">
        <v>4934</v>
      </c>
      <c r="E5198" s="8" t="s">
        <v>5166</v>
      </c>
      <c r="F5198" t="s">
        <v>5869</v>
      </c>
      <c r="G5198">
        <v>36</v>
      </c>
      <c r="I5198">
        <v>337</v>
      </c>
      <c r="K5198">
        <v>312</v>
      </c>
      <c r="Q5198" t="s">
        <v>5891</v>
      </c>
    </row>
    <row r="5199" spans="1:17" x14ac:dyDescent="0.2">
      <c r="A5199" t="s">
        <v>4942</v>
      </c>
      <c r="B5199" t="s">
        <v>4895</v>
      </c>
      <c r="C5199">
        <v>2</v>
      </c>
      <c r="D5199" s="6" t="s">
        <v>4934</v>
      </c>
      <c r="E5199" s="8" t="s">
        <v>5167</v>
      </c>
      <c r="F5199" t="s">
        <v>10600</v>
      </c>
      <c r="G5199">
        <v>16</v>
      </c>
      <c r="Q5199" t="s">
        <v>7204</v>
      </c>
    </row>
    <row r="5200" spans="1:17" x14ac:dyDescent="0.2">
      <c r="A5200" t="s">
        <v>4942</v>
      </c>
      <c r="B5200" t="s">
        <v>4895</v>
      </c>
      <c r="C5200">
        <v>2</v>
      </c>
      <c r="D5200" s="6" t="s">
        <v>4934</v>
      </c>
      <c r="E5200" s="8" t="s">
        <v>5168</v>
      </c>
      <c r="F5200" t="s">
        <v>10600</v>
      </c>
      <c r="G5200">
        <v>27</v>
      </c>
      <c r="Q5200" t="s">
        <v>7203</v>
      </c>
    </row>
    <row r="5201" spans="1:17" x14ac:dyDescent="0.2">
      <c r="A5201" t="s">
        <v>4942</v>
      </c>
      <c r="B5201" t="s">
        <v>4895</v>
      </c>
      <c r="C5201">
        <v>2</v>
      </c>
      <c r="D5201" s="6" t="s">
        <v>4934</v>
      </c>
      <c r="E5201" s="8" t="s">
        <v>5169</v>
      </c>
      <c r="F5201" t="s">
        <v>10600</v>
      </c>
      <c r="G5201">
        <v>20</v>
      </c>
      <c r="Q5201" t="s">
        <v>7202</v>
      </c>
    </row>
    <row r="5202" spans="1:17" x14ac:dyDescent="0.2">
      <c r="A5202" t="s">
        <v>4942</v>
      </c>
      <c r="B5202" t="s">
        <v>4895</v>
      </c>
      <c r="C5202">
        <v>2</v>
      </c>
      <c r="D5202" s="6" t="s">
        <v>4934</v>
      </c>
      <c r="E5202" s="8" t="s">
        <v>5170</v>
      </c>
      <c r="F5202" t="s">
        <v>10600</v>
      </c>
      <c r="G5202">
        <v>19</v>
      </c>
      <c r="Q5202" t="s">
        <v>7201</v>
      </c>
    </row>
    <row r="5203" spans="1:17" x14ac:dyDescent="0.2">
      <c r="A5203" t="s">
        <v>4942</v>
      </c>
      <c r="B5203" t="s">
        <v>4895</v>
      </c>
      <c r="C5203">
        <v>2</v>
      </c>
      <c r="D5203" s="6" t="s">
        <v>4934</v>
      </c>
      <c r="E5203" s="8" t="s">
        <v>5171</v>
      </c>
      <c r="F5203" t="s">
        <v>5349</v>
      </c>
      <c r="G5203">
        <v>97</v>
      </c>
    </row>
    <row r="5204" spans="1:17" x14ac:dyDescent="0.2">
      <c r="A5204" t="s">
        <v>4942</v>
      </c>
      <c r="B5204" t="s">
        <v>4895</v>
      </c>
      <c r="C5204">
        <v>2</v>
      </c>
      <c r="D5204" s="6" t="s">
        <v>4934</v>
      </c>
      <c r="E5204" s="8" t="s">
        <v>5140</v>
      </c>
      <c r="F5204" t="s">
        <v>7148</v>
      </c>
      <c r="G5204">
        <v>30</v>
      </c>
      <c r="Q5204" t="s">
        <v>7205</v>
      </c>
    </row>
    <row r="5205" spans="1:17" x14ac:dyDescent="0.2">
      <c r="A5205" t="s">
        <v>4942</v>
      </c>
      <c r="B5205" t="s">
        <v>4895</v>
      </c>
      <c r="C5205">
        <v>2</v>
      </c>
      <c r="D5205" s="6" t="s">
        <v>4934</v>
      </c>
      <c r="E5205" s="8" t="s">
        <v>5141</v>
      </c>
      <c r="F5205" t="s">
        <v>6231</v>
      </c>
      <c r="G5205">
        <v>12</v>
      </c>
      <c r="Q5205" t="s">
        <v>7206</v>
      </c>
    </row>
    <row r="5206" spans="1:17" x14ac:dyDescent="0.2">
      <c r="A5206" t="s">
        <v>4942</v>
      </c>
      <c r="B5206" t="s">
        <v>4895</v>
      </c>
      <c r="C5206">
        <v>2</v>
      </c>
      <c r="D5206" s="6" t="s">
        <v>4934</v>
      </c>
      <c r="E5206" s="8" t="s">
        <v>5142</v>
      </c>
      <c r="F5206" t="s">
        <v>6231</v>
      </c>
      <c r="G5206">
        <v>21</v>
      </c>
      <c r="Q5206" t="s">
        <v>7207</v>
      </c>
    </row>
    <row r="5207" spans="1:17" x14ac:dyDescent="0.2">
      <c r="A5207" t="s">
        <v>4942</v>
      </c>
      <c r="B5207" t="s">
        <v>4895</v>
      </c>
      <c r="C5207">
        <v>2</v>
      </c>
      <c r="D5207" s="6" t="s">
        <v>4934</v>
      </c>
      <c r="E5207" s="8" t="s">
        <v>5143</v>
      </c>
      <c r="F5207" t="s">
        <v>7148</v>
      </c>
      <c r="G5207">
        <v>13</v>
      </c>
      <c r="Q5207" t="s">
        <v>7208</v>
      </c>
    </row>
    <row r="5208" spans="1:17" x14ac:dyDescent="0.2">
      <c r="A5208" t="s">
        <v>4942</v>
      </c>
      <c r="B5208" t="s">
        <v>4895</v>
      </c>
      <c r="C5208">
        <v>2</v>
      </c>
      <c r="D5208" s="6" t="s">
        <v>4934</v>
      </c>
      <c r="E5208" s="8" t="s">
        <v>5144</v>
      </c>
      <c r="F5208" t="s">
        <v>5286</v>
      </c>
      <c r="G5208">
        <v>13</v>
      </c>
      <c r="Q5208" t="s">
        <v>7209</v>
      </c>
    </row>
    <row r="5209" spans="1:17" x14ac:dyDescent="0.2">
      <c r="A5209" t="s">
        <v>4942</v>
      </c>
      <c r="B5209" t="s">
        <v>4895</v>
      </c>
      <c r="C5209">
        <v>2</v>
      </c>
      <c r="D5209" s="6" t="s">
        <v>4934</v>
      </c>
      <c r="E5209" s="8" t="s">
        <v>5157</v>
      </c>
      <c r="F5209" t="s">
        <v>6283</v>
      </c>
      <c r="G5209">
        <v>4</v>
      </c>
      <c r="Q5209" t="s">
        <v>7213</v>
      </c>
    </row>
    <row r="5210" spans="1:17" x14ac:dyDescent="0.2">
      <c r="A5210" t="s">
        <v>4942</v>
      </c>
      <c r="B5210" t="s">
        <v>4895</v>
      </c>
      <c r="C5210">
        <v>2</v>
      </c>
      <c r="D5210" s="6" t="s">
        <v>4934</v>
      </c>
      <c r="E5210" s="8" t="s">
        <v>5158</v>
      </c>
      <c r="F5210" t="s">
        <v>6283</v>
      </c>
      <c r="G5210">
        <v>7</v>
      </c>
      <c r="Q5210" t="s">
        <v>7212</v>
      </c>
    </row>
    <row r="5211" spans="1:17" x14ac:dyDescent="0.2">
      <c r="A5211" t="s">
        <v>4942</v>
      </c>
      <c r="B5211" t="s">
        <v>4895</v>
      </c>
      <c r="C5211">
        <v>2</v>
      </c>
      <c r="D5211" s="6" t="s">
        <v>4934</v>
      </c>
      <c r="E5211" s="8" t="s">
        <v>5172</v>
      </c>
      <c r="F5211" t="s">
        <v>6283</v>
      </c>
      <c r="G5211">
        <v>4</v>
      </c>
      <c r="Q5211" t="s">
        <v>7211</v>
      </c>
    </row>
    <row r="5212" spans="1:17" x14ac:dyDescent="0.2">
      <c r="A5212" t="s">
        <v>4942</v>
      </c>
      <c r="B5212" t="s">
        <v>4895</v>
      </c>
      <c r="C5212">
        <v>2</v>
      </c>
      <c r="D5212" s="6" t="s">
        <v>4934</v>
      </c>
      <c r="E5212" s="8" t="s">
        <v>5173</v>
      </c>
      <c r="F5212" t="s">
        <v>6283</v>
      </c>
      <c r="G5212">
        <v>11</v>
      </c>
      <c r="Q5212" t="s">
        <v>7210</v>
      </c>
    </row>
    <row r="5213" spans="1:17" x14ac:dyDescent="0.2">
      <c r="A5213" t="s">
        <v>4942</v>
      </c>
      <c r="B5213" t="s">
        <v>4895</v>
      </c>
      <c r="C5213">
        <v>2</v>
      </c>
      <c r="D5213" s="6" t="s">
        <v>4934</v>
      </c>
      <c r="E5213" s="8" t="s">
        <v>5174</v>
      </c>
      <c r="F5213" t="s">
        <v>6283</v>
      </c>
      <c r="G5213">
        <v>1</v>
      </c>
      <c r="Q5213" t="s">
        <v>7214</v>
      </c>
    </row>
    <row r="5214" spans="1:17" x14ac:dyDescent="0.2">
      <c r="A5214" t="s">
        <v>4942</v>
      </c>
      <c r="B5214" t="s">
        <v>4895</v>
      </c>
      <c r="C5214">
        <v>2</v>
      </c>
      <c r="D5214" s="6" t="s">
        <v>4934</v>
      </c>
      <c r="E5214" s="8" t="s">
        <v>5175</v>
      </c>
      <c r="F5214" t="s">
        <v>6283</v>
      </c>
      <c r="G5214">
        <v>24</v>
      </c>
      <c r="M5214">
        <v>5</v>
      </c>
    </row>
    <row r="5215" spans="1:17" x14ac:dyDescent="0.2">
      <c r="A5215" t="s">
        <v>4942</v>
      </c>
      <c r="B5215" t="s">
        <v>4895</v>
      </c>
      <c r="C5215">
        <v>2</v>
      </c>
      <c r="D5215" s="6" t="s">
        <v>4934</v>
      </c>
      <c r="E5215" t="s">
        <v>5056</v>
      </c>
      <c r="F5215" t="s">
        <v>6283</v>
      </c>
      <c r="G5215">
        <v>470</v>
      </c>
      <c r="M5215">
        <v>84</v>
      </c>
    </row>
    <row r="5216" spans="1:17" x14ac:dyDescent="0.2">
      <c r="A5216" t="s">
        <v>4942</v>
      </c>
      <c r="B5216" t="s">
        <v>4895</v>
      </c>
      <c r="C5216">
        <v>2</v>
      </c>
      <c r="D5216" s="6" t="s">
        <v>4934</v>
      </c>
      <c r="E5216" s="8" t="s">
        <v>5145</v>
      </c>
      <c r="F5216" t="s">
        <v>1389</v>
      </c>
      <c r="G5216">
        <v>4</v>
      </c>
      <c r="Q5216" t="s">
        <v>7224</v>
      </c>
    </row>
    <row r="5217" spans="1:17" x14ac:dyDescent="0.2">
      <c r="A5217" t="s">
        <v>4942</v>
      </c>
      <c r="B5217" t="s">
        <v>4895</v>
      </c>
      <c r="C5217">
        <v>2</v>
      </c>
      <c r="D5217" s="6" t="s">
        <v>4934</v>
      </c>
      <c r="E5217" s="8" t="s">
        <v>5146</v>
      </c>
      <c r="F5217" t="s">
        <v>1311</v>
      </c>
      <c r="G5217">
        <v>1</v>
      </c>
      <c r="Q5217" t="s">
        <v>7223</v>
      </c>
    </row>
    <row r="5218" spans="1:17" x14ac:dyDescent="0.2">
      <c r="A5218" t="s">
        <v>4942</v>
      </c>
      <c r="B5218" t="s">
        <v>4895</v>
      </c>
      <c r="C5218">
        <v>2</v>
      </c>
      <c r="D5218" s="6" t="s">
        <v>4934</v>
      </c>
      <c r="E5218" s="8" t="s">
        <v>5147</v>
      </c>
      <c r="F5218" t="s">
        <v>1311</v>
      </c>
      <c r="G5218">
        <v>4</v>
      </c>
      <c r="Q5218" t="s">
        <v>7221</v>
      </c>
    </row>
    <row r="5219" spans="1:17" x14ac:dyDescent="0.2">
      <c r="A5219" t="s">
        <v>4942</v>
      </c>
      <c r="B5219" t="s">
        <v>4895</v>
      </c>
      <c r="C5219">
        <v>2</v>
      </c>
      <c r="D5219" s="6" t="s">
        <v>4934</v>
      </c>
      <c r="E5219" s="8" t="s">
        <v>5148</v>
      </c>
      <c r="F5219" t="s">
        <v>6250</v>
      </c>
      <c r="G5219">
        <v>2</v>
      </c>
      <c r="Q5219" t="s">
        <v>7220</v>
      </c>
    </row>
    <row r="5220" spans="1:17" x14ac:dyDescent="0.2">
      <c r="A5220" t="s">
        <v>4942</v>
      </c>
      <c r="B5220" t="s">
        <v>4895</v>
      </c>
      <c r="C5220">
        <v>2</v>
      </c>
      <c r="D5220" s="6" t="s">
        <v>4934</v>
      </c>
      <c r="E5220" s="8" t="s">
        <v>5149</v>
      </c>
      <c r="F5220" t="s">
        <v>1311</v>
      </c>
      <c r="G5220">
        <v>2</v>
      </c>
      <c r="Q5220" t="s">
        <v>7222</v>
      </c>
    </row>
    <row r="5221" spans="1:17" x14ac:dyDescent="0.2">
      <c r="A5221" t="s">
        <v>4942</v>
      </c>
      <c r="B5221" t="s">
        <v>4895</v>
      </c>
      <c r="C5221">
        <v>2</v>
      </c>
      <c r="D5221" s="6" t="s">
        <v>4934</v>
      </c>
      <c r="E5221" s="8" t="s">
        <v>5150</v>
      </c>
      <c r="F5221" t="s">
        <v>1311</v>
      </c>
      <c r="G5221">
        <v>10</v>
      </c>
      <c r="M5221">
        <v>5</v>
      </c>
    </row>
    <row r="5222" spans="1:17" x14ac:dyDescent="0.2">
      <c r="A5222" t="s">
        <v>4942</v>
      </c>
      <c r="B5222" t="s">
        <v>4895</v>
      </c>
      <c r="C5222">
        <v>2</v>
      </c>
      <c r="D5222" s="6" t="s">
        <v>4934</v>
      </c>
      <c r="E5222" t="s">
        <v>5056</v>
      </c>
      <c r="F5222" t="s">
        <v>1311</v>
      </c>
      <c r="G5222">
        <v>37</v>
      </c>
      <c r="M5222">
        <v>20</v>
      </c>
    </row>
    <row r="5223" spans="1:17" x14ac:dyDescent="0.2">
      <c r="A5223" t="s">
        <v>4942</v>
      </c>
      <c r="B5223" t="s">
        <v>4895</v>
      </c>
      <c r="C5223">
        <v>2</v>
      </c>
      <c r="D5223" s="6" t="s">
        <v>4934</v>
      </c>
      <c r="E5223" s="8" t="s">
        <v>5151</v>
      </c>
      <c r="F5223" t="s">
        <v>6250</v>
      </c>
      <c r="G5223">
        <v>15</v>
      </c>
      <c r="Q5223" t="s">
        <v>7218</v>
      </c>
    </row>
    <row r="5224" spans="1:17" x14ac:dyDescent="0.2">
      <c r="A5224" t="s">
        <v>4942</v>
      </c>
      <c r="B5224" t="s">
        <v>4895</v>
      </c>
      <c r="C5224">
        <v>2</v>
      </c>
      <c r="D5224" s="6" t="s">
        <v>4934</v>
      </c>
      <c r="E5224" s="8" t="s">
        <v>5152</v>
      </c>
      <c r="F5224" t="s">
        <v>6250</v>
      </c>
      <c r="G5224">
        <v>4</v>
      </c>
      <c r="Q5224" t="s">
        <v>7217</v>
      </c>
    </row>
    <row r="5225" spans="1:17" x14ac:dyDescent="0.2">
      <c r="A5225" t="s">
        <v>4942</v>
      </c>
      <c r="B5225" t="s">
        <v>4895</v>
      </c>
      <c r="C5225">
        <v>2</v>
      </c>
      <c r="D5225" s="6" t="s">
        <v>4934</v>
      </c>
      <c r="E5225" s="8" t="s">
        <v>5153</v>
      </c>
      <c r="F5225" t="s">
        <v>6250</v>
      </c>
      <c r="G5225">
        <v>2</v>
      </c>
      <c r="Q5225" t="s">
        <v>7216</v>
      </c>
    </row>
    <row r="5226" spans="1:17" x14ac:dyDescent="0.2">
      <c r="A5226" t="s">
        <v>4942</v>
      </c>
      <c r="B5226" t="s">
        <v>4895</v>
      </c>
      <c r="C5226">
        <v>2</v>
      </c>
      <c r="D5226" s="6" t="s">
        <v>4934</v>
      </c>
      <c r="E5226" s="8" t="s">
        <v>5154</v>
      </c>
      <c r="F5226" t="s">
        <v>6250</v>
      </c>
      <c r="G5226" t="s">
        <v>114</v>
      </c>
      <c r="Q5226" t="s">
        <v>7215</v>
      </c>
    </row>
    <row r="5227" spans="1:17" x14ac:dyDescent="0.2">
      <c r="A5227" t="s">
        <v>4942</v>
      </c>
      <c r="B5227" t="s">
        <v>4895</v>
      </c>
      <c r="C5227">
        <v>2</v>
      </c>
      <c r="D5227" s="6" t="s">
        <v>4934</v>
      </c>
      <c r="E5227" s="8" t="s">
        <v>5155</v>
      </c>
      <c r="F5227" t="s">
        <v>6250</v>
      </c>
      <c r="G5227">
        <v>2</v>
      </c>
      <c r="Q5227" t="s">
        <v>7219</v>
      </c>
    </row>
    <row r="5228" spans="1:17" x14ac:dyDescent="0.2">
      <c r="A5228" t="s">
        <v>4942</v>
      </c>
      <c r="B5228" t="s">
        <v>4895</v>
      </c>
      <c r="C5228">
        <v>2</v>
      </c>
      <c r="D5228" s="6" t="s">
        <v>4934</v>
      </c>
      <c r="E5228" s="8" t="s">
        <v>5156</v>
      </c>
      <c r="F5228" t="s">
        <v>6250</v>
      </c>
      <c r="G5228">
        <v>11</v>
      </c>
      <c r="M5228">
        <v>5</v>
      </c>
    </row>
    <row r="5229" spans="1:17" x14ac:dyDescent="0.2">
      <c r="A5229" t="s">
        <v>4942</v>
      </c>
      <c r="B5229" t="s">
        <v>4895</v>
      </c>
      <c r="C5229">
        <v>2</v>
      </c>
      <c r="D5229" s="6" t="s">
        <v>4934</v>
      </c>
      <c r="E5229" t="s">
        <v>5056</v>
      </c>
      <c r="F5229" t="s">
        <v>6250</v>
      </c>
      <c r="G5229">
        <v>101</v>
      </c>
      <c r="M5229">
        <v>25</v>
      </c>
    </row>
    <row r="5230" spans="1:17" x14ac:dyDescent="0.2">
      <c r="A5230" t="s">
        <v>4942</v>
      </c>
      <c r="B5230" t="s">
        <v>4895</v>
      </c>
      <c r="C5230">
        <v>2</v>
      </c>
      <c r="D5230" s="6" t="s">
        <v>4934</v>
      </c>
      <c r="E5230" s="8" t="s">
        <v>5139</v>
      </c>
      <c r="F5230" t="s">
        <v>1538</v>
      </c>
      <c r="G5230">
        <v>2</v>
      </c>
      <c r="Q5230" t="s">
        <v>7229</v>
      </c>
    </row>
    <row r="5231" spans="1:17" x14ac:dyDescent="0.2">
      <c r="A5231" t="s">
        <v>4942</v>
      </c>
      <c r="B5231" t="s">
        <v>4895</v>
      </c>
      <c r="C5231">
        <v>2</v>
      </c>
      <c r="D5231" s="6" t="s">
        <v>4934</v>
      </c>
      <c r="E5231" s="8" t="s">
        <v>5162</v>
      </c>
      <c r="F5231" t="s">
        <v>1538</v>
      </c>
      <c r="G5231">
        <v>1</v>
      </c>
      <c r="Q5231" t="s">
        <v>7228</v>
      </c>
    </row>
    <row r="5232" spans="1:17" x14ac:dyDescent="0.2">
      <c r="A5232" t="s">
        <v>4942</v>
      </c>
      <c r="B5232" t="s">
        <v>4895</v>
      </c>
      <c r="C5232">
        <v>2</v>
      </c>
      <c r="D5232" s="6" t="s">
        <v>4934</v>
      </c>
      <c r="E5232" s="8" t="s">
        <v>5159</v>
      </c>
      <c r="F5232" t="s">
        <v>1538</v>
      </c>
      <c r="G5232">
        <v>12</v>
      </c>
      <c r="Q5232" t="s">
        <v>7227</v>
      </c>
    </row>
    <row r="5233" spans="1:17" x14ac:dyDescent="0.2">
      <c r="A5233" t="s">
        <v>4942</v>
      </c>
      <c r="B5233" t="s">
        <v>4895</v>
      </c>
      <c r="C5233">
        <v>2</v>
      </c>
      <c r="D5233" s="6" t="s">
        <v>4934</v>
      </c>
      <c r="E5233" s="8" t="s">
        <v>5160</v>
      </c>
      <c r="F5233" t="s">
        <v>1538</v>
      </c>
      <c r="G5233">
        <v>25</v>
      </c>
      <c r="Q5233" t="s">
        <v>7226</v>
      </c>
    </row>
    <row r="5234" spans="1:17" x14ac:dyDescent="0.2">
      <c r="A5234" t="s">
        <v>4942</v>
      </c>
      <c r="B5234" t="s">
        <v>4895</v>
      </c>
      <c r="C5234">
        <v>2</v>
      </c>
      <c r="D5234" s="6" t="s">
        <v>4934</v>
      </c>
      <c r="E5234" s="8" t="s">
        <v>5161</v>
      </c>
      <c r="F5234" t="s">
        <v>1538</v>
      </c>
      <c r="G5234">
        <v>51</v>
      </c>
      <c r="Q5234" t="s">
        <v>7225</v>
      </c>
    </row>
    <row r="5235" spans="1:17" x14ac:dyDescent="0.2">
      <c r="A5235" t="s">
        <v>4942</v>
      </c>
      <c r="B5235" t="s">
        <v>4895</v>
      </c>
      <c r="C5235">
        <v>2</v>
      </c>
      <c r="D5235" s="6" t="s">
        <v>4934</v>
      </c>
      <c r="E5235" s="8" t="s">
        <v>5224</v>
      </c>
      <c r="F5235" t="s">
        <v>1538</v>
      </c>
      <c r="G5235">
        <v>83</v>
      </c>
      <c r="M5235">
        <v>5</v>
      </c>
    </row>
    <row r="5236" spans="1:17" x14ac:dyDescent="0.2">
      <c r="A5236" t="s">
        <v>4942</v>
      </c>
      <c r="B5236" t="s">
        <v>4895</v>
      </c>
      <c r="C5236">
        <v>2</v>
      </c>
      <c r="D5236" s="6" t="s">
        <v>4934</v>
      </c>
      <c r="E5236" s="8" t="s">
        <v>5189</v>
      </c>
      <c r="F5236" t="s">
        <v>1538</v>
      </c>
      <c r="G5236">
        <v>33</v>
      </c>
      <c r="Q5236" t="s">
        <v>7236</v>
      </c>
    </row>
    <row r="5237" spans="1:17" x14ac:dyDescent="0.2">
      <c r="A5237" t="s">
        <v>4942</v>
      </c>
      <c r="B5237" t="s">
        <v>4895</v>
      </c>
      <c r="C5237">
        <v>2</v>
      </c>
      <c r="D5237" s="6" t="s">
        <v>4934</v>
      </c>
      <c r="E5237" s="8" t="s">
        <v>5184</v>
      </c>
      <c r="F5237" t="s">
        <v>1538</v>
      </c>
      <c r="G5237">
        <v>15</v>
      </c>
      <c r="Q5237" t="s">
        <v>7235</v>
      </c>
    </row>
    <row r="5238" spans="1:17" x14ac:dyDescent="0.2">
      <c r="A5238" t="s">
        <v>4942</v>
      </c>
      <c r="B5238" t="s">
        <v>4895</v>
      </c>
      <c r="C5238">
        <v>2</v>
      </c>
      <c r="D5238" s="6" t="s">
        <v>4934</v>
      </c>
      <c r="E5238" s="8" t="s">
        <v>5185</v>
      </c>
      <c r="F5238" t="s">
        <v>1538</v>
      </c>
      <c r="G5238">
        <v>2</v>
      </c>
      <c r="Q5238" t="s">
        <v>7234</v>
      </c>
    </row>
    <row r="5239" spans="1:17" x14ac:dyDescent="0.2">
      <c r="A5239" t="s">
        <v>4942</v>
      </c>
      <c r="B5239" t="s">
        <v>4895</v>
      </c>
      <c r="C5239">
        <v>2</v>
      </c>
      <c r="D5239" s="6" t="s">
        <v>4934</v>
      </c>
      <c r="E5239" s="8" t="s">
        <v>5186</v>
      </c>
      <c r="F5239" t="s">
        <v>1538</v>
      </c>
      <c r="G5239">
        <v>1</v>
      </c>
      <c r="Q5239" t="s">
        <v>7233</v>
      </c>
    </row>
    <row r="5240" spans="1:17" x14ac:dyDescent="0.2">
      <c r="A5240" t="s">
        <v>4942</v>
      </c>
      <c r="B5240" t="s">
        <v>4895</v>
      </c>
      <c r="C5240">
        <v>2</v>
      </c>
      <c r="D5240" s="6" t="s">
        <v>4934</v>
      </c>
      <c r="E5240" s="8" t="s">
        <v>5182</v>
      </c>
      <c r="F5240" t="s">
        <v>1538</v>
      </c>
      <c r="G5240">
        <v>1</v>
      </c>
      <c r="Q5240" t="s">
        <v>7232</v>
      </c>
    </row>
    <row r="5241" spans="1:17" x14ac:dyDescent="0.2">
      <c r="A5241" t="s">
        <v>4942</v>
      </c>
      <c r="B5241" t="s">
        <v>4895</v>
      </c>
      <c r="C5241">
        <v>2</v>
      </c>
      <c r="D5241" s="6" t="s">
        <v>4934</v>
      </c>
      <c r="E5241" s="8" t="s">
        <v>5187</v>
      </c>
      <c r="F5241" t="s">
        <v>1538</v>
      </c>
      <c r="G5241">
        <v>2</v>
      </c>
      <c r="Q5241" t="s">
        <v>7231</v>
      </c>
    </row>
    <row r="5242" spans="1:17" x14ac:dyDescent="0.2">
      <c r="A5242" t="s">
        <v>4942</v>
      </c>
      <c r="B5242" t="s">
        <v>4895</v>
      </c>
      <c r="C5242">
        <v>2</v>
      </c>
      <c r="D5242" s="6" t="s">
        <v>4934</v>
      </c>
      <c r="E5242" s="8" t="s">
        <v>5188</v>
      </c>
      <c r="F5242" t="s">
        <v>1538</v>
      </c>
      <c r="G5242">
        <v>4</v>
      </c>
      <c r="Q5242" t="s">
        <v>7230</v>
      </c>
    </row>
    <row r="5243" spans="1:17" x14ac:dyDescent="0.2">
      <c r="A5243" t="s">
        <v>4942</v>
      </c>
      <c r="B5243" t="s">
        <v>4895</v>
      </c>
      <c r="C5243">
        <v>2</v>
      </c>
      <c r="D5243" s="6" t="s">
        <v>4934</v>
      </c>
      <c r="E5243" s="8" t="s">
        <v>5183</v>
      </c>
      <c r="F5243" t="s">
        <v>1538</v>
      </c>
      <c r="G5243">
        <v>5</v>
      </c>
      <c r="M5243">
        <v>4</v>
      </c>
    </row>
    <row r="5244" spans="1:17" x14ac:dyDescent="0.2">
      <c r="A5244" t="s">
        <v>4942</v>
      </c>
      <c r="B5244" t="s">
        <v>4895</v>
      </c>
      <c r="C5244">
        <v>2</v>
      </c>
      <c r="D5244" s="6" t="s">
        <v>4934</v>
      </c>
      <c r="E5244" s="8" t="s">
        <v>5223</v>
      </c>
      <c r="F5244" t="s">
        <v>6862</v>
      </c>
      <c r="G5244">
        <v>3</v>
      </c>
      <c r="Q5244" t="s">
        <v>7237</v>
      </c>
    </row>
    <row r="5245" spans="1:17" x14ac:dyDescent="0.2">
      <c r="A5245" t="s">
        <v>4942</v>
      </c>
      <c r="B5245" t="s">
        <v>4895</v>
      </c>
      <c r="C5245">
        <v>2</v>
      </c>
      <c r="D5245" s="6" t="s">
        <v>4934</v>
      </c>
      <c r="E5245" s="8" t="s">
        <v>5227</v>
      </c>
      <c r="F5245" t="s">
        <v>6862</v>
      </c>
      <c r="G5245">
        <v>1</v>
      </c>
      <c r="Q5245" t="s">
        <v>7238</v>
      </c>
    </row>
    <row r="5246" spans="1:17" x14ac:dyDescent="0.2">
      <c r="A5246" t="s">
        <v>4942</v>
      </c>
      <c r="B5246" t="s">
        <v>4895</v>
      </c>
      <c r="C5246">
        <v>2</v>
      </c>
      <c r="D5246" s="6" t="s">
        <v>4934</v>
      </c>
      <c r="E5246" s="8" t="s">
        <v>5235</v>
      </c>
      <c r="F5246" t="s">
        <v>1538</v>
      </c>
      <c r="G5246" t="s">
        <v>114</v>
      </c>
    </row>
    <row r="5247" spans="1:17" x14ac:dyDescent="0.2">
      <c r="A5247" t="s">
        <v>4942</v>
      </c>
      <c r="B5247" t="s">
        <v>4895</v>
      </c>
      <c r="C5247">
        <v>2</v>
      </c>
      <c r="D5247" s="6" t="s">
        <v>4934</v>
      </c>
      <c r="E5247" s="8" t="s">
        <v>5234</v>
      </c>
      <c r="F5247" t="s">
        <v>1538</v>
      </c>
      <c r="G5247" t="s">
        <v>114</v>
      </c>
    </row>
    <row r="5248" spans="1:17" x14ac:dyDescent="0.2">
      <c r="A5248" t="s">
        <v>4942</v>
      </c>
      <c r="B5248" t="s">
        <v>4895</v>
      </c>
      <c r="C5248">
        <v>2</v>
      </c>
      <c r="D5248" s="6" t="s">
        <v>4934</v>
      </c>
      <c r="E5248" t="s">
        <v>5056</v>
      </c>
      <c r="F5248" t="s">
        <v>1538</v>
      </c>
      <c r="G5248">
        <v>50</v>
      </c>
      <c r="M5248">
        <v>8</v>
      </c>
    </row>
    <row r="5249" spans="1:17" x14ac:dyDescent="0.2">
      <c r="A5249" t="s">
        <v>4942</v>
      </c>
      <c r="B5249" t="s">
        <v>4895</v>
      </c>
      <c r="C5249">
        <v>2</v>
      </c>
      <c r="D5249" s="6" t="s">
        <v>4934</v>
      </c>
      <c r="E5249" s="8" t="s">
        <v>5226</v>
      </c>
      <c r="F5249" t="s">
        <v>106</v>
      </c>
      <c r="G5249">
        <v>6</v>
      </c>
    </row>
    <row r="5250" spans="1:17" x14ac:dyDescent="0.2">
      <c r="A5250" t="s">
        <v>4942</v>
      </c>
      <c r="B5250" t="s">
        <v>4895</v>
      </c>
      <c r="C5250">
        <v>2</v>
      </c>
      <c r="D5250" s="6" t="s">
        <v>4934</v>
      </c>
      <c r="E5250" s="8" t="s">
        <v>5225</v>
      </c>
      <c r="F5250" t="s">
        <v>7138</v>
      </c>
      <c r="G5250">
        <v>3</v>
      </c>
      <c r="Q5250" t="s">
        <v>7239</v>
      </c>
    </row>
    <row r="5251" spans="1:17" x14ac:dyDescent="0.2">
      <c r="A5251" t="s">
        <v>4942</v>
      </c>
      <c r="B5251" t="s">
        <v>4895</v>
      </c>
      <c r="C5251">
        <v>2</v>
      </c>
      <c r="D5251" s="6" t="s">
        <v>4934</v>
      </c>
      <c r="E5251" s="8" t="s">
        <v>5228</v>
      </c>
      <c r="F5251" t="s">
        <v>3927</v>
      </c>
      <c r="G5251">
        <v>4</v>
      </c>
      <c r="M5251">
        <v>8</v>
      </c>
    </row>
    <row r="5252" spans="1:17" x14ac:dyDescent="0.2">
      <c r="A5252" t="s">
        <v>4942</v>
      </c>
      <c r="B5252" t="s">
        <v>4895</v>
      </c>
      <c r="C5252">
        <v>2</v>
      </c>
      <c r="D5252" s="6" t="s">
        <v>4934</v>
      </c>
      <c r="E5252" s="8" t="s">
        <v>5229</v>
      </c>
      <c r="F5252" t="s">
        <v>2218</v>
      </c>
      <c r="G5252">
        <v>32</v>
      </c>
    </row>
    <row r="5253" spans="1:17" x14ac:dyDescent="0.2">
      <c r="A5253" t="s">
        <v>4942</v>
      </c>
      <c r="B5253" t="s">
        <v>4895</v>
      </c>
      <c r="C5253">
        <v>2</v>
      </c>
      <c r="D5253" s="6" t="s">
        <v>4934</v>
      </c>
      <c r="E5253" s="8" t="s">
        <v>5232</v>
      </c>
      <c r="F5253" t="s">
        <v>810</v>
      </c>
      <c r="G5253">
        <v>10</v>
      </c>
    </row>
    <row r="5254" spans="1:17" x14ac:dyDescent="0.2">
      <c r="A5254" t="s">
        <v>4942</v>
      </c>
      <c r="B5254" t="s">
        <v>4895</v>
      </c>
      <c r="C5254">
        <v>3</v>
      </c>
      <c r="D5254" s="6" t="s">
        <v>4934</v>
      </c>
      <c r="E5254" s="8" t="s">
        <v>5081</v>
      </c>
      <c r="F5254" t="s">
        <v>5358</v>
      </c>
      <c r="G5254">
        <v>202</v>
      </c>
      <c r="O5254" t="s">
        <v>5356</v>
      </c>
    </row>
    <row r="5255" spans="1:17" x14ac:dyDescent="0.2">
      <c r="A5255" t="s">
        <v>4942</v>
      </c>
      <c r="B5255" t="s">
        <v>4895</v>
      </c>
      <c r="C5255">
        <v>3</v>
      </c>
      <c r="D5255" s="6" t="s">
        <v>4934</v>
      </c>
      <c r="E5255" s="8" t="s">
        <v>5082</v>
      </c>
      <c r="F5255" t="s">
        <v>504</v>
      </c>
      <c r="G5255">
        <v>304</v>
      </c>
      <c r="O5255" t="s">
        <v>5359</v>
      </c>
    </row>
    <row r="5256" spans="1:17" x14ac:dyDescent="0.2">
      <c r="A5256" t="s">
        <v>4942</v>
      </c>
      <c r="B5256" t="s">
        <v>4895</v>
      </c>
      <c r="C5256">
        <v>3</v>
      </c>
      <c r="D5256" s="6" t="s">
        <v>4934</v>
      </c>
      <c r="E5256" s="8" t="s">
        <v>5089</v>
      </c>
      <c r="F5256" t="s">
        <v>5346</v>
      </c>
      <c r="H5256">
        <v>1.119</v>
      </c>
      <c r="I5256">
        <v>445</v>
      </c>
      <c r="J5256">
        <v>420</v>
      </c>
      <c r="K5256">
        <v>375</v>
      </c>
      <c r="O5256" t="s">
        <v>5357</v>
      </c>
      <c r="Q5256" t="s">
        <v>7240</v>
      </c>
    </row>
    <row r="5257" spans="1:17" x14ac:dyDescent="0.2">
      <c r="A5257" t="s">
        <v>4942</v>
      </c>
      <c r="B5257" t="s">
        <v>4895</v>
      </c>
      <c r="C5257">
        <v>3</v>
      </c>
      <c r="D5257" s="6" t="s">
        <v>4934</v>
      </c>
      <c r="E5257" s="8" t="s">
        <v>5090</v>
      </c>
      <c r="F5257" t="s">
        <v>1389</v>
      </c>
      <c r="G5257">
        <v>4</v>
      </c>
      <c r="Q5257" t="s">
        <v>7243</v>
      </c>
    </row>
    <row r="5258" spans="1:17" x14ac:dyDescent="0.2">
      <c r="A5258" t="s">
        <v>4942</v>
      </c>
      <c r="B5258" t="s">
        <v>4895</v>
      </c>
      <c r="C5258">
        <v>3</v>
      </c>
      <c r="D5258" s="6" t="s">
        <v>4934</v>
      </c>
      <c r="E5258" s="8" t="s">
        <v>5091</v>
      </c>
      <c r="F5258" t="s">
        <v>1389</v>
      </c>
      <c r="G5258">
        <v>2</v>
      </c>
      <c r="Q5258" t="s">
        <v>7242</v>
      </c>
    </row>
    <row r="5259" spans="1:17" x14ac:dyDescent="0.2">
      <c r="A5259" t="s">
        <v>4942</v>
      </c>
      <c r="B5259" t="s">
        <v>4895</v>
      </c>
      <c r="C5259">
        <v>3</v>
      </c>
      <c r="D5259" s="6" t="s">
        <v>4934</v>
      </c>
      <c r="E5259" s="8" t="s">
        <v>5092</v>
      </c>
      <c r="F5259" t="s">
        <v>1389</v>
      </c>
      <c r="G5259" t="s">
        <v>114</v>
      </c>
      <c r="Q5259" t="s">
        <v>7241</v>
      </c>
    </row>
    <row r="5260" spans="1:17" x14ac:dyDescent="0.2">
      <c r="A5260" t="s">
        <v>4942</v>
      </c>
      <c r="B5260" t="s">
        <v>4895</v>
      </c>
      <c r="C5260">
        <v>3</v>
      </c>
      <c r="D5260" s="6" t="s">
        <v>4934</v>
      </c>
      <c r="E5260" s="8" t="s">
        <v>5094</v>
      </c>
      <c r="F5260" t="s">
        <v>1389</v>
      </c>
      <c r="G5260">
        <v>11</v>
      </c>
      <c r="Q5260" t="s">
        <v>7244</v>
      </c>
    </row>
    <row r="5261" spans="1:17" x14ac:dyDescent="0.2">
      <c r="A5261" t="s">
        <v>4942</v>
      </c>
      <c r="B5261" t="s">
        <v>4895</v>
      </c>
      <c r="C5261">
        <v>3</v>
      </c>
      <c r="D5261" s="6" t="s">
        <v>4934</v>
      </c>
      <c r="E5261" s="8" t="s">
        <v>5097</v>
      </c>
      <c r="F5261" t="s">
        <v>1389</v>
      </c>
      <c r="G5261" t="s">
        <v>114</v>
      </c>
      <c r="Q5261" t="s">
        <v>7245</v>
      </c>
    </row>
    <row r="5262" spans="1:17" x14ac:dyDescent="0.2">
      <c r="A5262" t="s">
        <v>4942</v>
      </c>
      <c r="B5262" t="s">
        <v>4895</v>
      </c>
      <c r="C5262">
        <v>3</v>
      </c>
      <c r="D5262" s="6" t="s">
        <v>4934</v>
      </c>
      <c r="E5262" s="8" t="s">
        <v>5098</v>
      </c>
      <c r="F5262" t="s">
        <v>1389</v>
      </c>
      <c r="G5262">
        <v>12</v>
      </c>
      <c r="M5262">
        <v>5</v>
      </c>
    </row>
    <row r="5263" spans="1:17" x14ac:dyDescent="0.2">
      <c r="A5263" t="s">
        <v>4942</v>
      </c>
      <c r="B5263" t="s">
        <v>4895</v>
      </c>
      <c r="C5263">
        <v>3</v>
      </c>
      <c r="D5263" s="6" t="s">
        <v>4934</v>
      </c>
      <c r="E5263" t="s">
        <v>5056</v>
      </c>
      <c r="F5263" t="s">
        <v>1389</v>
      </c>
      <c r="G5263">
        <v>122</v>
      </c>
      <c r="M5263">
        <v>55</v>
      </c>
    </row>
    <row r="5264" spans="1:17" x14ac:dyDescent="0.2">
      <c r="A5264" t="s">
        <v>4942</v>
      </c>
      <c r="B5264" t="s">
        <v>4895</v>
      </c>
      <c r="C5264">
        <v>3</v>
      </c>
      <c r="D5264" s="6" t="s">
        <v>4934</v>
      </c>
      <c r="E5264" s="8" t="s">
        <v>5166</v>
      </c>
      <c r="F5264" t="s">
        <v>1425</v>
      </c>
      <c r="G5264">
        <v>15</v>
      </c>
      <c r="Q5264" t="s">
        <v>7250</v>
      </c>
    </row>
    <row r="5265" spans="1:17" x14ac:dyDescent="0.2">
      <c r="A5265" t="s">
        <v>4942</v>
      </c>
      <c r="B5265" t="s">
        <v>4895</v>
      </c>
      <c r="C5265">
        <v>3</v>
      </c>
      <c r="D5265" s="6" t="s">
        <v>4934</v>
      </c>
      <c r="E5265" s="8" t="s">
        <v>5167</v>
      </c>
      <c r="F5265" t="s">
        <v>1425</v>
      </c>
      <c r="G5265">
        <v>6</v>
      </c>
      <c r="Q5265" t="s">
        <v>7249</v>
      </c>
    </row>
    <row r="5266" spans="1:17" x14ac:dyDescent="0.2">
      <c r="A5266" t="s">
        <v>4942</v>
      </c>
      <c r="B5266" t="s">
        <v>4895</v>
      </c>
      <c r="C5266">
        <v>3</v>
      </c>
      <c r="D5266" s="6" t="s">
        <v>4934</v>
      </c>
      <c r="E5266" s="8" t="s">
        <v>5168</v>
      </c>
      <c r="F5266" t="s">
        <v>1425</v>
      </c>
      <c r="G5266">
        <v>3</v>
      </c>
      <c r="Q5266" t="s">
        <v>7248</v>
      </c>
    </row>
    <row r="5267" spans="1:17" x14ac:dyDescent="0.2">
      <c r="A5267" t="s">
        <v>4942</v>
      </c>
      <c r="B5267" t="s">
        <v>4895</v>
      </c>
      <c r="C5267">
        <v>3</v>
      </c>
      <c r="D5267" s="6" t="s">
        <v>4934</v>
      </c>
      <c r="E5267" s="8" t="s">
        <v>5169</v>
      </c>
      <c r="F5267" t="s">
        <v>1425</v>
      </c>
      <c r="G5267">
        <v>1</v>
      </c>
      <c r="Q5267" t="s">
        <v>7247</v>
      </c>
    </row>
    <row r="5268" spans="1:17" x14ac:dyDescent="0.2">
      <c r="A5268" t="s">
        <v>4942</v>
      </c>
      <c r="B5268" t="s">
        <v>4895</v>
      </c>
      <c r="C5268">
        <v>3</v>
      </c>
      <c r="D5268" s="6" t="s">
        <v>4934</v>
      </c>
      <c r="E5268" s="8" t="s">
        <v>5170</v>
      </c>
      <c r="F5268" t="s">
        <v>1425</v>
      </c>
      <c r="G5268">
        <v>1</v>
      </c>
      <c r="Q5268" t="s">
        <v>7246</v>
      </c>
    </row>
    <row r="5269" spans="1:17" x14ac:dyDescent="0.2">
      <c r="A5269" t="s">
        <v>4942</v>
      </c>
      <c r="B5269" t="s">
        <v>4895</v>
      </c>
      <c r="C5269">
        <v>3</v>
      </c>
      <c r="D5269" s="6" t="s">
        <v>4934</v>
      </c>
      <c r="E5269" s="8" t="s">
        <v>5171</v>
      </c>
      <c r="F5269" t="s">
        <v>1425</v>
      </c>
      <c r="G5269">
        <v>19</v>
      </c>
      <c r="M5269">
        <v>5</v>
      </c>
    </row>
    <row r="5270" spans="1:17" x14ac:dyDescent="0.2">
      <c r="A5270" t="s">
        <v>4942</v>
      </c>
      <c r="B5270" t="s">
        <v>4895</v>
      </c>
      <c r="C5270">
        <v>3</v>
      </c>
      <c r="D5270" s="6" t="s">
        <v>4934</v>
      </c>
      <c r="E5270" t="s">
        <v>5056</v>
      </c>
      <c r="F5270" t="s">
        <v>1425</v>
      </c>
      <c r="G5270">
        <v>23</v>
      </c>
      <c r="M5270">
        <v>5</v>
      </c>
    </row>
    <row r="5271" spans="1:17" x14ac:dyDescent="0.2">
      <c r="A5271" t="s">
        <v>4942</v>
      </c>
      <c r="B5271" t="s">
        <v>4895</v>
      </c>
      <c r="C5271">
        <v>3</v>
      </c>
      <c r="D5271" s="6" t="s">
        <v>4934</v>
      </c>
      <c r="E5271" s="8" t="s">
        <v>5140</v>
      </c>
      <c r="F5271" t="s">
        <v>1311</v>
      </c>
      <c r="G5271">
        <v>1</v>
      </c>
      <c r="Q5271" t="s">
        <v>7256</v>
      </c>
    </row>
    <row r="5272" spans="1:17" x14ac:dyDescent="0.2">
      <c r="A5272" t="s">
        <v>4942</v>
      </c>
      <c r="B5272" t="s">
        <v>4895</v>
      </c>
      <c r="C5272">
        <v>3</v>
      </c>
      <c r="D5272" s="6" t="s">
        <v>4934</v>
      </c>
      <c r="E5272" s="8" t="s">
        <v>5141</v>
      </c>
      <c r="F5272" t="s">
        <v>1311</v>
      </c>
      <c r="G5272" t="s">
        <v>114</v>
      </c>
      <c r="Q5272" t="s">
        <v>7255</v>
      </c>
    </row>
    <row r="5273" spans="1:17" x14ac:dyDescent="0.2">
      <c r="A5273" t="s">
        <v>4942</v>
      </c>
      <c r="B5273" t="s">
        <v>4895</v>
      </c>
      <c r="C5273">
        <v>3</v>
      </c>
      <c r="D5273" s="6" t="s">
        <v>4934</v>
      </c>
      <c r="E5273" s="8" t="s">
        <v>5142</v>
      </c>
      <c r="F5273" t="s">
        <v>1311</v>
      </c>
      <c r="G5273">
        <v>2</v>
      </c>
      <c r="Q5273" t="s">
        <v>7257</v>
      </c>
    </row>
    <row r="5274" spans="1:17" x14ac:dyDescent="0.2">
      <c r="A5274" t="s">
        <v>4942</v>
      </c>
      <c r="B5274" t="s">
        <v>4895</v>
      </c>
      <c r="C5274">
        <v>3</v>
      </c>
      <c r="D5274" s="6" t="s">
        <v>4934</v>
      </c>
      <c r="E5274" s="8" t="s">
        <v>5143</v>
      </c>
      <c r="F5274" t="s">
        <v>1311</v>
      </c>
      <c r="G5274">
        <v>1</v>
      </c>
      <c r="Q5274" t="s">
        <v>7258</v>
      </c>
    </row>
    <row r="5275" spans="1:17" x14ac:dyDescent="0.2">
      <c r="A5275" t="s">
        <v>4942</v>
      </c>
      <c r="B5275" t="s">
        <v>4895</v>
      </c>
      <c r="C5275">
        <v>3</v>
      </c>
      <c r="D5275" s="6" t="s">
        <v>4934</v>
      </c>
      <c r="E5275" s="8" t="s">
        <v>5144</v>
      </c>
      <c r="F5275" t="s">
        <v>1311</v>
      </c>
      <c r="G5275" t="s">
        <v>114</v>
      </c>
      <c r="Q5275" t="s">
        <v>7259</v>
      </c>
    </row>
    <row r="5276" spans="1:17" x14ac:dyDescent="0.2">
      <c r="A5276" t="s">
        <v>4942</v>
      </c>
      <c r="B5276" t="s">
        <v>4895</v>
      </c>
      <c r="C5276">
        <v>3</v>
      </c>
      <c r="D5276" s="6" t="s">
        <v>4934</v>
      </c>
      <c r="E5276" s="8" t="s">
        <v>5145</v>
      </c>
      <c r="F5276" t="s">
        <v>1311</v>
      </c>
      <c r="G5276">
        <v>6</v>
      </c>
      <c r="M5276">
        <v>5</v>
      </c>
    </row>
    <row r="5277" spans="1:17" x14ac:dyDescent="0.2">
      <c r="A5277" t="s">
        <v>4942</v>
      </c>
      <c r="B5277" t="s">
        <v>4895</v>
      </c>
      <c r="C5277">
        <v>3</v>
      </c>
      <c r="D5277" s="6" t="s">
        <v>4934</v>
      </c>
      <c r="E5277" t="s">
        <v>5056</v>
      </c>
      <c r="F5277" t="s">
        <v>1311</v>
      </c>
      <c r="G5277">
        <v>27</v>
      </c>
      <c r="M5277">
        <v>24</v>
      </c>
    </row>
    <row r="5278" spans="1:17" x14ac:dyDescent="0.2">
      <c r="A5278" t="s">
        <v>4942</v>
      </c>
      <c r="B5278" t="s">
        <v>4895</v>
      </c>
      <c r="C5278">
        <v>3</v>
      </c>
      <c r="D5278" s="6" t="s">
        <v>4934</v>
      </c>
      <c r="E5278" s="8" t="s">
        <v>5146</v>
      </c>
      <c r="F5278" t="s">
        <v>6239</v>
      </c>
      <c r="G5278">
        <v>1</v>
      </c>
      <c r="Q5278" t="s">
        <v>7254</v>
      </c>
    </row>
    <row r="5279" spans="1:17" x14ac:dyDescent="0.2">
      <c r="A5279" t="s">
        <v>4942</v>
      </c>
      <c r="B5279" t="s">
        <v>4895</v>
      </c>
      <c r="C5279">
        <v>3</v>
      </c>
      <c r="D5279" s="6" t="s">
        <v>4934</v>
      </c>
      <c r="E5279" s="8" t="s">
        <v>5147</v>
      </c>
      <c r="F5279" t="s">
        <v>1425</v>
      </c>
      <c r="G5279" t="s">
        <v>114</v>
      </c>
      <c r="Q5279" t="s">
        <v>7253</v>
      </c>
    </row>
    <row r="5280" spans="1:17" x14ac:dyDescent="0.2">
      <c r="A5280" t="s">
        <v>4942</v>
      </c>
      <c r="B5280" t="s">
        <v>4895</v>
      </c>
      <c r="C5280">
        <v>3</v>
      </c>
      <c r="D5280" s="6" t="s">
        <v>4934</v>
      </c>
      <c r="E5280" s="8" t="s">
        <v>5148</v>
      </c>
      <c r="F5280" t="s">
        <v>6239</v>
      </c>
      <c r="G5280" t="s">
        <v>114</v>
      </c>
      <c r="Q5280" t="s">
        <v>7252</v>
      </c>
    </row>
    <row r="5281" spans="1:17" x14ac:dyDescent="0.2">
      <c r="A5281" t="s">
        <v>4942</v>
      </c>
      <c r="B5281" t="s">
        <v>4895</v>
      </c>
      <c r="C5281">
        <v>3</v>
      </c>
      <c r="D5281" s="6" t="s">
        <v>4934</v>
      </c>
      <c r="E5281" s="8" t="s">
        <v>5149</v>
      </c>
      <c r="F5281" t="s">
        <v>4973</v>
      </c>
      <c r="G5281" t="s">
        <v>114</v>
      </c>
      <c r="Q5281" t="s">
        <v>7251</v>
      </c>
    </row>
    <row r="5282" spans="1:17" x14ac:dyDescent="0.2">
      <c r="A5282" t="s">
        <v>4942</v>
      </c>
      <c r="B5282" t="s">
        <v>4895</v>
      </c>
      <c r="C5282">
        <v>3</v>
      </c>
      <c r="D5282" s="6" t="s">
        <v>4934</v>
      </c>
      <c r="E5282" s="8" t="s">
        <v>5150</v>
      </c>
      <c r="F5282" t="s">
        <v>1538</v>
      </c>
      <c r="G5282">
        <v>29</v>
      </c>
      <c r="Q5282" t="s">
        <v>7260</v>
      </c>
    </row>
    <row r="5283" spans="1:17" x14ac:dyDescent="0.2">
      <c r="A5283" t="s">
        <v>4942</v>
      </c>
      <c r="B5283" t="s">
        <v>4895</v>
      </c>
      <c r="C5283">
        <v>3</v>
      </c>
      <c r="D5283" s="6" t="s">
        <v>4934</v>
      </c>
      <c r="E5283" s="8" t="s">
        <v>5151</v>
      </c>
      <c r="F5283" t="s">
        <v>6231</v>
      </c>
      <c r="G5283">
        <v>11</v>
      </c>
      <c r="Q5283" t="s">
        <v>7261</v>
      </c>
    </row>
    <row r="5284" spans="1:17" x14ac:dyDescent="0.2">
      <c r="A5284" t="s">
        <v>4942</v>
      </c>
      <c r="B5284" t="s">
        <v>4895</v>
      </c>
      <c r="C5284">
        <v>3</v>
      </c>
      <c r="D5284" s="6" t="s">
        <v>4934</v>
      </c>
      <c r="E5284" s="8" t="s">
        <v>5152</v>
      </c>
      <c r="F5284" t="s">
        <v>1538</v>
      </c>
      <c r="G5284">
        <v>13</v>
      </c>
      <c r="O5284" s="8" t="s">
        <v>5361</v>
      </c>
      <c r="Q5284" t="s">
        <v>7262</v>
      </c>
    </row>
    <row r="5285" spans="1:17" x14ac:dyDescent="0.2">
      <c r="A5285" t="s">
        <v>4942</v>
      </c>
      <c r="B5285" t="s">
        <v>4895</v>
      </c>
      <c r="C5285">
        <v>3</v>
      </c>
      <c r="D5285" s="6" t="s">
        <v>4934</v>
      </c>
      <c r="E5285" s="8" t="s">
        <v>5153</v>
      </c>
      <c r="F5285" t="s">
        <v>5286</v>
      </c>
      <c r="G5285">
        <v>13</v>
      </c>
      <c r="Q5285" t="s">
        <v>7263</v>
      </c>
    </row>
    <row r="5286" spans="1:17" x14ac:dyDescent="0.2">
      <c r="A5286" t="s">
        <v>4942</v>
      </c>
      <c r="B5286" t="s">
        <v>4895</v>
      </c>
      <c r="C5286">
        <v>3</v>
      </c>
      <c r="D5286" s="6" t="s">
        <v>4934</v>
      </c>
      <c r="E5286" s="8" t="s">
        <v>5154</v>
      </c>
      <c r="F5286" t="s">
        <v>1538</v>
      </c>
      <c r="G5286">
        <v>1</v>
      </c>
      <c r="Q5286" t="s">
        <v>7264</v>
      </c>
    </row>
    <row r="5287" spans="1:17" x14ac:dyDescent="0.2">
      <c r="A5287" t="s">
        <v>4942</v>
      </c>
      <c r="B5287" t="s">
        <v>4895</v>
      </c>
      <c r="C5287">
        <v>3</v>
      </c>
      <c r="D5287" s="6" t="s">
        <v>4934</v>
      </c>
      <c r="E5287" s="8" t="s">
        <v>5155</v>
      </c>
      <c r="F5287" t="s">
        <v>6862</v>
      </c>
      <c r="G5287" t="s">
        <v>114</v>
      </c>
      <c r="Q5287" t="s">
        <v>7265</v>
      </c>
    </row>
    <row r="5288" spans="1:17" x14ac:dyDescent="0.2">
      <c r="A5288" t="s">
        <v>4942</v>
      </c>
      <c r="B5288" t="s">
        <v>4895</v>
      </c>
      <c r="C5288">
        <v>3</v>
      </c>
      <c r="D5288" s="6" t="s">
        <v>4934</v>
      </c>
      <c r="E5288" s="8" t="s">
        <v>5156</v>
      </c>
      <c r="F5288" t="s">
        <v>6862</v>
      </c>
      <c r="G5288">
        <v>1</v>
      </c>
      <c r="Q5288" t="s">
        <v>7266</v>
      </c>
    </row>
    <row r="5289" spans="1:17" x14ac:dyDescent="0.2">
      <c r="A5289" t="s">
        <v>4942</v>
      </c>
      <c r="B5289" t="s">
        <v>4895</v>
      </c>
      <c r="C5289">
        <v>3</v>
      </c>
      <c r="D5289" s="6" t="s">
        <v>4934</v>
      </c>
      <c r="E5289" s="8" t="s">
        <v>5157</v>
      </c>
      <c r="F5289" t="s">
        <v>6862</v>
      </c>
      <c r="G5289" t="s">
        <v>114</v>
      </c>
      <c r="Q5289" t="s">
        <v>7267</v>
      </c>
    </row>
    <row r="5290" spans="1:17" x14ac:dyDescent="0.2">
      <c r="A5290" t="s">
        <v>4942</v>
      </c>
      <c r="B5290" t="s">
        <v>4895</v>
      </c>
      <c r="C5290">
        <v>3</v>
      </c>
      <c r="D5290" s="6" t="s">
        <v>4934</v>
      </c>
      <c r="E5290" s="8" t="s">
        <v>5158</v>
      </c>
      <c r="F5290" t="s">
        <v>6862</v>
      </c>
      <c r="G5290" t="s">
        <v>114</v>
      </c>
      <c r="Q5290" t="s">
        <v>7268</v>
      </c>
    </row>
    <row r="5291" spans="1:17" x14ac:dyDescent="0.2">
      <c r="A5291" t="s">
        <v>4942</v>
      </c>
      <c r="B5291" t="s">
        <v>4895</v>
      </c>
      <c r="C5291">
        <v>3</v>
      </c>
      <c r="D5291" s="6" t="s">
        <v>4934</v>
      </c>
      <c r="E5291" s="8" t="s">
        <v>5172</v>
      </c>
      <c r="F5291" t="s">
        <v>2218</v>
      </c>
      <c r="G5291">
        <v>12</v>
      </c>
    </row>
    <row r="5292" spans="1:17" x14ac:dyDescent="0.2">
      <c r="A5292" t="s">
        <v>4942</v>
      </c>
      <c r="B5292" t="s">
        <v>4895</v>
      </c>
      <c r="C5292">
        <v>3</v>
      </c>
      <c r="D5292" s="6" t="s">
        <v>4934</v>
      </c>
      <c r="E5292" s="8" t="s">
        <v>5173</v>
      </c>
      <c r="F5292" t="s">
        <v>3875</v>
      </c>
      <c r="G5292">
        <v>51</v>
      </c>
    </row>
    <row r="5293" spans="1:17" x14ac:dyDescent="0.2">
      <c r="A5293" t="s">
        <v>4942</v>
      </c>
      <c r="B5293" t="s">
        <v>4895</v>
      </c>
      <c r="C5293">
        <v>3</v>
      </c>
      <c r="D5293" s="6" t="s">
        <v>4934</v>
      </c>
      <c r="E5293" s="8" t="s">
        <v>5174</v>
      </c>
      <c r="F5293" t="s">
        <v>3927</v>
      </c>
      <c r="G5293">
        <v>13</v>
      </c>
    </row>
    <row r="5294" spans="1:17" x14ac:dyDescent="0.2">
      <c r="A5294" t="s">
        <v>4942</v>
      </c>
      <c r="B5294" t="s">
        <v>4895</v>
      </c>
      <c r="C5294">
        <v>3</v>
      </c>
      <c r="D5294" s="6" t="s">
        <v>4934</v>
      </c>
      <c r="E5294" s="8" t="s">
        <v>5175</v>
      </c>
      <c r="F5294" t="s">
        <v>106</v>
      </c>
      <c r="G5294">
        <v>7</v>
      </c>
    </row>
    <row r="5295" spans="1:17" x14ac:dyDescent="0.2">
      <c r="A5295" t="s">
        <v>4942</v>
      </c>
      <c r="B5295" t="s">
        <v>4895</v>
      </c>
      <c r="C5295">
        <v>3</v>
      </c>
      <c r="D5295" s="6" t="s">
        <v>4934</v>
      </c>
      <c r="E5295" s="8" t="s">
        <v>5139</v>
      </c>
      <c r="F5295" t="s">
        <v>7138</v>
      </c>
      <c r="G5295">
        <v>4</v>
      </c>
      <c r="M5295">
        <v>2</v>
      </c>
      <c r="Q5295" t="s">
        <v>7269</v>
      </c>
    </row>
    <row r="5296" spans="1:17" x14ac:dyDescent="0.2">
      <c r="A5296" t="s">
        <v>4942</v>
      </c>
      <c r="B5296" t="s">
        <v>4895</v>
      </c>
      <c r="C5296">
        <v>3</v>
      </c>
      <c r="D5296" s="6" t="s">
        <v>4934</v>
      </c>
      <c r="E5296" s="8" t="s">
        <v>5162</v>
      </c>
      <c r="F5296" t="s">
        <v>810</v>
      </c>
      <c r="G5296">
        <v>18</v>
      </c>
    </row>
    <row r="5297" spans="1:17" x14ac:dyDescent="0.2">
      <c r="A5297" t="s">
        <v>4942</v>
      </c>
      <c r="B5297" t="s">
        <v>4895</v>
      </c>
      <c r="C5297">
        <v>4</v>
      </c>
      <c r="D5297" s="6" t="s">
        <v>4934</v>
      </c>
      <c r="E5297" s="8" t="s">
        <v>5090</v>
      </c>
      <c r="F5297" t="s">
        <v>1425</v>
      </c>
      <c r="G5297">
        <v>5</v>
      </c>
      <c r="Q5297" t="s">
        <v>7273</v>
      </c>
    </row>
    <row r="5298" spans="1:17" x14ac:dyDescent="0.2">
      <c r="A5298" t="s">
        <v>4942</v>
      </c>
      <c r="B5298" t="s">
        <v>4895</v>
      </c>
      <c r="C5298">
        <v>4</v>
      </c>
      <c r="D5298" s="6" t="s">
        <v>4934</v>
      </c>
      <c r="E5298" s="8" t="s">
        <v>5091</v>
      </c>
      <c r="F5298" t="s">
        <v>5286</v>
      </c>
      <c r="G5298">
        <v>12</v>
      </c>
      <c r="Q5298" t="s">
        <v>7274</v>
      </c>
    </row>
    <row r="5299" spans="1:17" x14ac:dyDescent="0.2">
      <c r="A5299" t="s">
        <v>4942</v>
      </c>
      <c r="B5299" t="s">
        <v>4895</v>
      </c>
      <c r="C5299">
        <v>4</v>
      </c>
      <c r="D5299" s="6" t="s">
        <v>4934</v>
      </c>
      <c r="E5299" s="8" t="s">
        <v>5092</v>
      </c>
      <c r="F5299" t="s">
        <v>1389</v>
      </c>
      <c r="G5299">
        <v>2</v>
      </c>
      <c r="Q5299" t="s">
        <v>7275</v>
      </c>
    </row>
    <row r="5300" spans="1:17" x14ac:dyDescent="0.2">
      <c r="A5300" t="s">
        <v>4942</v>
      </c>
      <c r="B5300" t="s">
        <v>4895</v>
      </c>
      <c r="C5300">
        <v>4</v>
      </c>
      <c r="D5300" s="6" t="s">
        <v>4934</v>
      </c>
      <c r="E5300" s="8" t="s">
        <v>5094</v>
      </c>
      <c r="F5300" t="s">
        <v>1389</v>
      </c>
      <c r="G5300" t="s">
        <v>114</v>
      </c>
      <c r="Q5300" t="s">
        <v>7276</v>
      </c>
    </row>
    <row r="5301" spans="1:17" x14ac:dyDescent="0.2">
      <c r="A5301" t="s">
        <v>4942</v>
      </c>
      <c r="B5301" t="s">
        <v>4895</v>
      </c>
      <c r="C5301">
        <v>4</v>
      </c>
      <c r="D5301" s="6" t="s">
        <v>4934</v>
      </c>
      <c r="E5301" s="8" t="s">
        <v>5097</v>
      </c>
      <c r="F5301" t="s">
        <v>1389</v>
      </c>
      <c r="G5301" t="s">
        <v>114</v>
      </c>
      <c r="Q5301" t="s">
        <v>7277</v>
      </c>
    </row>
    <row r="5302" spans="1:17" x14ac:dyDescent="0.2">
      <c r="A5302" t="s">
        <v>4942</v>
      </c>
      <c r="B5302" t="s">
        <v>4895</v>
      </c>
      <c r="C5302">
        <v>4</v>
      </c>
      <c r="D5302" s="6" t="s">
        <v>4934</v>
      </c>
      <c r="E5302" s="8" t="s">
        <v>5098</v>
      </c>
      <c r="F5302" t="s">
        <v>1389</v>
      </c>
      <c r="G5302">
        <v>1</v>
      </c>
      <c r="Q5302" t="s">
        <v>7278</v>
      </c>
    </row>
    <row r="5303" spans="1:17" x14ac:dyDescent="0.2">
      <c r="A5303" t="s">
        <v>4942</v>
      </c>
      <c r="B5303" t="s">
        <v>4895</v>
      </c>
      <c r="C5303">
        <v>4</v>
      </c>
      <c r="D5303" s="6" t="s">
        <v>4934</v>
      </c>
      <c r="E5303" s="8" t="s">
        <v>5166</v>
      </c>
      <c r="F5303" t="s">
        <v>1389</v>
      </c>
      <c r="G5303" t="s">
        <v>114</v>
      </c>
      <c r="Q5303" t="s">
        <v>7279</v>
      </c>
    </row>
    <row r="5304" spans="1:17" x14ac:dyDescent="0.2">
      <c r="A5304" t="s">
        <v>4942</v>
      </c>
      <c r="B5304" t="s">
        <v>4895</v>
      </c>
      <c r="C5304">
        <v>4</v>
      </c>
      <c r="D5304" s="6" t="s">
        <v>4934</v>
      </c>
      <c r="E5304" s="8" t="s">
        <v>5167</v>
      </c>
      <c r="F5304" t="s">
        <v>1311</v>
      </c>
      <c r="G5304">
        <v>2</v>
      </c>
      <c r="Q5304" t="s">
        <v>7280</v>
      </c>
    </row>
    <row r="5305" spans="1:17" x14ac:dyDescent="0.2">
      <c r="A5305" t="s">
        <v>4942</v>
      </c>
      <c r="B5305" t="s">
        <v>4895</v>
      </c>
      <c r="C5305">
        <v>4</v>
      </c>
      <c r="D5305" s="6" t="s">
        <v>4934</v>
      </c>
      <c r="E5305" s="8" t="s">
        <v>5168</v>
      </c>
      <c r="F5305" t="s">
        <v>6359</v>
      </c>
      <c r="G5305" t="s">
        <v>114</v>
      </c>
      <c r="Q5305" t="s">
        <v>7281</v>
      </c>
    </row>
    <row r="5306" spans="1:17" x14ac:dyDescent="0.2">
      <c r="A5306" t="s">
        <v>4942</v>
      </c>
      <c r="B5306" t="s">
        <v>4895</v>
      </c>
      <c r="C5306">
        <v>4</v>
      </c>
      <c r="D5306" s="6" t="s">
        <v>4934</v>
      </c>
      <c r="E5306" s="8" t="s">
        <v>5169</v>
      </c>
      <c r="F5306" t="s">
        <v>6359</v>
      </c>
      <c r="G5306">
        <v>1</v>
      </c>
      <c r="Q5306" t="s">
        <v>7282</v>
      </c>
    </row>
    <row r="5307" spans="1:17" x14ac:dyDescent="0.2">
      <c r="A5307" t="s">
        <v>4942</v>
      </c>
      <c r="B5307" t="s">
        <v>4895</v>
      </c>
      <c r="C5307">
        <v>4</v>
      </c>
      <c r="D5307" s="6" t="s">
        <v>4934</v>
      </c>
      <c r="E5307" s="8" t="s">
        <v>5170</v>
      </c>
      <c r="F5307" t="s">
        <v>6359</v>
      </c>
      <c r="G5307">
        <v>1</v>
      </c>
      <c r="Q5307" t="s">
        <v>7283</v>
      </c>
    </row>
    <row r="5308" spans="1:17" x14ac:dyDescent="0.2">
      <c r="A5308" t="s">
        <v>4942</v>
      </c>
      <c r="B5308" t="s">
        <v>4895</v>
      </c>
      <c r="C5308">
        <v>4</v>
      </c>
      <c r="D5308" s="6" t="s">
        <v>4934</v>
      </c>
      <c r="E5308" s="8" t="s">
        <v>5171</v>
      </c>
      <c r="F5308" t="s">
        <v>6359</v>
      </c>
      <c r="G5308">
        <v>2</v>
      </c>
      <c r="Q5308" t="s">
        <v>7284</v>
      </c>
    </row>
    <row r="5309" spans="1:17" x14ac:dyDescent="0.2">
      <c r="A5309" t="s">
        <v>4942</v>
      </c>
      <c r="B5309" t="s">
        <v>4895</v>
      </c>
      <c r="C5309">
        <v>4</v>
      </c>
      <c r="D5309" s="6" t="s">
        <v>4934</v>
      </c>
      <c r="E5309" s="8" t="s">
        <v>5140</v>
      </c>
      <c r="F5309" t="s">
        <v>6359</v>
      </c>
      <c r="G5309">
        <v>1</v>
      </c>
      <c r="Q5309" t="s">
        <v>7285</v>
      </c>
    </row>
    <row r="5310" spans="1:17" x14ac:dyDescent="0.2">
      <c r="A5310" t="s">
        <v>4942</v>
      </c>
      <c r="B5310" t="s">
        <v>4895</v>
      </c>
      <c r="C5310">
        <v>4</v>
      </c>
      <c r="D5310" s="6" t="s">
        <v>4934</v>
      </c>
      <c r="E5310" s="8" t="s">
        <v>5141</v>
      </c>
      <c r="F5310" t="s">
        <v>6359</v>
      </c>
      <c r="G5310">
        <v>3</v>
      </c>
      <c r="M5310">
        <v>4</v>
      </c>
    </row>
    <row r="5311" spans="1:17" x14ac:dyDescent="0.2">
      <c r="A5311" t="s">
        <v>4942</v>
      </c>
      <c r="B5311" t="s">
        <v>4895</v>
      </c>
      <c r="C5311">
        <v>4</v>
      </c>
      <c r="D5311" s="6" t="s">
        <v>4934</v>
      </c>
      <c r="E5311" s="8" t="s">
        <v>5142</v>
      </c>
      <c r="F5311" t="s">
        <v>5363</v>
      </c>
      <c r="G5311">
        <v>50</v>
      </c>
      <c r="Q5311" t="s">
        <v>7270</v>
      </c>
    </row>
    <row r="5312" spans="1:17" x14ac:dyDescent="0.2">
      <c r="A5312" t="s">
        <v>4942</v>
      </c>
      <c r="B5312" t="s">
        <v>4895</v>
      </c>
      <c r="C5312">
        <v>4</v>
      </c>
      <c r="D5312" s="6" t="s">
        <v>4934</v>
      </c>
      <c r="E5312" s="8" t="s">
        <v>5143</v>
      </c>
      <c r="F5312" t="s">
        <v>6239</v>
      </c>
      <c r="G5312">
        <v>1</v>
      </c>
      <c r="Q5312" t="s">
        <v>7271</v>
      </c>
    </row>
    <row r="5313" spans="1:17" x14ac:dyDescent="0.2">
      <c r="A5313" t="s">
        <v>4942</v>
      </c>
      <c r="B5313" t="s">
        <v>4895</v>
      </c>
      <c r="C5313">
        <v>4</v>
      </c>
      <c r="D5313" s="6" t="s">
        <v>4934</v>
      </c>
      <c r="E5313" s="8" t="s">
        <v>5144</v>
      </c>
      <c r="F5313" t="s">
        <v>7138</v>
      </c>
      <c r="G5313">
        <v>2</v>
      </c>
      <c r="M5313">
        <v>5</v>
      </c>
      <c r="Q5313" t="s">
        <v>7272</v>
      </c>
    </row>
    <row r="5314" spans="1:17" x14ac:dyDescent="0.2">
      <c r="A5314" t="s">
        <v>4942</v>
      </c>
      <c r="B5314" t="s">
        <v>4895</v>
      </c>
      <c r="C5314">
        <v>4</v>
      </c>
      <c r="D5314" s="6" t="s">
        <v>4934</v>
      </c>
      <c r="E5314" s="8" t="s">
        <v>5145</v>
      </c>
      <c r="F5314" t="s">
        <v>106</v>
      </c>
      <c r="G5314">
        <v>11</v>
      </c>
    </row>
    <row r="5315" spans="1:17" x14ac:dyDescent="0.2">
      <c r="A5315" t="s">
        <v>4942</v>
      </c>
      <c r="B5315" t="s">
        <v>4895</v>
      </c>
      <c r="C5315">
        <v>4</v>
      </c>
      <c r="D5315" s="6" t="s">
        <v>4934</v>
      </c>
      <c r="E5315" s="8" t="s">
        <v>5146</v>
      </c>
      <c r="F5315" t="s">
        <v>5255</v>
      </c>
      <c r="G5315">
        <v>26</v>
      </c>
      <c r="O5315" t="s">
        <v>5364</v>
      </c>
    </row>
    <row r="5316" spans="1:17" x14ac:dyDescent="0.2">
      <c r="A5316" t="s">
        <v>4942</v>
      </c>
      <c r="B5316" t="s">
        <v>4895</v>
      </c>
      <c r="C5316">
        <v>4</v>
      </c>
      <c r="D5316" s="6" t="s">
        <v>4934</v>
      </c>
      <c r="E5316" s="8" t="s">
        <v>5147</v>
      </c>
      <c r="F5316" t="s">
        <v>5365</v>
      </c>
      <c r="G5316">
        <v>1</v>
      </c>
      <c r="M5316">
        <v>4</v>
      </c>
    </row>
    <row r="5317" spans="1:17" x14ac:dyDescent="0.2">
      <c r="A5317" t="s">
        <v>4942</v>
      </c>
      <c r="B5317" t="s">
        <v>4895</v>
      </c>
      <c r="C5317">
        <v>4</v>
      </c>
      <c r="D5317" s="6" t="s">
        <v>4934</v>
      </c>
      <c r="E5317" s="8" t="s">
        <v>5148</v>
      </c>
      <c r="F5317" t="s">
        <v>121</v>
      </c>
      <c r="G5317">
        <v>3</v>
      </c>
    </row>
    <row r="5318" spans="1:17" x14ac:dyDescent="0.2">
      <c r="A5318" t="s">
        <v>4942</v>
      </c>
      <c r="B5318" t="s">
        <v>4895</v>
      </c>
      <c r="C5318">
        <v>4</v>
      </c>
      <c r="D5318" s="6" t="s">
        <v>4934</v>
      </c>
      <c r="E5318" s="8" t="s">
        <v>5089</v>
      </c>
      <c r="F5318" t="s">
        <v>5127</v>
      </c>
      <c r="G5318">
        <v>70</v>
      </c>
      <c r="O5318" t="s">
        <v>5366</v>
      </c>
    </row>
    <row r="5319" spans="1:17" x14ac:dyDescent="0.2">
      <c r="A5319" t="s">
        <v>4942</v>
      </c>
      <c r="B5319" t="s">
        <v>4895</v>
      </c>
      <c r="C5319">
        <v>4</v>
      </c>
      <c r="D5319" s="6" t="s">
        <v>4934</v>
      </c>
      <c r="E5319" s="8" t="s">
        <v>5149</v>
      </c>
      <c r="F5319" t="s">
        <v>2836</v>
      </c>
      <c r="G5319">
        <v>2</v>
      </c>
      <c r="M5319">
        <v>3</v>
      </c>
    </row>
    <row r="5320" spans="1:17" x14ac:dyDescent="0.2">
      <c r="A5320" t="s">
        <v>4942</v>
      </c>
      <c r="B5320" t="s">
        <v>4895</v>
      </c>
      <c r="C5320">
        <v>4</v>
      </c>
      <c r="D5320" s="6" t="s">
        <v>4934</v>
      </c>
      <c r="E5320" s="8" t="s">
        <v>5081</v>
      </c>
      <c r="F5320" t="s">
        <v>3875</v>
      </c>
      <c r="H5320">
        <f>2.034-0.261</f>
        <v>1.7729999999999997</v>
      </c>
      <c r="O5320" t="s">
        <v>5367</v>
      </c>
    </row>
    <row r="5321" spans="1:17" x14ac:dyDescent="0.2">
      <c r="A5321" t="s">
        <v>4942</v>
      </c>
      <c r="B5321" t="s">
        <v>4895</v>
      </c>
      <c r="C5321">
        <v>4</v>
      </c>
      <c r="D5321" s="6" t="s">
        <v>4934</v>
      </c>
      <c r="E5321" s="8" t="s">
        <v>5082</v>
      </c>
      <c r="F5321" t="s">
        <v>1264</v>
      </c>
      <c r="H5321">
        <v>1.7390000000000001</v>
      </c>
      <c r="O5321" t="s">
        <v>5368</v>
      </c>
    </row>
    <row r="5322" spans="1:17" x14ac:dyDescent="0.2">
      <c r="A5322" t="s">
        <v>4942</v>
      </c>
      <c r="B5322" t="s">
        <v>4895</v>
      </c>
      <c r="C5322">
        <v>5</v>
      </c>
      <c r="D5322" s="6" t="s">
        <v>4934</v>
      </c>
      <c r="E5322" s="8" t="s">
        <v>5081</v>
      </c>
      <c r="F5322" t="s">
        <v>1264</v>
      </c>
      <c r="G5322">
        <v>97</v>
      </c>
    </row>
    <row r="5323" spans="1:17" x14ac:dyDescent="0.2">
      <c r="A5323" t="s">
        <v>4942</v>
      </c>
      <c r="B5323" t="s">
        <v>4895</v>
      </c>
      <c r="C5323">
        <v>5</v>
      </c>
      <c r="D5323" s="6" t="s">
        <v>4934</v>
      </c>
      <c r="E5323" s="8" t="s">
        <v>5082</v>
      </c>
      <c r="F5323" t="s">
        <v>6862</v>
      </c>
      <c r="G5323" t="s">
        <v>114</v>
      </c>
      <c r="Q5323" t="s">
        <v>7286</v>
      </c>
    </row>
    <row r="5324" spans="1:17" x14ac:dyDescent="0.2">
      <c r="A5324" t="s">
        <v>4942</v>
      </c>
      <c r="B5324" t="s">
        <v>4895</v>
      </c>
      <c r="C5324">
        <v>5</v>
      </c>
      <c r="D5324" s="6" t="s">
        <v>4934</v>
      </c>
      <c r="E5324" s="8" t="s">
        <v>5089</v>
      </c>
      <c r="F5324" t="s">
        <v>1538</v>
      </c>
      <c r="G5324" t="s">
        <v>114</v>
      </c>
      <c r="Q5324" t="s">
        <v>7287</v>
      </c>
    </row>
    <row r="5325" spans="1:17" x14ac:dyDescent="0.2">
      <c r="A5325" t="s">
        <v>4942</v>
      </c>
      <c r="B5325" t="s">
        <v>4895</v>
      </c>
      <c r="C5325">
        <v>5</v>
      </c>
      <c r="D5325" s="6" t="s">
        <v>4934</v>
      </c>
      <c r="E5325" s="8" t="s">
        <v>5090</v>
      </c>
      <c r="F5325" t="s">
        <v>1311</v>
      </c>
      <c r="G5325">
        <v>2</v>
      </c>
      <c r="Q5325" t="s">
        <v>7288</v>
      </c>
    </row>
    <row r="5326" spans="1:17" x14ac:dyDescent="0.2">
      <c r="A5326" t="s">
        <v>4942</v>
      </c>
      <c r="B5326" t="s">
        <v>4895</v>
      </c>
      <c r="C5326">
        <v>5</v>
      </c>
      <c r="D5326" s="6" t="s">
        <v>4934</v>
      </c>
      <c r="E5326" s="8" t="s">
        <v>5091</v>
      </c>
      <c r="F5326" t="s">
        <v>1389</v>
      </c>
      <c r="G5326" t="s">
        <v>114</v>
      </c>
      <c r="Q5326" t="s">
        <v>7289</v>
      </c>
    </row>
    <row r="5327" spans="1:17" x14ac:dyDescent="0.2">
      <c r="A5327" t="s">
        <v>4942</v>
      </c>
      <c r="B5327" t="s">
        <v>4895</v>
      </c>
      <c r="C5327">
        <v>5</v>
      </c>
      <c r="D5327" s="6" t="s">
        <v>4934</v>
      </c>
      <c r="E5327" s="8" t="s">
        <v>5092</v>
      </c>
      <c r="F5327" t="s">
        <v>1425</v>
      </c>
      <c r="G5327">
        <v>4</v>
      </c>
      <c r="Q5327" t="s">
        <v>7290</v>
      </c>
    </row>
    <row r="5328" spans="1:17" x14ac:dyDescent="0.2">
      <c r="A5328" t="s">
        <v>4942</v>
      </c>
      <c r="B5328" t="s">
        <v>4895</v>
      </c>
      <c r="C5328">
        <v>5</v>
      </c>
      <c r="D5328" s="6" t="s">
        <v>4934</v>
      </c>
      <c r="E5328" s="8" t="s">
        <v>5094</v>
      </c>
      <c r="F5328" t="s">
        <v>5656</v>
      </c>
      <c r="G5328">
        <v>7</v>
      </c>
      <c r="Q5328" t="s">
        <v>7291</v>
      </c>
    </row>
    <row r="5329" spans="1:17" x14ac:dyDescent="0.2">
      <c r="A5329" t="s">
        <v>4942</v>
      </c>
      <c r="B5329" t="s">
        <v>4895</v>
      </c>
      <c r="C5329">
        <v>5</v>
      </c>
      <c r="D5329" s="6" t="s">
        <v>4934</v>
      </c>
      <c r="E5329" s="8" t="s">
        <v>5168</v>
      </c>
      <c r="F5329" t="s">
        <v>3927</v>
      </c>
      <c r="G5329">
        <v>1</v>
      </c>
    </row>
    <row r="5330" spans="1:17" x14ac:dyDescent="0.2">
      <c r="A5330" t="s">
        <v>4942</v>
      </c>
      <c r="B5330" t="s">
        <v>4895</v>
      </c>
      <c r="C5330">
        <v>5</v>
      </c>
      <c r="D5330" s="6" t="s">
        <v>4934</v>
      </c>
      <c r="E5330" s="8" t="s">
        <v>5098</v>
      </c>
      <c r="F5330" t="s">
        <v>5370</v>
      </c>
      <c r="G5330">
        <v>90</v>
      </c>
      <c r="O5330" t="s">
        <v>5371</v>
      </c>
    </row>
    <row r="5331" spans="1:17" x14ac:dyDescent="0.2">
      <c r="A5331" t="s">
        <v>4942</v>
      </c>
      <c r="B5331" t="s">
        <v>4895</v>
      </c>
      <c r="C5331">
        <v>5</v>
      </c>
      <c r="D5331" s="6" t="s">
        <v>4934</v>
      </c>
      <c r="E5331" s="8" t="s">
        <v>5166</v>
      </c>
      <c r="F5331" t="s">
        <v>106</v>
      </c>
      <c r="G5331">
        <v>2</v>
      </c>
    </row>
    <row r="5332" spans="1:17" x14ac:dyDescent="0.2">
      <c r="A5332" t="s">
        <v>4942</v>
      </c>
      <c r="B5332" t="s">
        <v>4895</v>
      </c>
      <c r="C5332">
        <v>5</v>
      </c>
      <c r="D5332" s="6" t="s">
        <v>4934</v>
      </c>
      <c r="E5332" s="8" t="s">
        <v>5167</v>
      </c>
      <c r="F5332" t="s">
        <v>3469</v>
      </c>
      <c r="G5332">
        <v>1</v>
      </c>
      <c r="O5332" t="s">
        <v>5258</v>
      </c>
    </row>
    <row r="5333" spans="1:17" x14ac:dyDescent="0.2">
      <c r="A5333" t="s">
        <v>4942</v>
      </c>
      <c r="B5333" t="s">
        <v>4895</v>
      </c>
      <c r="C5333">
        <v>5</v>
      </c>
      <c r="D5333" s="6" t="s">
        <v>4934</v>
      </c>
      <c r="E5333" s="8" t="s">
        <v>5097</v>
      </c>
      <c r="F5333" t="s">
        <v>3875</v>
      </c>
      <c r="G5333">
        <v>8</v>
      </c>
      <c r="M5333">
        <v>5</v>
      </c>
    </row>
    <row r="5334" spans="1:17" x14ac:dyDescent="0.2">
      <c r="A5334" t="s">
        <v>4942</v>
      </c>
      <c r="B5334" t="s">
        <v>4895</v>
      </c>
      <c r="C5334">
        <v>5</v>
      </c>
      <c r="D5334" s="6" t="s">
        <v>4934</v>
      </c>
      <c r="E5334" s="8" t="s">
        <v>5169</v>
      </c>
      <c r="F5334" t="s">
        <v>112</v>
      </c>
      <c r="G5334" t="s">
        <v>114</v>
      </c>
    </row>
    <row r="5335" spans="1:17" x14ac:dyDescent="0.2">
      <c r="A5335" t="s">
        <v>4942</v>
      </c>
      <c r="B5335" t="s">
        <v>4895</v>
      </c>
      <c r="C5335">
        <v>6</v>
      </c>
      <c r="D5335" s="6" t="s">
        <v>4934</v>
      </c>
      <c r="E5335" s="8" t="s">
        <v>5081</v>
      </c>
      <c r="F5335" t="s">
        <v>1264</v>
      </c>
      <c r="H5335">
        <f>1.908-0.587</f>
        <v>1.321</v>
      </c>
      <c r="O5335" t="s">
        <v>5382</v>
      </c>
    </row>
    <row r="5336" spans="1:17" x14ac:dyDescent="0.2">
      <c r="A5336" t="s">
        <v>4942</v>
      </c>
      <c r="B5336" t="s">
        <v>4895</v>
      </c>
      <c r="C5336">
        <v>6</v>
      </c>
      <c r="D5336" s="6" t="s">
        <v>4934</v>
      </c>
      <c r="E5336" s="8" t="s">
        <v>5082</v>
      </c>
      <c r="F5336" t="s">
        <v>5381</v>
      </c>
      <c r="G5336">
        <f>0.825-0.357</f>
        <v>0.46799999999999997</v>
      </c>
      <c r="O5336" t="s">
        <v>5383</v>
      </c>
    </row>
    <row r="5337" spans="1:17" x14ac:dyDescent="0.2">
      <c r="A5337" t="s">
        <v>4942</v>
      </c>
      <c r="B5337" t="s">
        <v>4895</v>
      </c>
      <c r="C5337">
        <v>6</v>
      </c>
      <c r="D5337" s="6" t="s">
        <v>4934</v>
      </c>
      <c r="E5337" s="8" t="s">
        <v>5089</v>
      </c>
      <c r="F5337" t="s">
        <v>7307</v>
      </c>
      <c r="G5337">
        <v>17</v>
      </c>
      <c r="Q5337" t="s">
        <v>7316</v>
      </c>
    </row>
    <row r="5338" spans="1:17" x14ac:dyDescent="0.2">
      <c r="A5338" t="s">
        <v>4942</v>
      </c>
      <c r="B5338" t="s">
        <v>4895</v>
      </c>
      <c r="C5338">
        <v>6</v>
      </c>
      <c r="D5338" s="6" t="s">
        <v>4934</v>
      </c>
      <c r="E5338" s="8" t="s">
        <v>5090</v>
      </c>
      <c r="F5338" t="s">
        <v>5869</v>
      </c>
      <c r="G5338">
        <v>72</v>
      </c>
      <c r="Q5338" t="s">
        <v>5892</v>
      </c>
    </row>
    <row r="5339" spans="1:17" x14ac:dyDescent="0.2">
      <c r="A5339" t="s">
        <v>4942</v>
      </c>
      <c r="B5339" t="s">
        <v>4895</v>
      </c>
      <c r="C5339">
        <v>6</v>
      </c>
      <c r="D5339" s="6" t="s">
        <v>4934</v>
      </c>
      <c r="E5339" s="8" t="s">
        <v>5091</v>
      </c>
      <c r="F5339" t="s">
        <v>5869</v>
      </c>
      <c r="G5339">
        <v>42</v>
      </c>
      <c r="Q5339" t="s">
        <v>5893</v>
      </c>
    </row>
    <row r="5340" spans="1:17" x14ac:dyDescent="0.2">
      <c r="A5340" t="s">
        <v>4942</v>
      </c>
      <c r="B5340" t="s">
        <v>4895</v>
      </c>
      <c r="C5340">
        <v>6</v>
      </c>
      <c r="D5340" s="6" t="s">
        <v>4934</v>
      </c>
      <c r="E5340" s="8" t="s">
        <v>5092</v>
      </c>
      <c r="F5340" t="s">
        <v>5869</v>
      </c>
      <c r="G5340">
        <v>31</v>
      </c>
      <c r="Q5340" t="s">
        <v>5894</v>
      </c>
    </row>
    <row r="5341" spans="1:17" x14ac:dyDescent="0.2">
      <c r="A5341" t="s">
        <v>4942</v>
      </c>
      <c r="B5341" t="s">
        <v>4895</v>
      </c>
      <c r="C5341">
        <v>6</v>
      </c>
      <c r="D5341" s="6" t="s">
        <v>4934</v>
      </c>
      <c r="E5341" s="8" t="s">
        <v>5094</v>
      </c>
      <c r="F5341" t="s">
        <v>6862</v>
      </c>
      <c r="G5341">
        <v>3</v>
      </c>
      <c r="Q5341" t="s">
        <v>7311</v>
      </c>
    </row>
    <row r="5342" spans="1:17" x14ac:dyDescent="0.2">
      <c r="A5342" t="s">
        <v>4942</v>
      </c>
      <c r="B5342" t="s">
        <v>4895</v>
      </c>
      <c r="C5342">
        <v>6</v>
      </c>
      <c r="D5342" s="6" t="s">
        <v>4934</v>
      </c>
      <c r="E5342" s="8" t="s">
        <v>5097</v>
      </c>
      <c r="F5342" t="s">
        <v>6862</v>
      </c>
      <c r="G5342" t="s">
        <v>114</v>
      </c>
      <c r="Q5342" t="s">
        <v>7317</v>
      </c>
    </row>
    <row r="5343" spans="1:17" x14ac:dyDescent="0.2">
      <c r="A5343" t="s">
        <v>4942</v>
      </c>
      <c r="B5343" t="s">
        <v>4895</v>
      </c>
      <c r="C5343">
        <v>6</v>
      </c>
      <c r="D5343" s="6" t="s">
        <v>4934</v>
      </c>
      <c r="E5343" s="8" t="s">
        <v>5098</v>
      </c>
      <c r="F5343" t="s">
        <v>6862</v>
      </c>
      <c r="G5343">
        <v>1</v>
      </c>
      <c r="Q5343" t="s">
        <v>7310</v>
      </c>
    </row>
    <row r="5344" spans="1:17" x14ac:dyDescent="0.2">
      <c r="A5344" t="s">
        <v>4942</v>
      </c>
      <c r="B5344" t="s">
        <v>4895</v>
      </c>
      <c r="C5344">
        <v>6</v>
      </c>
      <c r="D5344" s="6" t="s">
        <v>4934</v>
      </c>
      <c r="E5344" s="8" t="s">
        <v>5166</v>
      </c>
      <c r="F5344" t="s">
        <v>6862</v>
      </c>
      <c r="G5344">
        <v>1</v>
      </c>
      <c r="Q5344" t="s">
        <v>7309</v>
      </c>
    </row>
    <row r="5345" spans="1:17" x14ac:dyDescent="0.2">
      <c r="A5345" t="s">
        <v>4942</v>
      </c>
      <c r="B5345" t="s">
        <v>4895</v>
      </c>
      <c r="C5345">
        <v>6</v>
      </c>
      <c r="D5345" s="6" t="s">
        <v>4934</v>
      </c>
      <c r="E5345" s="8" t="s">
        <v>5167</v>
      </c>
      <c r="F5345" t="s">
        <v>6862</v>
      </c>
      <c r="G5345" t="s">
        <v>114</v>
      </c>
      <c r="Q5345" t="s">
        <v>7308</v>
      </c>
    </row>
    <row r="5346" spans="1:17" x14ac:dyDescent="0.2">
      <c r="A5346" t="s">
        <v>4942</v>
      </c>
      <c r="B5346" t="s">
        <v>4895</v>
      </c>
      <c r="C5346">
        <v>6</v>
      </c>
      <c r="D5346" s="6" t="s">
        <v>4934</v>
      </c>
      <c r="E5346" s="8" t="s">
        <v>5168</v>
      </c>
      <c r="F5346" t="s">
        <v>6862</v>
      </c>
      <c r="G5346">
        <v>6</v>
      </c>
      <c r="M5346">
        <v>7</v>
      </c>
    </row>
    <row r="5347" spans="1:17" x14ac:dyDescent="0.2">
      <c r="A5347" t="s">
        <v>4942</v>
      </c>
      <c r="B5347" t="s">
        <v>4895</v>
      </c>
      <c r="C5347">
        <v>6</v>
      </c>
      <c r="D5347" s="6" t="s">
        <v>4934</v>
      </c>
      <c r="E5347" s="8" t="s">
        <v>5169</v>
      </c>
      <c r="F5347" t="s">
        <v>6654</v>
      </c>
      <c r="G5347">
        <v>2</v>
      </c>
      <c r="Q5347" t="s">
        <v>7315</v>
      </c>
    </row>
    <row r="5348" spans="1:17" x14ac:dyDescent="0.2">
      <c r="A5348" t="s">
        <v>4942</v>
      </c>
      <c r="B5348" t="s">
        <v>4895</v>
      </c>
      <c r="C5348">
        <v>6</v>
      </c>
      <c r="D5348" s="6" t="s">
        <v>4934</v>
      </c>
      <c r="E5348" s="8" t="s">
        <v>5170</v>
      </c>
      <c r="F5348" t="s">
        <v>6654</v>
      </c>
      <c r="G5348">
        <v>1</v>
      </c>
      <c r="Q5348" t="s">
        <v>7314</v>
      </c>
    </row>
    <row r="5349" spans="1:17" x14ac:dyDescent="0.2">
      <c r="A5349" t="s">
        <v>4942</v>
      </c>
      <c r="B5349" t="s">
        <v>4895</v>
      </c>
      <c r="C5349">
        <v>6</v>
      </c>
      <c r="D5349" s="6" t="s">
        <v>4934</v>
      </c>
      <c r="E5349" s="8" t="s">
        <v>5171</v>
      </c>
      <c r="F5349" t="s">
        <v>5387</v>
      </c>
      <c r="G5349">
        <v>7</v>
      </c>
      <c r="Q5349" t="s">
        <v>7313</v>
      </c>
    </row>
    <row r="5350" spans="1:17" x14ac:dyDescent="0.2">
      <c r="A5350" t="s">
        <v>4942</v>
      </c>
      <c r="B5350" t="s">
        <v>4895</v>
      </c>
      <c r="C5350">
        <v>6</v>
      </c>
      <c r="D5350" s="6" t="s">
        <v>4934</v>
      </c>
      <c r="E5350" s="8" t="s">
        <v>5140</v>
      </c>
      <c r="F5350" t="s">
        <v>6239</v>
      </c>
      <c r="G5350">
        <v>2</v>
      </c>
      <c r="Q5350" t="s">
        <v>7312</v>
      </c>
    </row>
    <row r="5351" spans="1:17" x14ac:dyDescent="0.2">
      <c r="A5351" t="s">
        <v>4942</v>
      </c>
      <c r="B5351" t="s">
        <v>4895</v>
      </c>
      <c r="C5351">
        <v>6</v>
      </c>
      <c r="D5351" s="6" t="s">
        <v>4934</v>
      </c>
      <c r="E5351" s="8" t="s">
        <v>5158</v>
      </c>
      <c r="F5351" t="s">
        <v>1389</v>
      </c>
      <c r="G5351" t="s">
        <v>114</v>
      </c>
      <c r="Q5351" t="s">
        <v>7302</v>
      </c>
    </row>
    <row r="5352" spans="1:17" x14ac:dyDescent="0.2">
      <c r="A5352" t="s">
        <v>4942</v>
      </c>
      <c r="B5352" t="s">
        <v>4895</v>
      </c>
      <c r="C5352">
        <v>6</v>
      </c>
      <c r="D5352" s="6" t="s">
        <v>4934</v>
      </c>
      <c r="E5352" s="8" t="s">
        <v>5172</v>
      </c>
      <c r="F5352" t="s">
        <v>1389</v>
      </c>
      <c r="G5352" t="s">
        <v>114</v>
      </c>
      <c r="Q5352" t="s">
        <v>7303</v>
      </c>
    </row>
    <row r="5353" spans="1:17" x14ac:dyDescent="0.2">
      <c r="A5353" t="s">
        <v>4942</v>
      </c>
      <c r="B5353" t="s">
        <v>4895</v>
      </c>
      <c r="C5353">
        <v>6</v>
      </c>
      <c r="D5353" s="6" t="s">
        <v>4934</v>
      </c>
      <c r="E5353" s="8" t="s">
        <v>5173</v>
      </c>
      <c r="F5353" t="s">
        <v>1389</v>
      </c>
      <c r="G5353" t="s">
        <v>114</v>
      </c>
      <c r="Q5353" t="s">
        <v>7304</v>
      </c>
    </row>
    <row r="5354" spans="1:17" x14ac:dyDescent="0.2">
      <c r="A5354" t="s">
        <v>4942</v>
      </c>
      <c r="B5354" t="s">
        <v>4895</v>
      </c>
      <c r="C5354">
        <v>6</v>
      </c>
      <c r="D5354" s="6" t="s">
        <v>4934</v>
      </c>
      <c r="E5354" s="8" t="s">
        <v>5174</v>
      </c>
      <c r="F5354" t="s">
        <v>1389</v>
      </c>
      <c r="G5354">
        <v>1</v>
      </c>
      <c r="Q5354" t="s">
        <v>7305</v>
      </c>
    </row>
    <row r="5355" spans="1:17" x14ac:dyDescent="0.2">
      <c r="A5355" t="s">
        <v>4942</v>
      </c>
      <c r="B5355" t="s">
        <v>4895</v>
      </c>
      <c r="C5355">
        <v>6</v>
      </c>
      <c r="D5355" s="6" t="s">
        <v>4934</v>
      </c>
      <c r="E5355" s="8" t="s">
        <v>5175</v>
      </c>
      <c r="F5355" t="s">
        <v>1389</v>
      </c>
      <c r="G5355" t="s">
        <v>114</v>
      </c>
      <c r="Q5355" t="s">
        <v>7306</v>
      </c>
    </row>
    <row r="5356" spans="1:17" x14ac:dyDescent="0.2">
      <c r="A5356" t="s">
        <v>4942</v>
      </c>
      <c r="B5356" t="s">
        <v>4895</v>
      </c>
      <c r="C5356">
        <v>6</v>
      </c>
      <c r="D5356" s="6" t="s">
        <v>4934</v>
      </c>
      <c r="E5356" s="8" t="s">
        <v>5139</v>
      </c>
      <c r="F5356" t="s">
        <v>6239</v>
      </c>
      <c r="G5356" t="s">
        <v>114</v>
      </c>
      <c r="Q5356" t="s">
        <v>7297</v>
      </c>
    </row>
    <row r="5357" spans="1:17" x14ac:dyDescent="0.2">
      <c r="A5357" t="s">
        <v>4942</v>
      </c>
      <c r="B5357" t="s">
        <v>4895</v>
      </c>
      <c r="C5357">
        <v>6</v>
      </c>
      <c r="D5357" s="6" t="s">
        <v>4934</v>
      </c>
      <c r="E5357" s="8" t="s">
        <v>5162</v>
      </c>
      <c r="F5357" t="s">
        <v>6239</v>
      </c>
      <c r="G5357" t="s">
        <v>114</v>
      </c>
      <c r="Q5357" t="s">
        <v>7298</v>
      </c>
    </row>
    <row r="5358" spans="1:17" x14ac:dyDescent="0.2">
      <c r="A5358" t="s">
        <v>4942</v>
      </c>
      <c r="B5358" t="s">
        <v>4895</v>
      </c>
      <c r="C5358">
        <v>6</v>
      </c>
      <c r="D5358" s="6" t="s">
        <v>4934</v>
      </c>
      <c r="E5358" s="8" t="s">
        <v>5159</v>
      </c>
      <c r="F5358" t="s">
        <v>6239</v>
      </c>
      <c r="G5358">
        <v>1</v>
      </c>
      <c r="Q5358" t="s">
        <v>7299</v>
      </c>
    </row>
    <row r="5359" spans="1:17" x14ac:dyDescent="0.2">
      <c r="A5359" t="s">
        <v>4942</v>
      </c>
      <c r="B5359" t="s">
        <v>4895</v>
      </c>
      <c r="C5359">
        <v>6</v>
      </c>
      <c r="D5359" s="6" t="s">
        <v>4934</v>
      </c>
      <c r="E5359" s="8" t="s">
        <v>5160</v>
      </c>
      <c r="F5359" t="s">
        <v>6239</v>
      </c>
      <c r="G5359">
        <v>1</v>
      </c>
      <c r="Q5359" t="s">
        <v>7300</v>
      </c>
    </row>
    <row r="5360" spans="1:17" x14ac:dyDescent="0.2">
      <c r="A5360" t="s">
        <v>4942</v>
      </c>
      <c r="B5360" t="s">
        <v>4895</v>
      </c>
      <c r="C5360">
        <v>6</v>
      </c>
      <c r="D5360" s="6" t="s">
        <v>4934</v>
      </c>
      <c r="E5360" s="8" t="s">
        <v>5161</v>
      </c>
      <c r="F5360" t="s">
        <v>6239</v>
      </c>
      <c r="G5360" t="s">
        <v>114</v>
      </c>
      <c r="Q5360" t="s">
        <v>7301</v>
      </c>
    </row>
    <row r="5361" spans="1:17" x14ac:dyDescent="0.2">
      <c r="A5361" t="s">
        <v>4942</v>
      </c>
      <c r="B5361" t="s">
        <v>4895</v>
      </c>
      <c r="C5361">
        <v>6</v>
      </c>
      <c r="D5361" s="6" t="s">
        <v>4934</v>
      </c>
      <c r="E5361" s="8" t="s">
        <v>5189</v>
      </c>
      <c r="F5361" t="s">
        <v>6239</v>
      </c>
      <c r="G5361">
        <v>2</v>
      </c>
      <c r="M5361">
        <v>5</v>
      </c>
    </row>
    <row r="5362" spans="1:17" x14ac:dyDescent="0.2">
      <c r="A5362" t="s">
        <v>4942</v>
      </c>
      <c r="B5362" t="s">
        <v>4895</v>
      </c>
      <c r="C5362">
        <v>6</v>
      </c>
      <c r="D5362" s="6" t="s">
        <v>4934</v>
      </c>
      <c r="E5362" t="s">
        <v>5056</v>
      </c>
      <c r="F5362" t="s">
        <v>5301</v>
      </c>
      <c r="G5362">
        <v>19</v>
      </c>
      <c r="M5362">
        <v>20</v>
      </c>
    </row>
    <row r="5363" spans="1:17" x14ac:dyDescent="0.2">
      <c r="A5363" t="s">
        <v>4942</v>
      </c>
      <c r="B5363" t="s">
        <v>4895</v>
      </c>
      <c r="C5363">
        <v>6</v>
      </c>
      <c r="D5363" s="6" t="s">
        <v>4934</v>
      </c>
      <c r="E5363" s="8" t="s">
        <v>5185</v>
      </c>
      <c r="F5363" t="s">
        <v>5385</v>
      </c>
      <c r="G5363">
        <v>1</v>
      </c>
      <c r="O5363" t="s">
        <v>5384</v>
      </c>
      <c r="Q5363" t="s">
        <v>7296</v>
      </c>
    </row>
    <row r="5364" spans="1:17" x14ac:dyDescent="0.2">
      <c r="A5364" t="s">
        <v>4942</v>
      </c>
      <c r="B5364" t="s">
        <v>4895</v>
      </c>
      <c r="C5364">
        <v>6</v>
      </c>
      <c r="D5364" s="6" t="s">
        <v>4934</v>
      </c>
      <c r="E5364" s="8" t="s">
        <v>5186</v>
      </c>
      <c r="F5364" t="s">
        <v>5385</v>
      </c>
      <c r="G5364">
        <v>2</v>
      </c>
      <c r="Q5364" t="s">
        <v>7295</v>
      </c>
    </row>
    <row r="5365" spans="1:17" x14ac:dyDescent="0.2">
      <c r="A5365" t="s">
        <v>4942</v>
      </c>
      <c r="B5365" t="s">
        <v>4895</v>
      </c>
      <c r="C5365">
        <v>6</v>
      </c>
      <c r="D5365" s="6" t="s">
        <v>4934</v>
      </c>
      <c r="E5365" s="8" t="s">
        <v>5182</v>
      </c>
      <c r="F5365" t="s">
        <v>5385</v>
      </c>
      <c r="G5365">
        <v>1</v>
      </c>
      <c r="Q5365" t="s">
        <v>7294</v>
      </c>
    </row>
    <row r="5366" spans="1:17" x14ac:dyDescent="0.2">
      <c r="A5366" t="s">
        <v>4942</v>
      </c>
      <c r="B5366" t="s">
        <v>4895</v>
      </c>
      <c r="C5366">
        <v>6</v>
      </c>
      <c r="D5366" s="6" t="s">
        <v>4934</v>
      </c>
      <c r="E5366" s="8" t="s">
        <v>5187</v>
      </c>
      <c r="F5366" t="s">
        <v>5385</v>
      </c>
      <c r="G5366">
        <v>1</v>
      </c>
      <c r="Q5366" t="s">
        <v>7293</v>
      </c>
    </row>
    <row r="5367" spans="1:17" x14ac:dyDescent="0.2">
      <c r="A5367" t="s">
        <v>4942</v>
      </c>
      <c r="B5367" t="s">
        <v>4895</v>
      </c>
      <c r="C5367">
        <v>6</v>
      </c>
      <c r="D5367" s="6" t="s">
        <v>4934</v>
      </c>
      <c r="E5367" s="8" t="s">
        <v>5188</v>
      </c>
      <c r="F5367" t="s">
        <v>5385</v>
      </c>
      <c r="G5367">
        <v>2</v>
      </c>
      <c r="Q5367" t="s">
        <v>7292</v>
      </c>
    </row>
    <row r="5368" spans="1:17" x14ac:dyDescent="0.2">
      <c r="A5368" t="s">
        <v>4942</v>
      </c>
      <c r="B5368" t="s">
        <v>4895</v>
      </c>
      <c r="C5368">
        <v>6</v>
      </c>
      <c r="D5368" s="6" t="s">
        <v>4934</v>
      </c>
      <c r="E5368" s="8" t="s">
        <v>5183</v>
      </c>
      <c r="F5368" t="s">
        <v>1311</v>
      </c>
      <c r="G5368">
        <v>5</v>
      </c>
    </row>
    <row r="5369" spans="1:17" x14ac:dyDescent="0.2">
      <c r="A5369" t="s">
        <v>4942</v>
      </c>
      <c r="B5369" t="s">
        <v>4895</v>
      </c>
      <c r="C5369">
        <v>6</v>
      </c>
      <c r="D5369" s="6" t="s">
        <v>4934</v>
      </c>
      <c r="E5369" t="s">
        <v>5056</v>
      </c>
      <c r="F5369" t="s">
        <v>5388</v>
      </c>
      <c r="G5369">
        <v>3</v>
      </c>
      <c r="M5369">
        <v>5</v>
      </c>
    </row>
    <row r="5370" spans="1:17" x14ac:dyDescent="0.2">
      <c r="A5370" t="s">
        <v>4942</v>
      </c>
      <c r="B5370" t="s">
        <v>4895</v>
      </c>
      <c r="C5370">
        <v>6</v>
      </c>
      <c r="D5370" s="6" t="s">
        <v>4934</v>
      </c>
      <c r="E5370" s="8" t="s">
        <v>5141</v>
      </c>
      <c r="F5370" t="s">
        <v>1425</v>
      </c>
      <c r="G5370">
        <v>11</v>
      </c>
      <c r="Q5370" t="s">
        <v>7322</v>
      </c>
    </row>
    <row r="5371" spans="1:17" x14ac:dyDescent="0.2">
      <c r="A5371" t="s">
        <v>4942</v>
      </c>
      <c r="B5371" t="s">
        <v>4895</v>
      </c>
      <c r="C5371">
        <v>6</v>
      </c>
      <c r="D5371" s="6" t="s">
        <v>4934</v>
      </c>
      <c r="E5371" s="8" t="s">
        <v>5142</v>
      </c>
      <c r="F5371" t="s">
        <v>1425</v>
      </c>
      <c r="G5371">
        <v>17</v>
      </c>
      <c r="Q5371" t="s">
        <v>7321</v>
      </c>
    </row>
    <row r="5372" spans="1:17" x14ac:dyDescent="0.2">
      <c r="A5372" t="s">
        <v>4942</v>
      </c>
      <c r="B5372" t="s">
        <v>4895</v>
      </c>
      <c r="C5372">
        <v>6</v>
      </c>
      <c r="D5372" s="6" t="s">
        <v>4934</v>
      </c>
      <c r="E5372" s="8" t="s">
        <v>5143</v>
      </c>
      <c r="F5372" t="s">
        <v>1425</v>
      </c>
      <c r="G5372">
        <v>5</v>
      </c>
      <c r="Q5372" t="s">
        <v>7320</v>
      </c>
    </row>
    <row r="5373" spans="1:17" x14ac:dyDescent="0.2">
      <c r="A5373" t="s">
        <v>4942</v>
      </c>
      <c r="B5373" t="s">
        <v>4895</v>
      </c>
      <c r="C5373">
        <v>6</v>
      </c>
      <c r="D5373" s="6" t="s">
        <v>4934</v>
      </c>
      <c r="E5373" s="8" t="s">
        <v>5144</v>
      </c>
      <c r="F5373" t="s">
        <v>1425</v>
      </c>
      <c r="G5373">
        <v>2</v>
      </c>
      <c r="Q5373" t="s">
        <v>7319</v>
      </c>
    </row>
    <row r="5374" spans="1:17" x14ac:dyDescent="0.2">
      <c r="A5374" t="s">
        <v>4942</v>
      </c>
      <c r="B5374" t="s">
        <v>4895</v>
      </c>
      <c r="C5374">
        <v>6</v>
      </c>
      <c r="D5374" s="6" t="s">
        <v>4934</v>
      </c>
      <c r="E5374" s="8" t="s">
        <v>5145</v>
      </c>
      <c r="F5374" t="s">
        <v>1425</v>
      </c>
      <c r="G5374">
        <v>1</v>
      </c>
      <c r="Q5374" t="s">
        <v>7318</v>
      </c>
    </row>
    <row r="5375" spans="1:17" x14ac:dyDescent="0.2">
      <c r="A5375" t="s">
        <v>4942</v>
      </c>
      <c r="B5375" t="s">
        <v>4895</v>
      </c>
      <c r="C5375">
        <v>6</v>
      </c>
      <c r="D5375" s="6" t="s">
        <v>4934</v>
      </c>
      <c r="E5375" s="8" t="s">
        <v>5146</v>
      </c>
      <c r="F5375" t="s">
        <v>1425</v>
      </c>
      <c r="G5375">
        <v>26</v>
      </c>
      <c r="M5375">
        <v>5</v>
      </c>
    </row>
    <row r="5376" spans="1:17" x14ac:dyDescent="0.2">
      <c r="A5376" t="s">
        <v>4942</v>
      </c>
      <c r="B5376" t="s">
        <v>4895</v>
      </c>
      <c r="C5376">
        <v>6</v>
      </c>
      <c r="D5376" s="6" t="s">
        <v>4934</v>
      </c>
      <c r="E5376" t="s">
        <v>5056</v>
      </c>
      <c r="F5376" t="s">
        <v>1425</v>
      </c>
      <c r="G5376">
        <v>23</v>
      </c>
      <c r="M5376">
        <v>3</v>
      </c>
    </row>
    <row r="5377" spans="1:17" x14ac:dyDescent="0.2">
      <c r="A5377" t="s">
        <v>4942</v>
      </c>
      <c r="B5377" t="s">
        <v>4895</v>
      </c>
      <c r="C5377">
        <v>6</v>
      </c>
      <c r="D5377" s="6" t="s">
        <v>4934</v>
      </c>
      <c r="E5377" s="8" t="s">
        <v>5147</v>
      </c>
      <c r="F5377" t="s">
        <v>1311</v>
      </c>
      <c r="G5377">
        <v>1</v>
      </c>
      <c r="Q5377" t="s">
        <v>7328</v>
      </c>
    </row>
    <row r="5378" spans="1:17" x14ac:dyDescent="0.2">
      <c r="A5378" t="s">
        <v>4942</v>
      </c>
      <c r="B5378" t="s">
        <v>4895</v>
      </c>
      <c r="C5378">
        <v>6</v>
      </c>
      <c r="D5378" s="6" t="s">
        <v>4934</v>
      </c>
      <c r="E5378" s="8" t="s">
        <v>5148</v>
      </c>
      <c r="F5378" t="s">
        <v>6882</v>
      </c>
      <c r="G5378">
        <v>8</v>
      </c>
      <c r="Q5378" t="s">
        <v>7332</v>
      </c>
    </row>
    <row r="5379" spans="1:17" x14ac:dyDescent="0.2">
      <c r="A5379" t="s">
        <v>4942</v>
      </c>
      <c r="B5379" t="s">
        <v>4895</v>
      </c>
      <c r="C5379">
        <v>6</v>
      </c>
      <c r="D5379" s="6" t="s">
        <v>4934</v>
      </c>
      <c r="E5379" s="8" t="s">
        <v>5149</v>
      </c>
      <c r="F5379" t="s">
        <v>1559</v>
      </c>
      <c r="G5379" t="s">
        <v>114</v>
      </c>
      <c r="Q5379" t="s">
        <v>7330</v>
      </c>
    </row>
    <row r="5380" spans="1:17" x14ac:dyDescent="0.2">
      <c r="A5380" t="s">
        <v>4942</v>
      </c>
      <c r="B5380" t="s">
        <v>4895</v>
      </c>
      <c r="C5380">
        <v>6</v>
      </c>
      <c r="D5380" s="6" t="s">
        <v>4934</v>
      </c>
      <c r="E5380" s="8" t="s">
        <v>5150</v>
      </c>
      <c r="F5380" t="s">
        <v>1559</v>
      </c>
      <c r="G5380" t="s">
        <v>114</v>
      </c>
      <c r="Q5380" t="s">
        <v>7329</v>
      </c>
    </row>
    <row r="5381" spans="1:17" x14ac:dyDescent="0.2">
      <c r="A5381" t="s">
        <v>4942</v>
      </c>
      <c r="B5381" t="s">
        <v>4895</v>
      </c>
      <c r="C5381">
        <v>6</v>
      </c>
      <c r="D5381" s="6" t="s">
        <v>4934</v>
      </c>
      <c r="E5381" s="8" t="s">
        <v>5151</v>
      </c>
      <c r="F5381" t="s">
        <v>1559</v>
      </c>
      <c r="G5381" t="s">
        <v>114</v>
      </c>
      <c r="M5381">
        <v>2</v>
      </c>
      <c r="O5381" t="s">
        <v>5392</v>
      </c>
      <c r="Q5381" t="s">
        <v>7331</v>
      </c>
    </row>
    <row r="5382" spans="1:17" x14ac:dyDescent="0.2">
      <c r="A5382" t="s">
        <v>4942</v>
      </c>
      <c r="B5382" t="s">
        <v>4895</v>
      </c>
      <c r="C5382">
        <v>6</v>
      </c>
      <c r="D5382" s="6" t="s">
        <v>4934</v>
      </c>
      <c r="E5382" s="8" t="s">
        <v>5152</v>
      </c>
      <c r="F5382" t="s">
        <v>1538</v>
      </c>
      <c r="G5382">
        <v>2.5000000000000001E-2</v>
      </c>
      <c r="Q5382" t="s">
        <v>7323</v>
      </c>
    </row>
    <row r="5383" spans="1:17" x14ac:dyDescent="0.2">
      <c r="A5383" t="s">
        <v>4942</v>
      </c>
      <c r="B5383" t="s">
        <v>4895</v>
      </c>
      <c r="C5383">
        <v>6</v>
      </c>
      <c r="D5383" s="6" t="s">
        <v>4934</v>
      </c>
      <c r="E5383" s="8" t="s">
        <v>5153</v>
      </c>
      <c r="F5383" t="s">
        <v>1538</v>
      </c>
      <c r="G5383">
        <v>6</v>
      </c>
      <c r="Q5383" t="s">
        <v>7324</v>
      </c>
    </row>
    <row r="5384" spans="1:17" x14ac:dyDescent="0.2">
      <c r="A5384" t="s">
        <v>4942</v>
      </c>
      <c r="B5384" t="s">
        <v>4895</v>
      </c>
      <c r="C5384">
        <v>6</v>
      </c>
      <c r="D5384" s="6" t="s">
        <v>4934</v>
      </c>
      <c r="E5384" s="8" t="s">
        <v>5154</v>
      </c>
      <c r="F5384" t="s">
        <v>1538</v>
      </c>
      <c r="G5384">
        <v>2</v>
      </c>
      <c r="Q5384" t="s">
        <v>7325</v>
      </c>
    </row>
    <row r="5385" spans="1:17" x14ac:dyDescent="0.2">
      <c r="A5385" t="s">
        <v>4942</v>
      </c>
      <c r="B5385" t="s">
        <v>4895</v>
      </c>
      <c r="C5385">
        <v>6</v>
      </c>
      <c r="D5385" s="6" t="s">
        <v>4934</v>
      </c>
      <c r="E5385" s="8" t="s">
        <v>5155</v>
      </c>
      <c r="F5385" t="s">
        <v>1538</v>
      </c>
      <c r="G5385">
        <v>4</v>
      </c>
      <c r="Q5385" t="s">
        <v>7326</v>
      </c>
    </row>
    <row r="5386" spans="1:17" x14ac:dyDescent="0.2">
      <c r="A5386" t="s">
        <v>4942</v>
      </c>
      <c r="B5386" t="s">
        <v>4895</v>
      </c>
      <c r="C5386">
        <v>6</v>
      </c>
      <c r="D5386" s="6" t="s">
        <v>4934</v>
      </c>
      <c r="E5386" s="8" t="s">
        <v>5156</v>
      </c>
      <c r="F5386" t="s">
        <v>1538</v>
      </c>
      <c r="G5386">
        <v>2</v>
      </c>
      <c r="Q5386" t="s">
        <v>7327</v>
      </c>
    </row>
    <row r="5387" spans="1:17" x14ac:dyDescent="0.2">
      <c r="A5387" t="s">
        <v>4942</v>
      </c>
      <c r="B5387" t="s">
        <v>4895</v>
      </c>
      <c r="C5387">
        <v>6</v>
      </c>
      <c r="D5387" s="6" t="s">
        <v>4934</v>
      </c>
      <c r="E5387" s="8" t="s">
        <v>5157</v>
      </c>
      <c r="F5387" t="s">
        <v>1538</v>
      </c>
      <c r="G5387">
        <v>3</v>
      </c>
      <c r="M5387">
        <v>5</v>
      </c>
    </row>
    <row r="5388" spans="1:17" x14ac:dyDescent="0.2">
      <c r="A5388" t="s">
        <v>4942</v>
      </c>
      <c r="B5388" t="s">
        <v>4895</v>
      </c>
      <c r="C5388">
        <v>6</v>
      </c>
      <c r="D5388" s="6" t="s">
        <v>4934</v>
      </c>
      <c r="E5388" s="8" t="s">
        <v>5227</v>
      </c>
      <c r="F5388" t="s">
        <v>7334</v>
      </c>
      <c r="G5388">
        <v>2</v>
      </c>
      <c r="M5388">
        <v>4</v>
      </c>
      <c r="O5388" t="s">
        <v>7335</v>
      </c>
      <c r="Q5388" t="s">
        <v>7336</v>
      </c>
    </row>
    <row r="5389" spans="1:17" x14ac:dyDescent="0.2">
      <c r="A5389" t="s">
        <v>4942</v>
      </c>
      <c r="B5389" t="s">
        <v>4895</v>
      </c>
      <c r="C5389">
        <v>6</v>
      </c>
      <c r="D5389" s="6" t="s">
        <v>4934</v>
      </c>
      <c r="E5389" s="8" t="s">
        <v>5226</v>
      </c>
      <c r="F5389" t="s">
        <v>5389</v>
      </c>
      <c r="G5389">
        <v>6</v>
      </c>
      <c r="M5389" t="s">
        <v>802</v>
      </c>
    </row>
    <row r="5390" spans="1:17" x14ac:dyDescent="0.2">
      <c r="A5390" t="s">
        <v>4942</v>
      </c>
      <c r="B5390" t="s">
        <v>4895</v>
      </c>
      <c r="C5390">
        <v>6</v>
      </c>
      <c r="D5390" s="6" t="s">
        <v>4934</v>
      </c>
      <c r="E5390" s="8" t="s">
        <v>5223</v>
      </c>
      <c r="F5390" t="s">
        <v>6933</v>
      </c>
      <c r="G5390">
        <v>65</v>
      </c>
      <c r="M5390">
        <v>2</v>
      </c>
      <c r="Q5390" t="s">
        <v>7333</v>
      </c>
    </row>
    <row r="5391" spans="1:17" x14ac:dyDescent="0.2">
      <c r="A5391" t="s">
        <v>4942</v>
      </c>
      <c r="B5391" t="s">
        <v>4895</v>
      </c>
      <c r="C5391">
        <v>6</v>
      </c>
      <c r="D5391" s="6" t="s">
        <v>4934</v>
      </c>
      <c r="E5391" s="8" t="s">
        <v>5225</v>
      </c>
      <c r="F5391" t="s">
        <v>5390</v>
      </c>
      <c r="G5391">
        <v>8</v>
      </c>
      <c r="M5391" t="s">
        <v>802</v>
      </c>
    </row>
    <row r="5392" spans="1:17" x14ac:dyDescent="0.2">
      <c r="A5392" t="s">
        <v>4942</v>
      </c>
      <c r="B5392" t="s">
        <v>4895</v>
      </c>
      <c r="C5392">
        <v>6</v>
      </c>
      <c r="D5392" s="6" t="s">
        <v>4934</v>
      </c>
      <c r="E5392" s="8" t="s">
        <v>5228</v>
      </c>
      <c r="F5392" t="s">
        <v>3452</v>
      </c>
      <c r="G5392">
        <v>2</v>
      </c>
      <c r="M5392" t="s">
        <v>802</v>
      </c>
    </row>
    <row r="5393" spans="1:17" x14ac:dyDescent="0.2">
      <c r="A5393" t="s">
        <v>4942</v>
      </c>
      <c r="B5393" t="s">
        <v>4895</v>
      </c>
      <c r="C5393">
        <v>6</v>
      </c>
      <c r="D5393" s="6" t="s">
        <v>4934</v>
      </c>
      <c r="E5393" s="8" t="s">
        <v>5229</v>
      </c>
      <c r="F5393" t="s">
        <v>5391</v>
      </c>
      <c r="G5393">
        <v>3</v>
      </c>
      <c r="M5393" t="s">
        <v>802</v>
      </c>
    </row>
    <row r="5394" spans="1:17" x14ac:dyDescent="0.2">
      <c r="A5394" t="s">
        <v>4942</v>
      </c>
      <c r="B5394" t="s">
        <v>4895</v>
      </c>
      <c r="C5394">
        <v>6</v>
      </c>
      <c r="D5394" s="6" t="s">
        <v>4934</v>
      </c>
      <c r="E5394">
        <v>58</v>
      </c>
      <c r="F5394" t="s">
        <v>5571</v>
      </c>
      <c r="G5394">
        <v>4</v>
      </c>
      <c r="M5394" t="s">
        <v>802</v>
      </c>
    </row>
    <row r="5395" spans="1:17" x14ac:dyDescent="0.2">
      <c r="A5395" t="s">
        <v>4942</v>
      </c>
      <c r="B5395" t="s">
        <v>4895</v>
      </c>
      <c r="C5395">
        <v>6</v>
      </c>
      <c r="D5395" s="6" t="s">
        <v>4934</v>
      </c>
      <c r="E5395">
        <v>59</v>
      </c>
      <c r="F5395" t="s">
        <v>2552</v>
      </c>
      <c r="G5395">
        <v>24</v>
      </c>
      <c r="M5395" t="s">
        <v>802</v>
      </c>
    </row>
    <row r="5396" spans="1:17" x14ac:dyDescent="0.2">
      <c r="A5396" t="s">
        <v>4942</v>
      </c>
      <c r="B5396" t="s">
        <v>4895</v>
      </c>
      <c r="C5396">
        <v>6</v>
      </c>
      <c r="D5396" s="6" t="s">
        <v>4934</v>
      </c>
      <c r="E5396">
        <v>60</v>
      </c>
      <c r="F5396" t="s">
        <v>504</v>
      </c>
      <c r="G5396">
        <v>9</v>
      </c>
      <c r="M5396" t="s">
        <v>802</v>
      </c>
    </row>
    <row r="5397" spans="1:17" x14ac:dyDescent="0.2">
      <c r="A5397" t="s">
        <v>4942</v>
      </c>
      <c r="B5397" t="s">
        <v>4895</v>
      </c>
      <c r="C5397">
        <v>6</v>
      </c>
      <c r="D5397" s="6" t="s">
        <v>4934</v>
      </c>
      <c r="E5397">
        <v>61</v>
      </c>
      <c r="F5397" t="s">
        <v>3431</v>
      </c>
      <c r="G5397" t="s">
        <v>114</v>
      </c>
      <c r="M5397">
        <v>2</v>
      </c>
    </row>
    <row r="5398" spans="1:17" x14ac:dyDescent="0.2">
      <c r="A5398" t="s">
        <v>4942</v>
      </c>
      <c r="B5398" t="s">
        <v>4895</v>
      </c>
      <c r="C5398">
        <v>1</v>
      </c>
      <c r="D5398" s="6" t="s">
        <v>4934</v>
      </c>
      <c r="E5398" s="8" t="s">
        <v>5081</v>
      </c>
      <c r="F5398" t="s">
        <v>112</v>
      </c>
      <c r="G5398">
        <v>158</v>
      </c>
    </row>
    <row r="5399" spans="1:17" x14ac:dyDescent="0.2">
      <c r="A5399" t="s">
        <v>4942</v>
      </c>
      <c r="B5399" t="s">
        <v>4895</v>
      </c>
      <c r="C5399">
        <v>1</v>
      </c>
      <c r="D5399" s="6" t="s">
        <v>4934</v>
      </c>
      <c r="E5399" s="8" t="s">
        <v>5082</v>
      </c>
      <c r="F5399" t="s">
        <v>740</v>
      </c>
      <c r="G5399">
        <f>2788-427</f>
        <v>2361</v>
      </c>
    </row>
    <row r="5400" spans="1:17" x14ac:dyDescent="0.2">
      <c r="A5400" t="s">
        <v>4942</v>
      </c>
      <c r="B5400" t="s">
        <v>4895</v>
      </c>
      <c r="C5400">
        <v>1</v>
      </c>
      <c r="D5400" s="6" t="s">
        <v>4934</v>
      </c>
      <c r="E5400" t="s">
        <v>5056</v>
      </c>
      <c r="F5400" t="s">
        <v>5572</v>
      </c>
      <c r="G5400">
        <v>48</v>
      </c>
    </row>
    <row r="5401" spans="1:17" x14ac:dyDescent="0.2">
      <c r="A5401" t="s">
        <v>4942</v>
      </c>
      <c r="B5401" t="s">
        <v>4895</v>
      </c>
      <c r="C5401">
        <v>1</v>
      </c>
      <c r="D5401" s="6" t="s">
        <v>4934</v>
      </c>
      <c r="E5401" t="s">
        <v>5056</v>
      </c>
      <c r="F5401" t="s">
        <v>810</v>
      </c>
      <c r="G5401">
        <v>11</v>
      </c>
    </row>
    <row r="5402" spans="1:17" x14ac:dyDescent="0.2">
      <c r="A5402" t="s">
        <v>4942</v>
      </c>
      <c r="B5402" t="s">
        <v>4895</v>
      </c>
      <c r="C5402">
        <v>1</v>
      </c>
      <c r="D5402" s="6" t="s">
        <v>4934</v>
      </c>
      <c r="E5402" t="s">
        <v>5056</v>
      </c>
      <c r="F5402" t="s">
        <v>2222</v>
      </c>
      <c r="G5402">
        <f>742-400</f>
        <v>342</v>
      </c>
    </row>
    <row r="5403" spans="1:17" x14ac:dyDescent="0.2">
      <c r="A5403" t="s">
        <v>4942</v>
      </c>
      <c r="B5403" t="s">
        <v>4895</v>
      </c>
      <c r="C5403">
        <v>1</v>
      </c>
      <c r="D5403" s="6" t="s">
        <v>4934</v>
      </c>
      <c r="E5403" t="s">
        <v>5056</v>
      </c>
      <c r="F5403" t="s">
        <v>1264</v>
      </c>
      <c r="H5403">
        <f>14.9-1.7</f>
        <v>13.200000000000001</v>
      </c>
    </row>
    <row r="5404" spans="1:17" x14ac:dyDescent="0.2">
      <c r="B5404" t="s">
        <v>5133</v>
      </c>
      <c r="C5404">
        <v>2</v>
      </c>
      <c r="D5404" s="6" t="s">
        <v>5134</v>
      </c>
      <c r="E5404" s="8" t="s">
        <v>5081</v>
      </c>
      <c r="F5404" t="s">
        <v>6231</v>
      </c>
      <c r="G5404">
        <v>12</v>
      </c>
      <c r="Q5404" t="s">
        <v>7343</v>
      </c>
    </row>
    <row r="5405" spans="1:17" x14ac:dyDescent="0.2">
      <c r="B5405" t="s">
        <v>5133</v>
      </c>
      <c r="C5405">
        <v>2</v>
      </c>
      <c r="D5405" s="6" t="s">
        <v>5134</v>
      </c>
      <c r="E5405" s="8" t="s">
        <v>5082</v>
      </c>
      <c r="F5405" t="s">
        <v>6231</v>
      </c>
      <c r="G5405">
        <v>8</v>
      </c>
      <c r="Q5405" t="s">
        <v>7342</v>
      </c>
    </row>
    <row r="5406" spans="1:17" x14ac:dyDescent="0.2">
      <c r="B5406" t="s">
        <v>5133</v>
      </c>
      <c r="C5406">
        <v>2</v>
      </c>
      <c r="D5406" s="6" t="s">
        <v>5134</v>
      </c>
      <c r="E5406" s="8" t="s">
        <v>5089</v>
      </c>
      <c r="F5406" t="s">
        <v>5348</v>
      </c>
      <c r="G5406">
        <v>7</v>
      </c>
      <c r="Q5406" t="s">
        <v>7341</v>
      </c>
    </row>
    <row r="5407" spans="1:17" x14ac:dyDescent="0.2">
      <c r="B5407" t="s">
        <v>5133</v>
      </c>
      <c r="C5407">
        <v>2</v>
      </c>
      <c r="D5407" s="6" t="s">
        <v>5134</v>
      </c>
      <c r="E5407" s="8" t="s">
        <v>5090</v>
      </c>
      <c r="F5407" t="s">
        <v>5286</v>
      </c>
      <c r="G5407">
        <v>20</v>
      </c>
      <c r="Q5407" t="s">
        <v>7340</v>
      </c>
    </row>
    <row r="5408" spans="1:17" x14ac:dyDescent="0.2">
      <c r="B5408" t="s">
        <v>5133</v>
      </c>
      <c r="C5408">
        <v>2</v>
      </c>
      <c r="D5408" s="6" t="s">
        <v>5134</v>
      </c>
      <c r="E5408" s="8" t="s">
        <v>5091</v>
      </c>
      <c r="F5408" t="s">
        <v>5286</v>
      </c>
      <c r="G5408">
        <v>32</v>
      </c>
      <c r="Q5408" t="s">
        <v>7339</v>
      </c>
    </row>
    <row r="5409" spans="2:17" x14ac:dyDescent="0.2">
      <c r="B5409" t="s">
        <v>5133</v>
      </c>
      <c r="C5409">
        <v>2</v>
      </c>
      <c r="D5409" s="6" t="s">
        <v>5134</v>
      </c>
      <c r="E5409" s="8" t="s">
        <v>5092</v>
      </c>
      <c r="F5409" t="s">
        <v>7337</v>
      </c>
      <c r="G5409">
        <v>16</v>
      </c>
      <c r="Q5409" t="s">
        <v>7338</v>
      </c>
    </row>
    <row r="5410" spans="2:17" x14ac:dyDescent="0.2">
      <c r="B5410" t="s">
        <v>5133</v>
      </c>
      <c r="C5410">
        <v>2</v>
      </c>
      <c r="D5410" s="6" t="s">
        <v>5134</v>
      </c>
      <c r="E5410" s="8" t="s">
        <v>5094</v>
      </c>
      <c r="F5410" t="s">
        <v>1538</v>
      </c>
      <c r="G5410">
        <v>81</v>
      </c>
      <c r="Q5410" t="s">
        <v>7344</v>
      </c>
    </row>
    <row r="5411" spans="2:17" x14ac:dyDescent="0.2">
      <c r="B5411" t="s">
        <v>5133</v>
      </c>
      <c r="C5411">
        <v>2</v>
      </c>
      <c r="D5411" s="6" t="s">
        <v>5134</v>
      </c>
      <c r="E5411" s="8" t="s">
        <v>5097</v>
      </c>
      <c r="F5411" t="s">
        <v>1538</v>
      </c>
      <c r="G5411">
        <v>49</v>
      </c>
      <c r="Q5411" t="s">
        <v>7345</v>
      </c>
    </row>
    <row r="5412" spans="2:17" x14ac:dyDescent="0.2">
      <c r="B5412" t="s">
        <v>5133</v>
      </c>
      <c r="C5412">
        <v>2</v>
      </c>
      <c r="D5412" s="6" t="s">
        <v>5134</v>
      </c>
      <c r="E5412" s="8" t="s">
        <v>5098</v>
      </c>
      <c r="F5412" t="s">
        <v>1538</v>
      </c>
      <c r="G5412">
        <v>17</v>
      </c>
      <c r="Q5412" t="s">
        <v>7346</v>
      </c>
    </row>
    <row r="5413" spans="2:17" x14ac:dyDescent="0.2">
      <c r="B5413" t="s">
        <v>5133</v>
      </c>
      <c r="C5413">
        <v>2</v>
      </c>
      <c r="D5413" s="6" t="s">
        <v>5134</v>
      </c>
      <c r="E5413" s="8" t="s">
        <v>5167</v>
      </c>
      <c r="F5413" t="s">
        <v>1538</v>
      </c>
      <c r="G5413">
        <v>8</v>
      </c>
      <c r="Q5413" t="s">
        <v>7347</v>
      </c>
    </row>
    <row r="5414" spans="2:17" x14ac:dyDescent="0.2">
      <c r="B5414" t="s">
        <v>5133</v>
      </c>
      <c r="C5414">
        <v>2</v>
      </c>
      <c r="D5414" s="6" t="s">
        <v>5134</v>
      </c>
      <c r="E5414" s="8">
        <v>17</v>
      </c>
      <c r="F5414" t="s">
        <v>1538</v>
      </c>
      <c r="G5414">
        <v>171</v>
      </c>
      <c r="M5414">
        <v>5</v>
      </c>
    </row>
    <row r="5415" spans="2:17" x14ac:dyDescent="0.2">
      <c r="B5415" t="s">
        <v>5133</v>
      </c>
      <c r="C5415">
        <v>2</v>
      </c>
      <c r="D5415" s="6" t="s">
        <v>5134</v>
      </c>
      <c r="E5415" t="s">
        <v>5056</v>
      </c>
      <c r="F5415" t="s">
        <v>1538</v>
      </c>
      <c r="G5415">
        <v>191</v>
      </c>
      <c r="M5415">
        <v>8</v>
      </c>
    </row>
    <row r="5416" spans="2:17" x14ac:dyDescent="0.2">
      <c r="B5416" t="s">
        <v>5133</v>
      </c>
      <c r="C5416">
        <v>2</v>
      </c>
      <c r="D5416" s="6" t="s">
        <v>5134</v>
      </c>
      <c r="E5416">
        <v>13</v>
      </c>
      <c r="F5416" t="s">
        <v>5869</v>
      </c>
      <c r="G5416">
        <v>34</v>
      </c>
      <c r="Q5416" t="s">
        <v>5895</v>
      </c>
    </row>
    <row r="5417" spans="2:17" x14ac:dyDescent="0.2">
      <c r="B5417" t="s">
        <v>5133</v>
      </c>
      <c r="C5417">
        <v>2</v>
      </c>
      <c r="D5417" s="6" t="s">
        <v>5134</v>
      </c>
      <c r="E5417">
        <v>10</v>
      </c>
      <c r="F5417" t="s">
        <v>1538</v>
      </c>
      <c r="G5417">
        <v>2</v>
      </c>
      <c r="Q5417" s="6" t="s">
        <v>7348</v>
      </c>
    </row>
    <row r="5418" spans="2:17" x14ac:dyDescent="0.2">
      <c r="B5418" t="s">
        <v>5133</v>
      </c>
      <c r="C5418">
        <v>2</v>
      </c>
      <c r="D5418" s="6" t="s">
        <v>5134</v>
      </c>
      <c r="E5418">
        <v>25</v>
      </c>
      <c r="F5418" t="s">
        <v>1389</v>
      </c>
      <c r="G5418">
        <v>8</v>
      </c>
      <c r="Q5418" s="6" t="s">
        <v>7348</v>
      </c>
    </row>
    <row r="5419" spans="2:17" x14ac:dyDescent="0.2">
      <c r="B5419" t="s">
        <v>5133</v>
      </c>
      <c r="C5419">
        <v>2</v>
      </c>
      <c r="D5419" s="6" t="s">
        <v>5134</v>
      </c>
      <c r="E5419">
        <v>26</v>
      </c>
      <c r="F5419" t="s">
        <v>1389</v>
      </c>
      <c r="G5419">
        <v>4</v>
      </c>
      <c r="Q5419" s="6" t="s">
        <v>7348</v>
      </c>
    </row>
    <row r="5420" spans="2:17" x14ac:dyDescent="0.2">
      <c r="B5420" t="s">
        <v>5133</v>
      </c>
      <c r="C5420">
        <v>2</v>
      </c>
      <c r="D5420" s="6" t="s">
        <v>5134</v>
      </c>
      <c r="E5420">
        <v>27</v>
      </c>
      <c r="F5420" t="s">
        <v>1389</v>
      </c>
      <c r="G5420">
        <v>3</v>
      </c>
      <c r="Q5420" s="6" t="s">
        <v>7348</v>
      </c>
    </row>
    <row r="5421" spans="2:17" x14ac:dyDescent="0.2">
      <c r="B5421" t="s">
        <v>5133</v>
      </c>
      <c r="C5421">
        <v>2</v>
      </c>
      <c r="D5421" s="6" t="s">
        <v>5134</v>
      </c>
      <c r="E5421">
        <v>28</v>
      </c>
      <c r="F5421" t="s">
        <v>1389</v>
      </c>
      <c r="G5421">
        <v>4</v>
      </c>
      <c r="Q5421" s="6" t="s">
        <v>7348</v>
      </c>
    </row>
    <row r="5422" spans="2:17" x14ac:dyDescent="0.2">
      <c r="B5422" t="s">
        <v>5133</v>
      </c>
      <c r="C5422">
        <v>2</v>
      </c>
      <c r="D5422" s="6" t="s">
        <v>5134</v>
      </c>
      <c r="E5422">
        <v>24</v>
      </c>
      <c r="F5422" t="s">
        <v>1425</v>
      </c>
      <c r="G5422">
        <v>7</v>
      </c>
      <c r="Q5422" s="6" t="s">
        <v>7348</v>
      </c>
    </row>
    <row r="5423" spans="2:17" x14ac:dyDescent="0.2">
      <c r="B5423" t="s">
        <v>5133</v>
      </c>
      <c r="C5423">
        <v>2</v>
      </c>
      <c r="D5423" s="6" t="s">
        <v>5134</v>
      </c>
      <c r="E5423">
        <v>23</v>
      </c>
      <c r="F5423" t="s">
        <v>1425</v>
      </c>
      <c r="G5423">
        <v>7</v>
      </c>
      <c r="Q5423" s="6" t="s">
        <v>7348</v>
      </c>
    </row>
    <row r="5424" spans="2:17" x14ac:dyDescent="0.2">
      <c r="B5424" t="s">
        <v>5133</v>
      </c>
      <c r="C5424">
        <v>2</v>
      </c>
      <c r="D5424" s="6" t="s">
        <v>5134</v>
      </c>
      <c r="E5424">
        <v>22</v>
      </c>
      <c r="F5424" t="s">
        <v>1425</v>
      </c>
      <c r="G5424">
        <v>8</v>
      </c>
      <c r="Q5424" s="6" t="s">
        <v>7348</v>
      </c>
    </row>
    <row r="5425" spans="2:17" x14ac:dyDescent="0.2">
      <c r="B5425" t="s">
        <v>5133</v>
      </c>
      <c r="C5425">
        <v>2</v>
      </c>
      <c r="D5425" s="6" t="s">
        <v>5134</v>
      </c>
      <c r="E5425">
        <v>21</v>
      </c>
      <c r="F5425" t="s">
        <v>1425</v>
      </c>
      <c r="G5425">
        <v>2</v>
      </c>
      <c r="Q5425" s="6" t="s">
        <v>7348</v>
      </c>
    </row>
    <row r="5426" spans="2:17" x14ac:dyDescent="0.2">
      <c r="B5426" t="s">
        <v>5133</v>
      </c>
      <c r="C5426">
        <v>2</v>
      </c>
      <c r="D5426" s="6" t="s">
        <v>5134</v>
      </c>
      <c r="E5426">
        <v>20</v>
      </c>
      <c r="F5426" t="s">
        <v>1425</v>
      </c>
      <c r="G5426">
        <v>3</v>
      </c>
      <c r="Q5426" s="6" t="s">
        <v>7348</v>
      </c>
    </row>
    <row r="5427" spans="2:17" x14ac:dyDescent="0.2">
      <c r="B5427" t="s">
        <v>5133</v>
      </c>
      <c r="C5427">
        <v>2</v>
      </c>
      <c r="D5427" s="6" t="s">
        <v>5134</v>
      </c>
      <c r="E5427" t="s">
        <v>5056</v>
      </c>
      <c r="F5427" t="s">
        <v>1538</v>
      </c>
      <c r="G5427">
        <v>65</v>
      </c>
      <c r="M5427">
        <v>3</v>
      </c>
    </row>
    <row r="5428" spans="2:17" x14ac:dyDescent="0.2">
      <c r="B5428" t="s">
        <v>5133</v>
      </c>
      <c r="C5428">
        <v>2</v>
      </c>
      <c r="D5428" s="6" t="s">
        <v>5134</v>
      </c>
      <c r="E5428">
        <v>12</v>
      </c>
      <c r="F5428" t="s">
        <v>1264</v>
      </c>
      <c r="H5428">
        <f>7.7-0.261</f>
        <v>7.4390000000000001</v>
      </c>
      <c r="M5428" t="s">
        <v>802</v>
      </c>
    </row>
    <row r="5429" spans="2:17" x14ac:dyDescent="0.2">
      <c r="B5429" t="s">
        <v>5133</v>
      </c>
      <c r="C5429">
        <v>2</v>
      </c>
      <c r="D5429" s="6" t="s">
        <v>5134</v>
      </c>
      <c r="E5429">
        <v>27</v>
      </c>
      <c r="F5429" t="s">
        <v>5385</v>
      </c>
      <c r="G5429">
        <v>4</v>
      </c>
      <c r="Q5429" t="s">
        <v>7349</v>
      </c>
    </row>
    <row r="5430" spans="2:17" x14ac:dyDescent="0.2">
      <c r="B5430" t="s">
        <v>5133</v>
      </c>
      <c r="C5430">
        <v>2</v>
      </c>
      <c r="D5430" s="6" t="s">
        <v>5134</v>
      </c>
      <c r="E5430">
        <v>30</v>
      </c>
      <c r="F5430" t="s">
        <v>5385</v>
      </c>
      <c r="G5430">
        <v>3</v>
      </c>
      <c r="Q5430" t="s">
        <v>7350</v>
      </c>
    </row>
    <row r="5431" spans="2:17" x14ac:dyDescent="0.2">
      <c r="B5431" t="s">
        <v>5133</v>
      </c>
      <c r="C5431">
        <v>2</v>
      </c>
      <c r="D5431" s="6" t="s">
        <v>5134</v>
      </c>
      <c r="E5431">
        <v>19</v>
      </c>
      <c r="F5431" t="s">
        <v>6239</v>
      </c>
      <c r="G5431">
        <v>1</v>
      </c>
      <c r="Q5431" s="6" t="s">
        <v>7348</v>
      </c>
    </row>
    <row r="5432" spans="2:17" x14ac:dyDescent="0.2">
      <c r="B5432" t="s">
        <v>5133</v>
      </c>
      <c r="C5432">
        <v>2</v>
      </c>
      <c r="D5432" s="6" t="s">
        <v>5134</v>
      </c>
      <c r="E5432">
        <v>18</v>
      </c>
      <c r="F5432" t="s">
        <v>6239</v>
      </c>
      <c r="G5432">
        <v>1</v>
      </c>
      <c r="Q5432" s="6" t="s">
        <v>7348</v>
      </c>
    </row>
    <row r="5433" spans="2:17" x14ac:dyDescent="0.2">
      <c r="B5433" t="s">
        <v>5133</v>
      </c>
      <c r="C5433">
        <v>2</v>
      </c>
      <c r="D5433" s="6" t="s">
        <v>5134</v>
      </c>
      <c r="E5433">
        <v>16</v>
      </c>
      <c r="F5433" t="s">
        <v>1538</v>
      </c>
      <c r="G5433">
        <v>1</v>
      </c>
      <c r="Q5433" s="6" t="s">
        <v>7348</v>
      </c>
    </row>
    <row r="5434" spans="2:17" x14ac:dyDescent="0.2">
      <c r="B5434" t="s">
        <v>5133</v>
      </c>
      <c r="C5434">
        <v>2</v>
      </c>
      <c r="D5434" s="6" t="s">
        <v>5134</v>
      </c>
      <c r="E5434">
        <v>15</v>
      </c>
      <c r="F5434" t="s">
        <v>1538</v>
      </c>
      <c r="G5434">
        <v>1</v>
      </c>
      <c r="Q5434" s="6" t="s">
        <v>7348</v>
      </c>
    </row>
    <row r="5435" spans="2:17" x14ac:dyDescent="0.2">
      <c r="B5435" t="s">
        <v>5133</v>
      </c>
      <c r="C5435">
        <v>2</v>
      </c>
      <c r="D5435" s="6" t="s">
        <v>5134</v>
      </c>
      <c r="E5435">
        <v>14</v>
      </c>
      <c r="F5435" t="s">
        <v>1538</v>
      </c>
      <c r="G5435">
        <v>1</v>
      </c>
      <c r="Q5435" s="6" t="s">
        <v>7348</v>
      </c>
    </row>
    <row r="5436" spans="2:17" x14ac:dyDescent="0.2">
      <c r="B5436" t="s">
        <v>5133</v>
      </c>
      <c r="C5436">
        <v>2</v>
      </c>
      <c r="D5436" s="6" t="s">
        <v>5134</v>
      </c>
      <c r="E5436" t="s">
        <v>5056</v>
      </c>
      <c r="F5436" t="s">
        <v>2930</v>
      </c>
      <c r="G5436">
        <v>8</v>
      </c>
      <c r="M5436">
        <v>3</v>
      </c>
    </row>
    <row r="5437" spans="2:17" x14ac:dyDescent="0.2">
      <c r="B5437" t="s">
        <v>5133</v>
      </c>
      <c r="C5437">
        <v>2</v>
      </c>
      <c r="D5437" s="6" t="s">
        <v>5134</v>
      </c>
      <c r="E5437">
        <v>36</v>
      </c>
      <c r="F5437" t="s">
        <v>126</v>
      </c>
      <c r="G5437">
        <v>6</v>
      </c>
    </row>
    <row r="5438" spans="2:17" x14ac:dyDescent="0.2">
      <c r="B5438" t="s">
        <v>5133</v>
      </c>
      <c r="C5438">
        <v>2</v>
      </c>
      <c r="D5438" s="6" t="s">
        <v>5134</v>
      </c>
      <c r="E5438">
        <v>38</v>
      </c>
      <c r="F5438" t="s">
        <v>3875</v>
      </c>
      <c r="G5438">
        <v>11</v>
      </c>
    </row>
    <row r="5439" spans="2:17" x14ac:dyDescent="0.2">
      <c r="B5439" t="s">
        <v>5133</v>
      </c>
      <c r="C5439">
        <v>2</v>
      </c>
      <c r="D5439" s="6" t="s">
        <v>5134</v>
      </c>
      <c r="E5439">
        <v>35</v>
      </c>
      <c r="F5439" t="s">
        <v>7138</v>
      </c>
      <c r="G5439">
        <v>6</v>
      </c>
      <c r="M5439">
        <v>2</v>
      </c>
      <c r="Q5439" t="s">
        <v>7351</v>
      </c>
    </row>
    <row r="5440" spans="2:17" x14ac:dyDescent="0.2">
      <c r="B5440" t="s">
        <v>5133</v>
      </c>
      <c r="C5440">
        <v>2</v>
      </c>
      <c r="D5440" s="6" t="s">
        <v>5134</v>
      </c>
      <c r="E5440">
        <v>32</v>
      </c>
      <c r="F5440" t="s">
        <v>7363</v>
      </c>
      <c r="G5440">
        <v>4</v>
      </c>
      <c r="M5440" t="s">
        <v>802</v>
      </c>
    </row>
    <row r="5441" spans="2:17" x14ac:dyDescent="0.2">
      <c r="B5441" t="s">
        <v>5133</v>
      </c>
      <c r="C5441">
        <v>2</v>
      </c>
      <c r="D5441" s="6" t="s">
        <v>5134</v>
      </c>
      <c r="E5441">
        <v>33</v>
      </c>
      <c r="F5441" t="s">
        <v>6936</v>
      </c>
      <c r="G5441">
        <v>13</v>
      </c>
      <c r="Q5441" t="s">
        <v>7352</v>
      </c>
    </row>
    <row r="5442" spans="2:17" x14ac:dyDescent="0.2">
      <c r="B5442" t="s">
        <v>5133</v>
      </c>
      <c r="C5442">
        <v>2</v>
      </c>
      <c r="D5442" s="6" t="s">
        <v>5134</v>
      </c>
      <c r="E5442">
        <v>34</v>
      </c>
      <c r="F5442" t="s">
        <v>106</v>
      </c>
      <c r="G5442">
        <v>5</v>
      </c>
    </row>
    <row r="5443" spans="2:17" x14ac:dyDescent="0.2">
      <c r="B5443" t="s">
        <v>5133</v>
      </c>
      <c r="C5443">
        <v>2</v>
      </c>
      <c r="D5443" s="6" t="s">
        <v>5134</v>
      </c>
      <c r="E5443">
        <v>31</v>
      </c>
      <c r="F5443" t="s">
        <v>1458</v>
      </c>
      <c r="G5443">
        <v>23</v>
      </c>
      <c r="O5443" t="s">
        <v>5575</v>
      </c>
    </row>
    <row r="5444" spans="2:17" x14ac:dyDescent="0.2">
      <c r="B5444" t="s">
        <v>5133</v>
      </c>
      <c r="C5444">
        <v>2</v>
      </c>
      <c r="D5444" s="6" t="s">
        <v>5134</v>
      </c>
      <c r="E5444">
        <v>38</v>
      </c>
      <c r="F5444" t="s">
        <v>504</v>
      </c>
      <c r="G5444">
        <f>0.85*(0.6-0.285)</f>
        <v>0.26774999999999999</v>
      </c>
      <c r="O5444" t="s">
        <v>5576</v>
      </c>
    </row>
    <row r="5445" spans="2:17" x14ac:dyDescent="0.2">
      <c r="B5445" t="s">
        <v>5133</v>
      </c>
      <c r="C5445">
        <v>2</v>
      </c>
      <c r="D5445" s="6" t="s">
        <v>5134</v>
      </c>
      <c r="E5445">
        <v>38</v>
      </c>
      <c r="F5445" t="s">
        <v>5577</v>
      </c>
      <c r="G5445">
        <f>0.15*(0.6-0.285)</f>
        <v>4.725E-2</v>
      </c>
      <c r="O5445" t="s">
        <v>5576</v>
      </c>
    </row>
    <row r="5446" spans="2:17" x14ac:dyDescent="0.2">
      <c r="B5446" t="s">
        <v>5133</v>
      </c>
      <c r="C5446">
        <v>3</v>
      </c>
      <c r="D5446" s="6" t="s">
        <v>5134</v>
      </c>
      <c r="E5446" s="8" t="s">
        <v>5081</v>
      </c>
      <c r="F5446" t="s">
        <v>1264</v>
      </c>
      <c r="H5446">
        <f>11.4-0.295+3.5-0.4</f>
        <v>14.205</v>
      </c>
      <c r="O5446" t="s">
        <v>5578</v>
      </c>
    </row>
    <row r="5447" spans="2:17" x14ac:dyDescent="0.2">
      <c r="B5447" t="s">
        <v>5133</v>
      </c>
      <c r="C5447">
        <v>3</v>
      </c>
      <c r="D5447" s="6" t="s">
        <v>5134</v>
      </c>
      <c r="E5447" s="8" t="s">
        <v>5082</v>
      </c>
      <c r="F5447" t="s">
        <v>1538</v>
      </c>
      <c r="G5447">
        <v>89</v>
      </c>
      <c r="Q5447" t="s">
        <v>7353</v>
      </c>
    </row>
    <row r="5448" spans="2:17" x14ac:dyDescent="0.2">
      <c r="B5448" t="s">
        <v>5133</v>
      </c>
      <c r="C5448">
        <v>3</v>
      </c>
      <c r="D5448" s="6" t="s">
        <v>5134</v>
      </c>
      <c r="E5448" s="8" t="s">
        <v>5089</v>
      </c>
      <c r="F5448" t="s">
        <v>1538</v>
      </c>
      <c r="G5448">
        <v>25</v>
      </c>
      <c r="Q5448" t="s">
        <v>7354</v>
      </c>
    </row>
    <row r="5449" spans="2:17" x14ac:dyDescent="0.2">
      <c r="B5449" t="s">
        <v>5133</v>
      </c>
      <c r="C5449">
        <v>3</v>
      </c>
      <c r="D5449" s="6" t="s">
        <v>5134</v>
      </c>
      <c r="E5449" s="8" t="s">
        <v>5090</v>
      </c>
      <c r="F5449" t="s">
        <v>1538</v>
      </c>
      <c r="G5449">
        <v>44</v>
      </c>
      <c r="Q5449" t="s">
        <v>7355</v>
      </c>
    </row>
    <row r="5450" spans="2:17" x14ac:dyDescent="0.2">
      <c r="B5450" t="s">
        <v>5133</v>
      </c>
      <c r="C5450">
        <v>3</v>
      </c>
      <c r="D5450" s="6" t="s">
        <v>5134</v>
      </c>
      <c r="E5450" s="8" t="s">
        <v>5091</v>
      </c>
      <c r="F5450" t="s">
        <v>1538</v>
      </c>
      <c r="G5450">
        <v>4</v>
      </c>
    </row>
    <row r="5451" spans="2:17" x14ac:dyDescent="0.2">
      <c r="B5451" t="s">
        <v>5133</v>
      </c>
      <c r="C5451">
        <v>3</v>
      </c>
      <c r="D5451" s="6" t="s">
        <v>5134</v>
      </c>
      <c r="E5451" s="8" t="s">
        <v>5092</v>
      </c>
      <c r="F5451" t="s">
        <v>1538</v>
      </c>
      <c r="G5451">
        <v>2</v>
      </c>
    </row>
    <row r="5452" spans="2:17" x14ac:dyDescent="0.2">
      <c r="B5452" t="s">
        <v>5133</v>
      </c>
      <c r="C5452">
        <v>3</v>
      </c>
      <c r="D5452" s="6" t="s">
        <v>5134</v>
      </c>
      <c r="E5452" s="8" t="s">
        <v>5094</v>
      </c>
      <c r="F5452" t="s">
        <v>1538</v>
      </c>
      <c r="G5452">
        <f>88+134</f>
        <v>222</v>
      </c>
    </row>
    <row r="5453" spans="2:17" x14ac:dyDescent="0.2">
      <c r="B5453" t="s">
        <v>5133</v>
      </c>
      <c r="C5453">
        <v>3</v>
      </c>
      <c r="D5453" s="6" t="s">
        <v>5134</v>
      </c>
      <c r="E5453" t="s">
        <v>5056</v>
      </c>
      <c r="F5453" t="s">
        <v>1538</v>
      </c>
      <c r="G5453">
        <v>725</v>
      </c>
      <c r="M5453">
        <v>19</v>
      </c>
    </row>
    <row r="5454" spans="2:17" x14ac:dyDescent="0.2">
      <c r="B5454" t="s">
        <v>5133</v>
      </c>
      <c r="C5454">
        <v>3</v>
      </c>
      <c r="D5454" s="6" t="s">
        <v>5134</v>
      </c>
      <c r="E5454" t="s">
        <v>5056</v>
      </c>
      <c r="F5454" t="s">
        <v>1538</v>
      </c>
      <c r="G5454">
        <v>233</v>
      </c>
      <c r="M5454">
        <v>9</v>
      </c>
    </row>
    <row r="5455" spans="2:17" x14ac:dyDescent="0.2">
      <c r="B5455" t="s">
        <v>5133</v>
      </c>
      <c r="C5455">
        <v>3</v>
      </c>
      <c r="D5455" s="6" t="s">
        <v>5134</v>
      </c>
      <c r="E5455">
        <v>29</v>
      </c>
      <c r="F5455" t="s">
        <v>1538</v>
      </c>
      <c r="G5455">
        <v>8</v>
      </c>
      <c r="Q5455" t="s">
        <v>7356</v>
      </c>
    </row>
    <row r="5456" spans="2:17" x14ac:dyDescent="0.2">
      <c r="B5456" t="s">
        <v>5133</v>
      </c>
      <c r="C5456">
        <v>3</v>
      </c>
      <c r="D5456" s="6" t="s">
        <v>5134</v>
      </c>
      <c r="E5456">
        <v>28</v>
      </c>
      <c r="F5456" t="s">
        <v>1538</v>
      </c>
      <c r="G5456">
        <v>4</v>
      </c>
      <c r="Q5456" t="s">
        <v>7357</v>
      </c>
    </row>
    <row r="5457" spans="2:17" x14ac:dyDescent="0.2">
      <c r="B5457" t="s">
        <v>5133</v>
      </c>
      <c r="C5457">
        <v>3</v>
      </c>
      <c r="D5457" s="6" t="s">
        <v>5134</v>
      </c>
      <c r="E5457">
        <v>30</v>
      </c>
      <c r="F5457" t="s">
        <v>1538</v>
      </c>
      <c r="G5457">
        <v>4</v>
      </c>
      <c r="Q5457" t="s">
        <v>7358</v>
      </c>
    </row>
    <row r="5458" spans="2:17" x14ac:dyDescent="0.2">
      <c r="B5458" t="s">
        <v>5133</v>
      </c>
      <c r="C5458">
        <v>3</v>
      </c>
      <c r="D5458" s="6" t="s">
        <v>5134</v>
      </c>
      <c r="E5458">
        <v>27</v>
      </c>
      <c r="F5458" t="s">
        <v>1538</v>
      </c>
      <c r="G5458">
        <v>1</v>
      </c>
      <c r="Q5458" t="s">
        <v>7359</v>
      </c>
    </row>
    <row r="5459" spans="2:17" x14ac:dyDescent="0.2">
      <c r="B5459" t="s">
        <v>5133</v>
      </c>
      <c r="C5459">
        <v>3</v>
      </c>
      <c r="D5459" s="6" t="s">
        <v>5134</v>
      </c>
      <c r="E5459">
        <v>25</v>
      </c>
      <c r="F5459" t="s">
        <v>1538</v>
      </c>
      <c r="G5459" t="s">
        <v>114</v>
      </c>
    </row>
    <row r="5460" spans="2:17" x14ac:dyDescent="0.2">
      <c r="B5460" t="s">
        <v>5133</v>
      </c>
      <c r="C5460">
        <v>3</v>
      </c>
      <c r="D5460" s="6" t="s">
        <v>5134</v>
      </c>
      <c r="E5460">
        <v>31</v>
      </c>
      <c r="F5460" t="s">
        <v>1538</v>
      </c>
      <c r="G5460">
        <v>12</v>
      </c>
      <c r="M5460">
        <v>5</v>
      </c>
    </row>
    <row r="5461" spans="2:17" x14ac:dyDescent="0.2">
      <c r="B5461" t="s">
        <v>5133</v>
      </c>
      <c r="C5461">
        <v>3</v>
      </c>
      <c r="D5461" s="6" t="s">
        <v>5134</v>
      </c>
      <c r="E5461" t="s">
        <v>5056</v>
      </c>
      <c r="F5461" t="s">
        <v>1538</v>
      </c>
      <c r="G5461">
        <v>3</v>
      </c>
    </row>
    <row r="5462" spans="2:17" x14ac:dyDescent="0.2">
      <c r="B5462" t="s">
        <v>5133</v>
      </c>
      <c r="C5462">
        <v>3</v>
      </c>
      <c r="D5462" s="6" t="s">
        <v>5134</v>
      </c>
      <c r="E5462" t="s">
        <v>5056</v>
      </c>
      <c r="F5462" t="s">
        <v>1538</v>
      </c>
      <c r="G5462">
        <v>22</v>
      </c>
      <c r="M5462">
        <v>3</v>
      </c>
    </row>
    <row r="5463" spans="2:17" x14ac:dyDescent="0.2">
      <c r="B5463" t="s">
        <v>5133</v>
      </c>
      <c r="C5463">
        <v>3</v>
      </c>
      <c r="D5463" s="6" t="s">
        <v>5134</v>
      </c>
      <c r="E5463" s="8" t="s">
        <v>5098</v>
      </c>
      <c r="F5463" t="s">
        <v>5620</v>
      </c>
      <c r="G5463">
        <v>31</v>
      </c>
      <c r="Q5463" t="s">
        <v>7411</v>
      </c>
    </row>
    <row r="5464" spans="2:17" x14ac:dyDescent="0.2">
      <c r="B5464" t="s">
        <v>5133</v>
      </c>
      <c r="C5464">
        <v>3</v>
      </c>
      <c r="D5464" s="6" t="s">
        <v>5134</v>
      </c>
      <c r="E5464" s="8" t="s">
        <v>5097</v>
      </c>
      <c r="F5464" t="s">
        <v>6355</v>
      </c>
      <c r="G5464">
        <v>79</v>
      </c>
      <c r="Q5464" t="s">
        <v>7410</v>
      </c>
    </row>
    <row r="5465" spans="2:17" x14ac:dyDescent="0.2">
      <c r="B5465" t="s">
        <v>5133</v>
      </c>
      <c r="C5465">
        <v>3</v>
      </c>
      <c r="D5465" s="6" t="s">
        <v>5134</v>
      </c>
      <c r="E5465">
        <v>10</v>
      </c>
      <c r="F5465" t="s">
        <v>1425</v>
      </c>
      <c r="G5465">
        <v>32</v>
      </c>
      <c r="Q5465" t="s">
        <v>7412</v>
      </c>
    </row>
    <row r="5466" spans="2:17" x14ac:dyDescent="0.2">
      <c r="B5466" t="s">
        <v>5133</v>
      </c>
      <c r="C5466">
        <v>3</v>
      </c>
      <c r="D5466" s="6" t="s">
        <v>5134</v>
      </c>
      <c r="E5466">
        <v>11</v>
      </c>
      <c r="F5466" t="s">
        <v>7337</v>
      </c>
      <c r="G5466">
        <v>25</v>
      </c>
      <c r="Q5466" t="s">
        <v>7425</v>
      </c>
    </row>
    <row r="5467" spans="2:17" x14ac:dyDescent="0.2">
      <c r="B5467" t="s">
        <v>5133</v>
      </c>
      <c r="C5467">
        <v>3</v>
      </c>
      <c r="D5467" s="6" t="s">
        <v>5134</v>
      </c>
      <c r="E5467">
        <v>12</v>
      </c>
      <c r="F5467" t="s">
        <v>1425</v>
      </c>
      <c r="G5467">
        <v>17</v>
      </c>
      <c r="Q5467" t="s">
        <v>7413</v>
      </c>
    </row>
    <row r="5468" spans="2:17" x14ac:dyDescent="0.2">
      <c r="B5468" t="s">
        <v>5133</v>
      </c>
      <c r="C5468">
        <v>3</v>
      </c>
      <c r="D5468" s="6" t="s">
        <v>5134</v>
      </c>
      <c r="E5468">
        <v>24</v>
      </c>
      <c r="F5468" t="s">
        <v>1425</v>
      </c>
      <c r="G5468">
        <v>4</v>
      </c>
      <c r="Q5468" t="s">
        <v>7424</v>
      </c>
    </row>
    <row r="5469" spans="2:17" x14ac:dyDescent="0.2">
      <c r="B5469" t="s">
        <v>5133</v>
      </c>
      <c r="C5469">
        <v>3</v>
      </c>
      <c r="D5469" s="6" t="s">
        <v>5134</v>
      </c>
      <c r="E5469">
        <v>16</v>
      </c>
      <c r="F5469" t="s">
        <v>1389</v>
      </c>
      <c r="G5469">
        <v>8</v>
      </c>
      <c r="Q5469" t="s">
        <v>7417</v>
      </c>
    </row>
    <row r="5470" spans="2:17" x14ac:dyDescent="0.2">
      <c r="B5470" t="s">
        <v>5133</v>
      </c>
      <c r="C5470">
        <v>3</v>
      </c>
      <c r="D5470" s="6" t="s">
        <v>5134</v>
      </c>
      <c r="E5470">
        <v>13</v>
      </c>
      <c r="F5470" t="s">
        <v>1389</v>
      </c>
      <c r="G5470">
        <v>4</v>
      </c>
      <c r="Q5470" t="s">
        <v>7416</v>
      </c>
    </row>
    <row r="5471" spans="2:17" x14ac:dyDescent="0.2">
      <c r="B5471" t="s">
        <v>5133</v>
      </c>
      <c r="C5471">
        <v>3</v>
      </c>
      <c r="D5471" s="6" t="s">
        <v>5134</v>
      </c>
      <c r="E5471">
        <v>14</v>
      </c>
      <c r="F5471" t="s">
        <v>1389</v>
      </c>
      <c r="G5471">
        <v>6</v>
      </c>
      <c r="Q5471" t="s">
        <v>7415</v>
      </c>
    </row>
    <row r="5472" spans="2:17" x14ac:dyDescent="0.2">
      <c r="B5472" t="s">
        <v>5133</v>
      </c>
      <c r="C5472">
        <v>3</v>
      </c>
      <c r="D5472" s="6" t="s">
        <v>5134</v>
      </c>
      <c r="E5472">
        <v>15</v>
      </c>
      <c r="F5472" t="s">
        <v>1389</v>
      </c>
      <c r="G5472">
        <v>5</v>
      </c>
      <c r="Q5472" t="s">
        <v>7414</v>
      </c>
    </row>
    <row r="5473" spans="2:17" x14ac:dyDescent="0.2">
      <c r="B5473" t="s">
        <v>5133</v>
      </c>
      <c r="C5473">
        <v>3</v>
      </c>
      <c r="D5473" s="6" t="s">
        <v>5134</v>
      </c>
      <c r="E5473">
        <v>23</v>
      </c>
      <c r="F5473" t="s">
        <v>5385</v>
      </c>
      <c r="G5473">
        <v>3</v>
      </c>
      <c r="Q5473" t="s">
        <v>7423</v>
      </c>
    </row>
    <row r="5474" spans="2:17" x14ac:dyDescent="0.2">
      <c r="B5474" t="s">
        <v>5133</v>
      </c>
      <c r="C5474">
        <v>3</v>
      </c>
      <c r="D5474" s="6" t="s">
        <v>5134</v>
      </c>
      <c r="E5474">
        <v>20</v>
      </c>
      <c r="F5474" t="s">
        <v>5385</v>
      </c>
      <c r="G5474">
        <v>3</v>
      </c>
      <c r="Q5474" t="s">
        <v>7422</v>
      </c>
    </row>
    <row r="5475" spans="2:17" x14ac:dyDescent="0.2">
      <c r="B5475" t="s">
        <v>5133</v>
      </c>
      <c r="C5475">
        <v>3</v>
      </c>
      <c r="D5475" s="6" t="s">
        <v>5134</v>
      </c>
      <c r="E5475">
        <v>18</v>
      </c>
      <c r="F5475" t="s">
        <v>5385</v>
      </c>
      <c r="G5475">
        <v>2</v>
      </c>
      <c r="Q5475" t="s">
        <v>7421</v>
      </c>
    </row>
    <row r="5476" spans="2:17" x14ac:dyDescent="0.2">
      <c r="B5476" t="s">
        <v>5133</v>
      </c>
      <c r="C5476">
        <v>3</v>
      </c>
      <c r="D5476" s="6" t="s">
        <v>5134</v>
      </c>
      <c r="E5476">
        <v>21</v>
      </c>
      <c r="F5476" t="s">
        <v>5385</v>
      </c>
      <c r="G5476">
        <v>4</v>
      </c>
      <c r="Q5476" t="s">
        <v>7420</v>
      </c>
    </row>
    <row r="5477" spans="2:17" x14ac:dyDescent="0.2">
      <c r="B5477" t="s">
        <v>5133</v>
      </c>
      <c r="C5477">
        <v>3</v>
      </c>
      <c r="D5477" s="6" t="s">
        <v>5134</v>
      </c>
      <c r="E5477">
        <v>22</v>
      </c>
      <c r="F5477" t="s">
        <v>5385</v>
      </c>
      <c r="G5477">
        <v>3</v>
      </c>
      <c r="Q5477" t="s">
        <v>7419</v>
      </c>
    </row>
    <row r="5478" spans="2:17" x14ac:dyDescent="0.2">
      <c r="B5478" t="s">
        <v>5133</v>
      </c>
      <c r="C5478">
        <v>3</v>
      </c>
      <c r="D5478" s="6" t="s">
        <v>5134</v>
      </c>
      <c r="E5478">
        <v>19</v>
      </c>
      <c r="F5478" t="s">
        <v>5385</v>
      </c>
      <c r="G5478">
        <v>2</v>
      </c>
      <c r="Q5478" t="s">
        <v>7418</v>
      </c>
    </row>
    <row r="5479" spans="2:17" x14ac:dyDescent="0.2">
      <c r="B5479" t="s">
        <v>5133</v>
      </c>
      <c r="C5479">
        <v>3</v>
      </c>
      <c r="D5479" s="6" t="s">
        <v>5134</v>
      </c>
      <c r="E5479">
        <v>26</v>
      </c>
      <c r="F5479" t="s">
        <v>5656</v>
      </c>
      <c r="G5479">
        <v>2</v>
      </c>
      <c r="O5479" t="s">
        <v>5581</v>
      </c>
      <c r="Q5479" t="s">
        <v>7409</v>
      </c>
    </row>
    <row r="5480" spans="2:17" x14ac:dyDescent="0.2">
      <c r="B5480" t="s">
        <v>5133</v>
      </c>
      <c r="C5480">
        <v>3</v>
      </c>
      <c r="D5480" s="6" t="s">
        <v>5134</v>
      </c>
      <c r="E5480">
        <v>17</v>
      </c>
      <c r="F5480" t="s">
        <v>6862</v>
      </c>
      <c r="G5480">
        <v>2</v>
      </c>
      <c r="Q5480" t="s">
        <v>7426</v>
      </c>
    </row>
    <row r="5481" spans="2:17" x14ac:dyDescent="0.2">
      <c r="B5481" t="s">
        <v>5133</v>
      </c>
      <c r="C5481">
        <v>3</v>
      </c>
      <c r="D5481" s="6" t="s">
        <v>5134</v>
      </c>
      <c r="E5481">
        <v>32</v>
      </c>
      <c r="F5481" t="s">
        <v>1389</v>
      </c>
      <c r="G5481" t="s">
        <v>114</v>
      </c>
      <c r="Q5481" t="s">
        <v>7427</v>
      </c>
    </row>
    <row r="5482" spans="2:17" x14ac:dyDescent="0.2">
      <c r="B5482" t="s">
        <v>5133</v>
      </c>
      <c r="C5482">
        <v>3</v>
      </c>
      <c r="D5482" s="6" t="s">
        <v>5134</v>
      </c>
      <c r="E5482" t="s">
        <v>5056</v>
      </c>
      <c r="F5482" t="s">
        <v>1538</v>
      </c>
      <c r="G5482">
        <v>2</v>
      </c>
    </row>
    <row r="5483" spans="2:17" x14ac:dyDescent="0.2">
      <c r="B5483" t="s">
        <v>5133</v>
      </c>
      <c r="C5483">
        <v>3</v>
      </c>
      <c r="D5483" s="6" t="s">
        <v>5134</v>
      </c>
      <c r="E5483" t="s">
        <v>5056</v>
      </c>
      <c r="F5483" t="s">
        <v>5385</v>
      </c>
      <c r="G5483">
        <v>3</v>
      </c>
    </row>
    <row r="5484" spans="2:17" x14ac:dyDescent="0.2">
      <c r="B5484" t="s">
        <v>5133</v>
      </c>
      <c r="C5484">
        <v>3</v>
      </c>
      <c r="D5484" s="6" t="s">
        <v>5134</v>
      </c>
      <c r="E5484">
        <v>35</v>
      </c>
      <c r="F5484" t="s">
        <v>504</v>
      </c>
      <c r="G5484">
        <f>878-308</f>
        <v>570</v>
      </c>
    </row>
    <row r="5485" spans="2:17" x14ac:dyDescent="0.2">
      <c r="B5485" t="s">
        <v>5133</v>
      </c>
      <c r="C5485">
        <v>3</v>
      </c>
      <c r="D5485" s="6" t="s">
        <v>5134</v>
      </c>
      <c r="E5485">
        <v>33</v>
      </c>
      <c r="F5485" t="s">
        <v>7361</v>
      </c>
      <c r="G5485">
        <v>27</v>
      </c>
      <c r="M5485">
        <v>7</v>
      </c>
      <c r="O5485" t="s">
        <v>7362</v>
      </c>
      <c r="Q5485" t="s">
        <v>7360</v>
      </c>
    </row>
    <row r="5486" spans="2:17" x14ac:dyDescent="0.2">
      <c r="B5486" t="s">
        <v>5133</v>
      </c>
      <c r="C5486">
        <v>3</v>
      </c>
      <c r="D5486" s="6" t="s">
        <v>5134</v>
      </c>
      <c r="E5486">
        <v>38</v>
      </c>
      <c r="F5486" t="s">
        <v>121</v>
      </c>
      <c r="G5486">
        <v>12</v>
      </c>
    </row>
    <row r="5487" spans="2:17" x14ac:dyDescent="0.2">
      <c r="B5487" t="s">
        <v>5133</v>
      </c>
      <c r="C5487">
        <v>3</v>
      </c>
      <c r="D5487" s="6" t="s">
        <v>5134</v>
      </c>
      <c r="E5487">
        <v>37</v>
      </c>
      <c r="F5487" t="s">
        <v>7363</v>
      </c>
      <c r="G5487">
        <v>7</v>
      </c>
    </row>
    <row r="5488" spans="2:17" x14ac:dyDescent="0.2">
      <c r="B5488" t="s">
        <v>5133</v>
      </c>
      <c r="C5488">
        <v>3</v>
      </c>
      <c r="D5488" s="6" t="s">
        <v>5134</v>
      </c>
      <c r="E5488">
        <v>34</v>
      </c>
      <c r="F5488" t="s">
        <v>106</v>
      </c>
      <c r="G5488">
        <v>7</v>
      </c>
    </row>
    <row r="5489" spans="2:17" x14ac:dyDescent="0.2">
      <c r="B5489" t="s">
        <v>5133</v>
      </c>
      <c r="C5489">
        <v>3</v>
      </c>
      <c r="D5489" s="6" t="s">
        <v>5134</v>
      </c>
      <c r="E5489">
        <v>41</v>
      </c>
      <c r="F5489" t="s">
        <v>2836</v>
      </c>
      <c r="G5489">
        <v>1</v>
      </c>
    </row>
    <row r="5490" spans="2:17" x14ac:dyDescent="0.2">
      <c r="B5490" t="s">
        <v>5133</v>
      </c>
      <c r="C5490">
        <v>3</v>
      </c>
      <c r="D5490" s="6" t="s">
        <v>5134</v>
      </c>
      <c r="E5490">
        <v>40</v>
      </c>
      <c r="F5490" t="s">
        <v>810</v>
      </c>
      <c r="G5490">
        <v>6</v>
      </c>
      <c r="M5490">
        <v>4</v>
      </c>
    </row>
    <row r="5491" spans="2:17" x14ac:dyDescent="0.2">
      <c r="B5491" t="s">
        <v>5133</v>
      </c>
      <c r="C5491">
        <v>3</v>
      </c>
      <c r="D5491" s="6" t="s">
        <v>5134</v>
      </c>
      <c r="E5491">
        <v>36</v>
      </c>
      <c r="F5491" t="s">
        <v>126</v>
      </c>
      <c r="G5491">
        <v>2</v>
      </c>
    </row>
    <row r="5492" spans="2:17" x14ac:dyDescent="0.2">
      <c r="B5492" t="s">
        <v>5133</v>
      </c>
      <c r="C5492">
        <v>3</v>
      </c>
      <c r="D5492" s="6" t="s">
        <v>5134</v>
      </c>
      <c r="E5492">
        <v>39</v>
      </c>
      <c r="F5492" t="s">
        <v>3875</v>
      </c>
      <c r="G5492">
        <v>9</v>
      </c>
      <c r="M5492">
        <v>3</v>
      </c>
    </row>
    <row r="5493" spans="2:17" x14ac:dyDescent="0.2">
      <c r="B5493" t="s">
        <v>5133</v>
      </c>
      <c r="C5493">
        <v>4</v>
      </c>
      <c r="D5493" s="6" t="s">
        <v>5134</v>
      </c>
      <c r="E5493" s="8" t="s">
        <v>5081</v>
      </c>
      <c r="F5493" t="s">
        <v>1264</v>
      </c>
      <c r="H5493">
        <f>10.7-0.285</f>
        <v>10.414999999999999</v>
      </c>
      <c r="M5493" t="s">
        <v>802</v>
      </c>
      <c r="P5493" t="s">
        <v>5583</v>
      </c>
    </row>
    <row r="5494" spans="2:17" x14ac:dyDescent="0.2">
      <c r="B5494" t="s">
        <v>5133</v>
      </c>
      <c r="C5494">
        <v>4</v>
      </c>
      <c r="D5494" s="6" t="s">
        <v>5134</v>
      </c>
      <c r="E5494">
        <v>26</v>
      </c>
      <c r="F5494" t="s">
        <v>504</v>
      </c>
      <c r="G5494">
        <f>784-345</f>
        <v>439</v>
      </c>
      <c r="M5494" t="s">
        <v>802</v>
      </c>
    </row>
    <row r="5495" spans="2:17" x14ac:dyDescent="0.2">
      <c r="B5495" t="s">
        <v>5133</v>
      </c>
      <c r="C5495">
        <v>4</v>
      </c>
      <c r="D5495" s="6" t="s">
        <v>5134</v>
      </c>
      <c r="E5495" s="8" t="s">
        <v>5082</v>
      </c>
      <c r="F5495" t="s">
        <v>1538</v>
      </c>
      <c r="G5495">
        <v>7</v>
      </c>
      <c r="Q5495" t="s">
        <v>7396</v>
      </c>
    </row>
    <row r="5496" spans="2:17" x14ac:dyDescent="0.2">
      <c r="B5496" t="s">
        <v>5133</v>
      </c>
      <c r="C5496">
        <v>4</v>
      </c>
      <c r="D5496" s="6" t="s">
        <v>5134</v>
      </c>
      <c r="E5496" s="8" t="s">
        <v>5089</v>
      </c>
      <c r="F5496" t="s">
        <v>1538</v>
      </c>
      <c r="G5496">
        <v>1</v>
      </c>
      <c r="Q5496" t="s">
        <v>7394</v>
      </c>
    </row>
    <row r="5497" spans="2:17" x14ac:dyDescent="0.2">
      <c r="B5497" t="s">
        <v>5133</v>
      </c>
      <c r="C5497">
        <v>4</v>
      </c>
      <c r="D5497" s="6" t="s">
        <v>5134</v>
      </c>
      <c r="E5497" s="8" t="s">
        <v>5090</v>
      </c>
      <c r="F5497" t="s">
        <v>1538</v>
      </c>
      <c r="G5497">
        <v>1</v>
      </c>
      <c r="Q5497" t="s">
        <v>7393</v>
      </c>
    </row>
    <row r="5498" spans="2:17" x14ac:dyDescent="0.2">
      <c r="B5498" t="s">
        <v>5133</v>
      </c>
      <c r="C5498">
        <v>4</v>
      </c>
      <c r="D5498" s="6" t="s">
        <v>5134</v>
      </c>
      <c r="E5498" s="8" t="s">
        <v>5091</v>
      </c>
      <c r="F5498" t="s">
        <v>1538</v>
      </c>
      <c r="G5498">
        <v>1</v>
      </c>
      <c r="Q5498" t="s">
        <v>7395</v>
      </c>
    </row>
    <row r="5499" spans="2:17" x14ac:dyDescent="0.2">
      <c r="B5499" t="s">
        <v>5133</v>
      </c>
      <c r="C5499">
        <v>4</v>
      </c>
      <c r="D5499" s="6" t="s">
        <v>5134</v>
      </c>
      <c r="E5499" s="8" t="s">
        <v>5094</v>
      </c>
      <c r="F5499" t="s">
        <v>1538</v>
      </c>
      <c r="G5499">
        <v>7</v>
      </c>
      <c r="Q5499" t="s">
        <v>7397</v>
      </c>
    </row>
    <row r="5500" spans="2:17" x14ac:dyDescent="0.2">
      <c r="B5500" t="s">
        <v>5133</v>
      </c>
      <c r="C5500">
        <v>4</v>
      </c>
      <c r="D5500" s="6" t="s">
        <v>5134</v>
      </c>
      <c r="E5500" s="8" t="s">
        <v>5092</v>
      </c>
      <c r="F5500" t="s">
        <v>1538</v>
      </c>
      <c r="G5500">
        <v>51</v>
      </c>
      <c r="Q5500" t="s">
        <v>7366</v>
      </c>
    </row>
    <row r="5501" spans="2:17" x14ac:dyDescent="0.2">
      <c r="B5501" t="s">
        <v>5133</v>
      </c>
      <c r="C5501">
        <v>4</v>
      </c>
      <c r="D5501" s="6" t="s">
        <v>5134</v>
      </c>
      <c r="E5501">
        <v>41</v>
      </c>
      <c r="F5501" t="s">
        <v>1538</v>
      </c>
      <c r="G5501">
        <v>35</v>
      </c>
      <c r="Q5501" t="s">
        <v>7365</v>
      </c>
    </row>
    <row r="5502" spans="2:17" x14ac:dyDescent="0.2">
      <c r="B5502" t="s">
        <v>5133</v>
      </c>
      <c r="C5502">
        <v>4</v>
      </c>
      <c r="D5502" s="6" t="s">
        <v>5134</v>
      </c>
      <c r="E5502">
        <v>42</v>
      </c>
      <c r="F5502" t="s">
        <v>1538</v>
      </c>
      <c r="G5502">
        <v>20</v>
      </c>
      <c r="Q5502" t="s">
        <v>7368</v>
      </c>
    </row>
    <row r="5503" spans="2:17" x14ac:dyDescent="0.2">
      <c r="B5503" t="s">
        <v>5133</v>
      </c>
      <c r="C5503">
        <v>4</v>
      </c>
      <c r="D5503" s="6" t="s">
        <v>5134</v>
      </c>
      <c r="E5503">
        <v>43</v>
      </c>
      <c r="F5503" t="s">
        <v>1538</v>
      </c>
      <c r="G5503">
        <v>11</v>
      </c>
      <c r="Q5503" t="s">
        <v>7367</v>
      </c>
    </row>
    <row r="5504" spans="2:17" x14ac:dyDescent="0.2">
      <c r="B5504" t="s">
        <v>5133</v>
      </c>
      <c r="C5504">
        <v>4</v>
      </c>
      <c r="D5504" s="6" t="s">
        <v>5134</v>
      </c>
      <c r="E5504">
        <v>44</v>
      </c>
      <c r="F5504" t="s">
        <v>1538</v>
      </c>
      <c r="G5504">
        <v>38</v>
      </c>
      <c r="Q5504" t="s">
        <v>7364</v>
      </c>
    </row>
    <row r="5505" spans="2:17" x14ac:dyDescent="0.2">
      <c r="B5505" t="s">
        <v>5133</v>
      </c>
      <c r="C5505">
        <v>4</v>
      </c>
      <c r="D5505" s="6" t="s">
        <v>5134</v>
      </c>
      <c r="E5505">
        <v>45</v>
      </c>
      <c r="F5505" t="s">
        <v>1538</v>
      </c>
      <c r="G5505">
        <v>46</v>
      </c>
      <c r="M5505">
        <v>5</v>
      </c>
    </row>
    <row r="5506" spans="2:17" x14ac:dyDescent="0.2">
      <c r="B5506" t="s">
        <v>5133</v>
      </c>
      <c r="C5506">
        <v>4</v>
      </c>
      <c r="D5506" s="6" t="s">
        <v>5134</v>
      </c>
      <c r="E5506" t="s">
        <v>5056</v>
      </c>
      <c r="F5506" t="s">
        <v>1538</v>
      </c>
      <c r="G5506">
        <v>501</v>
      </c>
      <c r="M5506">
        <v>24</v>
      </c>
    </row>
    <row r="5507" spans="2:17" x14ac:dyDescent="0.2">
      <c r="B5507" t="s">
        <v>5133</v>
      </c>
      <c r="C5507">
        <v>4</v>
      </c>
      <c r="D5507" s="6" t="s">
        <v>5134</v>
      </c>
      <c r="E5507">
        <v>25</v>
      </c>
      <c r="F5507" t="s">
        <v>10601</v>
      </c>
      <c r="G5507">
        <v>31</v>
      </c>
      <c r="Q5507" t="s">
        <v>7369</v>
      </c>
    </row>
    <row r="5508" spans="2:17" x14ac:dyDescent="0.2">
      <c r="B5508" t="s">
        <v>5133</v>
      </c>
      <c r="C5508">
        <v>4</v>
      </c>
      <c r="D5508" s="6" t="s">
        <v>5134</v>
      </c>
      <c r="E5508">
        <v>27</v>
      </c>
      <c r="F5508" t="s">
        <v>7148</v>
      </c>
      <c r="G5508">
        <v>16</v>
      </c>
      <c r="Q5508" t="s">
        <v>7370</v>
      </c>
    </row>
    <row r="5509" spans="2:17" x14ac:dyDescent="0.2">
      <c r="B5509" t="s">
        <v>5133</v>
      </c>
      <c r="C5509">
        <v>4</v>
      </c>
      <c r="D5509" s="6" t="s">
        <v>5134</v>
      </c>
      <c r="E5509">
        <v>28</v>
      </c>
      <c r="F5509" t="s">
        <v>6231</v>
      </c>
      <c r="G5509">
        <v>26</v>
      </c>
      <c r="Q5509" t="s">
        <v>7371</v>
      </c>
    </row>
    <row r="5510" spans="2:17" x14ac:dyDescent="0.2">
      <c r="B5510" t="s">
        <v>5133</v>
      </c>
      <c r="C5510">
        <v>4</v>
      </c>
      <c r="D5510" s="6" t="s">
        <v>5134</v>
      </c>
      <c r="E5510">
        <v>29</v>
      </c>
      <c r="F5510" t="s">
        <v>6231</v>
      </c>
      <c r="G5510">
        <v>23</v>
      </c>
      <c r="Q5510" t="s">
        <v>7372</v>
      </c>
    </row>
    <row r="5511" spans="2:17" x14ac:dyDescent="0.2">
      <c r="B5511" t="s">
        <v>5133</v>
      </c>
      <c r="C5511">
        <v>4</v>
      </c>
      <c r="D5511" s="6" t="s">
        <v>5134</v>
      </c>
      <c r="E5511">
        <v>30</v>
      </c>
      <c r="F5511" t="s">
        <v>6231</v>
      </c>
      <c r="G5511">
        <v>18</v>
      </c>
      <c r="Q5511" t="s">
        <v>7373</v>
      </c>
    </row>
    <row r="5512" spans="2:17" x14ac:dyDescent="0.2">
      <c r="B5512" t="s">
        <v>5133</v>
      </c>
      <c r="C5512">
        <v>4</v>
      </c>
      <c r="D5512" s="6" t="s">
        <v>5134</v>
      </c>
      <c r="E5512">
        <v>31</v>
      </c>
      <c r="F5512" t="s">
        <v>6231</v>
      </c>
      <c r="G5512">
        <v>17</v>
      </c>
      <c r="Q5512" t="s">
        <v>7374</v>
      </c>
    </row>
    <row r="5513" spans="2:17" x14ac:dyDescent="0.2">
      <c r="B5513" t="s">
        <v>5133</v>
      </c>
      <c r="C5513">
        <v>4</v>
      </c>
      <c r="D5513" s="6" t="s">
        <v>5134</v>
      </c>
      <c r="E5513">
        <v>32</v>
      </c>
      <c r="F5513" t="s">
        <v>6231</v>
      </c>
      <c r="G5513">
        <v>14</v>
      </c>
      <c r="Q5513" t="s">
        <v>7375</v>
      </c>
    </row>
    <row r="5514" spans="2:17" x14ac:dyDescent="0.2">
      <c r="B5514" t="s">
        <v>5133</v>
      </c>
      <c r="C5514">
        <v>4</v>
      </c>
      <c r="D5514" s="6" t="s">
        <v>5134</v>
      </c>
      <c r="E5514">
        <v>33</v>
      </c>
      <c r="F5514" t="s">
        <v>6231</v>
      </c>
      <c r="G5514">
        <v>10</v>
      </c>
      <c r="Q5514" t="s">
        <v>7376</v>
      </c>
    </row>
    <row r="5515" spans="2:17" x14ac:dyDescent="0.2">
      <c r="B5515" t="s">
        <v>5133</v>
      </c>
      <c r="C5515">
        <v>4</v>
      </c>
      <c r="D5515" s="6" t="s">
        <v>5134</v>
      </c>
      <c r="E5515">
        <v>34</v>
      </c>
      <c r="F5515" t="s">
        <v>1538</v>
      </c>
      <c r="G5515">
        <v>2</v>
      </c>
      <c r="Q5515" t="s">
        <v>7377</v>
      </c>
    </row>
    <row r="5516" spans="2:17" x14ac:dyDescent="0.2">
      <c r="B5516" t="s">
        <v>5133</v>
      </c>
      <c r="C5516">
        <v>4</v>
      </c>
      <c r="D5516" s="6" t="s">
        <v>5134</v>
      </c>
      <c r="E5516">
        <v>35</v>
      </c>
      <c r="F5516" t="s">
        <v>7363</v>
      </c>
      <c r="G5516">
        <v>21</v>
      </c>
    </row>
    <row r="5517" spans="2:17" x14ac:dyDescent="0.2">
      <c r="B5517" t="s">
        <v>5133</v>
      </c>
      <c r="C5517">
        <v>4</v>
      </c>
      <c r="D5517" s="6" t="s">
        <v>5134</v>
      </c>
      <c r="E5517">
        <v>38</v>
      </c>
      <c r="F5517" t="s">
        <v>106</v>
      </c>
      <c r="G5517">
        <v>5</v>
      </c>
    </row>
    <row r="5518" spans="2:17" x14ac:dyDescent="0.2">
      <c r="B5518" t="s">
        <v>5133</v>
      </c>
      <c r="C5518">
        <v>4</v>
      </c>
      <c r="D5518" s="6" t="s">
        <v>5134</v>
      </c>
      <c r="E5518">
        <v>39</v>
      </c>
      <c r="F5518" t="s">
        <v>7398</v>
      </c>
      <c r="G5518">
        <v>24</v>
      </c>
      <c r="M5518">
        <v>3</v>
      </c>
      <c r="O5518" t="s">
        <v>7399</v>
      </c>
      <c r="Q5518" t="s">
        <v>7400</v>
      </c>
    </row>
    <row r="5519" spans="2:17" x14ac:dyDescent="0.2">
      <c r="B5519" t="s">
        <v>5133</v>
      </c>
      <c r="C5519">
        <v>4</v>
      </c>
      <c r="D5519" s="6" t="s">
        <v>5134</v>
      </c>
      <c r="E5519">
        <v>40</v>
      </c>
      <c r="F5519" t="s">
        <v>810</v>
      </c>
      <c r="G5519">
        <v>14</v>
      </c>
    </row>
    <row r="5520" spans="2:17" x14ac:dyDescent="0.2">
      <c r="B5520" t="s">
        <v>5133</v>
      </c>
      <c r="C5520">
        <v>4</v>
      </c>
      <c r="D5520" s="6" t="s">
        <v>5134</v>
      </c>
      <c r="E5520">
        <v>37</v>
      </c>
      <c r="F5520" t="s">
        <v>2218</v>
      </c>
      <c r="G5520">
        <v>4</v>
      </c>
      <c r="M5520">
        <v>7</v>
      </c>
    </row>
    <row r="5521" spans="2:17" x14ac:dyDescent="0.2">
      <c r="B5521" t="s">
        <v>5133</v>
      </c>
      <c r="C5521">
        <v>4</v>
      </c>
      <c r="D5521" s="6" t="s">
        <v>5134</v>
      </c>
      <c r="E5521">
        <v>36</v>
      </c>
      <c r="F5521" t="s">
        <v>3875</v>
      </c>
      <c r="G5521">
        <v>76</v>
      </c>
      <c r="M5521" t="s">
        <v>802</v>
      </c>
    </row>
    <row r="5522" spans="2:17" x14ac:dyDescent="0.2">
      <c r="B5522" t="s">
        <v>5133</v>
      </c>
      <c r="C5522">
        <v>4</v>
      </c>
      <c r="D5522" s="6" t="s">
        <v>5134</v>
      </c>
      <c r="E5522">
        <v>16</v>
      </c>
      <c r="F5522" t="s">
        <v>6283</v>
      </c>
      <c r="G5522">
        <v>5</v>
      </c>
      <c r="Q5522" t="s">
        <v>7378</v>
      </c>
    </row>
    <row r="5523" spans="2:17" x14ac:dyDescent="0.2">
      <c r="B5523" t="s">
        <v>5133</v>
      </c>
      <c r="C5523">
        <v>4</v>
      </c>
      <c r="D5523" s="6" t="s">
        <v>5134</v>
      </c>
      <c r="E5523">
        <v>17</v>
      </c>
      <c r="F5523" t="s">
        <v>6283</v>
      </c>
      <c r="G5523">
        <v>4</v>
      </c>
      <c r="Q5523" t="s">
        <v>7379</v>
      </c>
    </row>
    <row r="5524" spans="2:17" x14ac:dyDescent="0.2">
      <c r="B5524" t="s">
        <v>5133</v>
      </c>
      <c r="C5524">
        <v>4</v>
      </c>
      <c r="D5524" s="6" t="s">
        <v>5134</v>
      </c>
      <c r="E5524">
        <v>15</v>
      </c>
      <c r="F5524" t="s">
        <v>6283</v>
      </c>
      <c r="G5524">
        <v>5</v>
      </c>
      <c r="Q5524" t="s">
        <v>7380</v>
      </c>
    </row>
    <row r="5525" spans="2:17" x14ac:dyDescent="0.2">
      <c r="B5525" t="s">
        <v>5133</v>
      </c>
      <c r="C5525">
        <v>4</v>
      </c>
      <c r="D5525" s="6" t="s">
        <v>5134</v>
      </c>
      <c r="E5525">
        <v>14</v>
      </c>
      <c r="F5525" t="s">
        <v>6283</v>
      </c>
      <c r="G5525">
        <v>9</v>
      </c>
      <c r="Q5525" t="s">
        <v>7381</v>
      </c>
    </row>
    <row r="5526" spans="2:17" x14ac:dyDescent="0.2">
      <c r="B5526" t="s">
        <v>5133</v>
      </c>
      <c r="C5526">
        <v>4</v>
      </c>
      <c r="D5526" s="6" t="s">
        <v>5134</v>
      </c>
      <c r="E5526">
        <v>13</v>
      </c>
      <c r="F5526" t="s">
        <v>6283</v>
      </c>
      <c r="G5526">
        <v>3</v>
      </c>
      <c r="Q5526" t="s">
        <v>7382</v>
      </c>
    </row>
    <row r="5527" spans="2:17" x14ac:dyDescent="0.2">
      <c r="B5527" t="s">
        <v>5133</v>
      </c>
      <c r="C5527">
        <v>4</v>
      </c>
      <c r="D5527" s="6" t="s">
        <v>5134</v>
      </c>
      <c r="E5527">
        <v>18</v>
      </c>
      <c r="F5527" t="s">
        <v>1425</v>
      </c>
      <c r="G5527">
        <v>33</v>
      </c>
      <c r="M5527">
        <v>5</v>
      </c>
    </row>
    <row r="5528" spans="2:17" x14ac:dyDescent="0.2">
      <c r="B5528" t="s">
        <v>5133</v>
      </c>
      <c r="C5528">
        <v>4</v>
      </c>
      <c r="D5528" s="6" t="s">
        <v>5134</v>
      </c>
      <c r="E5528">
        <v>12</v>
      </c>
      <c r="F5528" t="s">
        <v>6862</v>
      </c>
      <c r="G5528" t="s">
        <v>114</v>
      </c>
      <c r="Q5528" t="s">
        <v>7383</v>
      </c>
    </row>
    <row r="5529" spans="2:17" x14ac:dyDescent="0.2">
      <c r="B5529" t="s">
        <v>5133</v>
      </c>
      <c r="C5529">
        <v>4</v>
      </c>
      <c r="D5529" s="6" t="s">
        <v>5134</v>
      </c>
      <c r="E5529">
        <v>11</v>
      </c>
      <c r="F5529" t="s">
        <v>6862</v>
      </c>
      <c r="G5529" t="s">
        <v>114</v>
      </c>
      <c r="Q5529" t="s">
        <v>7384</v>
      </c>
    </row>
    <row r="5530" spans="2:17" x14ac:dyDescent="0.2">
      <c r="B5530" t="s">
        <v>5133</v>
      </c>
      <c r="C5530">
        <v>4</v>
      </c>
      <c r="D5530" s="6" t="s">
        <v>5134</v>
      </c>
      <c r="E5530">
        <v>10</v>
      </c>
      <c r="F5530" t="s">
        <v>1538</v>
      </c>
      <c r="G5530">
        <v>1</v>
      </c>
      <c r="Q5530" t="s">
        <v>7385</v>
      </c>
    </row>
    <row r="5531" spans="2:17" x14ac:dyDescent="0.2">
      <c r="B5531" t="s">
        <v>5133</v>
      </c>
      <c r="C5531">
        <v>4</v>
      </c>
      <c r="D5531" s="6" t="s">
        <v>5134</v>
      </c>
      <c r="E5531" s="8" t="s">
        <v>5098</v>
      </c>
      <c r="F5531" t="s">
        <v>5385</v>
      </c>
      <c r="G5531">
        <v>3</v>
      </c>
      <c r="Q5531" t="s">
        <v>7386</v>
      </c>
    </row>
    <row r="5532" spans="2:17" x14ac:dyDescent="0.2">
      <c r="B5532" t="s">
        <v>5133</v>
      </c>
      <c r="C5532">
        <v>4</v>
      </c>
      <c r="D5532" s="6" t="s">
        <v>5134</v>
      </c>
      <c r="E5532" s="8" t="s">
        <v>5097</v>
      </c>
      <c r="F5532" t="s">
        <v>5385</v>
      </c>
      <c r="G5532">
        <v>2</v>
      </c>
      <c r="Q5532" t="s">
        <v>7387</v>
      </c>
    </row>
    <row r="5533" spans="2:17" x14ac:dyDescent="0.2">
      <c r="B5533" t="s">
        <v>5133</v>
      </c>
      <c r="C5533">
        <v>4</v>
      </c>
      <c r="D5533" s="6" t="s">
        <v>5134</v>
      </c>
      <c r="E5533">
        <v>19</v>
      </c>
      <c r="F5533" t="s">
        <v>6250</v>
      </c>
      <c r="G5533">
        <v>9</v>
      </c>
      <c r="Q5533" t="s">
        <v>7390</v>
      </c>
    </row>
    <row r="5534" spans="2:17" x14ac:dyDescent="0.2">
      <c r="B5534" t="s">
        <v>5133</v>
      </c>
      <c r="C5534">
        <v>4</v>
      </c>
      <c r="D5534" s="6" t="s">
        <v>5134</v>
      </c>
      <c r="E5534">
        <v>20</v>
      </c>
      <c r="F5534" t="s">
        <v>6250</v>
      </c>
      <c r="G5534">
        <v>3</v>
      </c>
      <c r="Q5534" t="s">
        <v>7391</v>
      </c>
    </row>
    <row r="5535" spans="2:17" x14ac:dyDescent="0.2">
      <c r="B5535" t="s">
        <v>5133</v>
      </c>
      <c r="C5535">
        <v>4</v>
      </c>
      <c r="D5535" s="6" t="s">
        <v>5134</v>
      </c>
      <c r="E5535">
        <v>21</v>
      </c>
      <c r="F5535" t="s">
        <v>6250</v>
      </c>
      <c r="G5535">
        <v>1</v>
      </c>
      <c r="Q5535" t="s">
        <v>7392</v>
      </c>
    </row>
    <row r="5536" spans="2:17" x14ac:dyDescent="0.2">
      <c r="B5536" t="s">
        <v>5133</v>
      </c>
      <c r="C5536">
        <v>4</v>
      </c>
      <c r="D5536" s="6" t="s">
        <v>5134</v>
      </c>
      <c r="E5536">
        <v>22</v>
      </c>
      <c r="F5536" t="s">
        <v>6250</v>
      </c>
      <c r="G5536">
        <v>6</v>
      </c>
      <c r="Q5536" t="s">
        <v>7389</v>
      </c>
    </row>
    <row r="5537" spans="2:17" x14ac:dyDescent="0.2">
      <c r="B5537" t="s">
        <v>5133</v>
      </c>
      <c r="C5537">
        <v>4</v>
      </c>
      <c r="D5537" s="6" t="s">
        <v>5134</v>
      </c>
      <c r="E5537">
        <v>23</v>
      </c>
      <c r="F5537" t="s">
        <v>6250</v>
      </c>
      <c r="G5537">
        <v>1</v>
      </c>
      <c r="Q5537" t="s">
        <v>7388</v>
      </c>
    </row>
    <row r="5538" spans="2:17" x14ac:dyDescent="0.2">
      <c r="B5538" t="s">
        <v>5133</v>
      </c>
      <c r="C5538">
        <v>4</v>
      </c>
      <c r="D5538" s="6" t="s">
        <v>5134</v>
      </c>
      <c r="E5538">
        <v>24</v>
      </c>
      <c r="F5538" t="s">
        <v>1389</v>
      </c>
      <c r="G5538">
        <v>33</v>
      </c>
      <c r="M5538">
        <v>5</v>
      </c>
    </row>
    <row r="5539" spans="2:17" x14ac:dyDescent="0.2">
      <c r="B5539" t="s">
        <v>5133</v>
      </c>
      <c r="C5539">
        <v>4</v>
      </c>
      <c r="D5539" s="6" t="s">
        <v>5134</v>
      </c>
      <c r="E5539" t="s">
        <v>5056</v>
      </c>
      <c r="F5539" t="s">
        <v>1389</v>
      </c>
      <c r="G5539">
        <v>21</v>
      </c>
      <c r="M5539">
        <v>11</v>
      </c>
    </row>
    <row r="5540" spans="2:17" x14ac:dyDescent="0.2">
      <c r="B5540" t="s">
        <v>5133</v>
      </c>
      <c r="C5540">
        <v>4</v>
      </c>
      <c r="D5540" s="6" t="s">
        <v>5134</v>
      </c>
      <c r="E5540" t="s">
        <v>5056</v>
      </c>
      <c r="F5540" t="s">
        <v>1425</v>
      </c>
      <c r="G5540">
        <v>11</v>
      </c>
      <c r="M5540">
        <v>2</v>
      </c>
    </row>
    <row r="5541" spans="2:17" x14ac:dyDescent="0.2">
      <c r="B5541" t="s">
        <v>5133</v>
      </c>
      <c r="C5541">
        <v>5</v>
      </c>
      <c r="D5541" s="6" t="s">
        <v>5134</v>
      </c>
      <c r="E5541">
        <v>38</v>
      </c>
      <c r="F5541" t="s">
        <v>1264</v>
      </c>
      <c r="G5541">
        <v>464</v>
      </c>
      <c r="M5541" t="s">
        <v>802</v>
      </c>
    </row>
    <row r="5542" spans="2:17" x14ac:dyDescent="0.2">
      <c r="B5542" t="s">
        <v>5133</v>
      </c>
      <c r="C5542">
        <v>5</v>
      </c>
      <c r="D5542" s="6" t="s">
        <v>5134</v>
      </c>
      <c r="E5542">
        <v>43</v>
      </c>
      <c r="F5542" t="s">
        <v>7401</v>
      </c>
      <c r="G5542">
        <v>3</v>
      </c>
      <c r="M5542" t="s">
        <v>802</v>
      </c>
      <c r="N5542">
        <v>0</v>
      </c>
      <c r="O5542" t="s">
        <v>5585</v>
      </c>
    </row>
    <row r="5543" spans="2:17" x14ac:dyDescent="0.2">
      <c r="B5543" t="s">
        <v>5133</v>
      </c>
      <c r="C5543">
        <v>5</v>
      </c>
      <c r="D5543" s="6" t="s">
        <v>5134</v>
      </c>
      <c r="E5543">
        <v>37</v>
      </c>
      <c r="F5543" t="s">
        <v>504</v>
      </c>
      <c r="G5543">
        <f>0.8*(0.791-0.357)</f>
        <v>0.34720000000000006</v>
      </c>
      <c r="M5543" t="s">
        <v>802</v>
      </c>
      <c r="O5543" t="s">
        <v>5586</v>
      </c>
    </row>
    <row r="5544" spans="2:17" x14ac:dyDescent="0.2">
      <c r="B5544" t="s">
        <v>5133</v>
      </c>
      <c r="C5544">
        <v>5</v>
      </c>
      <c r="D5544" s="6" t="s">
        <v>5134</v>
      </c>
      <c r="E5544">
        <v>37</v>
      </c>
      <c r="F5544" t="s">
        <v>5584</v>
      </c>
      <c r="G5544">
        <f>0.1*(0.791-0.357)</f>
        <v>4.3400000000000008E-2</v>
      </c>
      <c r="M5544" t="s">
        <v>802</v>
      </c>
      <c r="O5544" t="s">
        <v>5586</v>
      </c>
    </row>
    <row r="5545" spans="2:17" x14ac:dyDescent="0.2">
      <c r="B5545" t="s">
        <v>5133</v>
      </c>
      <c r="C5545">
        <v>5</v>
      </c>
      <c r="D5545" s="6" t="s">
        <v>5134</v>
      </c>
      <c r="E5545">
        <v>37</v>
      </c>
      <c r="F5545" t="s">
        <v>7363</v>
      </c>
      <c r="G5545">
        <f>0.1*(0.791-0.357)</f>
        <v>4.3400000000000008E-2</v>
      </c>
      <c r="M5545" t="s">
        <v>802</v>
      </c>
      <c r="O5545" t="s">
        <v>5586</v>
      </c>
    </row>
    <row r="5546" spans="2:17" x14ac:dyDescent="0.2">
      <c r="B5546" t="s">
        <v>5133</v>
      </c>
      <c r="C5546">
        <v>5</v>
      </c>
      <c r="D5546" s="6" t="s">
        <v>5134</v>
      </c>
      <c r="E5546">
        <v>42</v>
      </c>
      <c r="F5546" t="s">
        <v>3875</v>
      </c>
      <c r="G5546">
        <v>116</v>
      </c>
      <c r="M5546" t="s">
        <v>802</v>
      </c>
    </row>
    <row r="5547" spans="2:17" x14ac:dyDescent="0.2">
      <c r="B5547" t="s">
        <v>5133</v>
      </c>
      <c r="C5547">
        <v>5</v>
      </c>
      <c r="D5547" s="6" t="s">
        <v>5134</v>
      </c>
      <c r="E5547">
        <v>40</v>
      </c>
      <c r="F5547" t="s">
        <v>7363</v>
      </c>
      <c r="G5547">
        <v>23</v>
      </c>
      <c r="M5547" t="s">
        <v>802</v>
      </c>
    </row>
    <row r="5548" spans="2:17" x14ac:dyDescent="0.2">
      <c r="B5548" t="s">
        <v>5133</v>
      </c>
      <c r="C5548">
        <v>5</v>
      </c>
      <c r="D5548" s="6" t="s">
        <v>5134</v>
      </c>
      <c r="E5548">
        <v>99</v>
      </c>
      <c r="F5548" t="s">
        <v>5582</v>
      </c>
      <c r="G5548">
        <v>2</v>
      </c>
      <c r="M5548">
        <v>2</v>
      </c>
    </row>
    <row r="5549" spans="2:17" x14ac:dyDescent="0.2">
      <c r="B5549" t="s">
        <v>5133</v>
      </c>
      <c r="C5549">
        <v>5</v>
      </c>
      <c r="D5549" s="6" t="s">
        <v>5134</v>
      </c>
      <c r="E5549">
        <v>39</v>
      </c>
      <c r="F5549" t="s">
        <v>106</v>
      </c>
      <c r="G5549">
        <v>4</v>
      </c>
      <c r="M5549" s="6" t="s">
        <v>802</v>
      </c>
    </row>
    <row r="5550" spans="2:17" x14ac:dyDescent="0.2">
      <c r="B5550" t="s">
        <v>5133</v>
      </c>
      <c r="C5550">
        <v>5</v>
      </c>
      <c r="D5550" s="6" t="s">
        <v>5134</v>
      </c>
      <c r="E5550">
        <v>41</v>
      </c>
      <c r="F5550" t="s">
        <v>7138</v>
      </c>
      <c r="G5550">
        <v>7</v>
      </c>
      <c r="M5550">
        <v>4</v>
      </c>
      <c r="Q5550" t="s">
        <v>7402</v>
      </c>
    </row>
    <row r="5551" spans="2:17" x14ac:dyDescent="0.2">
      <c r="B5551" t="s">
        <v>5133</v>
      </c>
      <c r="C5551">
        <v>5</v>
      </c>
      <c r="D5551" s="6" t="s">
        <v>5134</v>
      </c>
      <c r="E5551">
        <v>98</v>
      </c>
      <c r="F5551" t="s">
        <v>3431</v>
      </c>
      <c r="G5551" t="s">
        <v>114</v>
      </c>
      <c r="M5551">
        <v>2</v>
      </c>
      <c r="O5551" t="s">
        <v>7403</v>
      </c>
    </row>
    <row r="5552" spans="2:17" x14ac:dyDescent="0.2">
      <c r="B5552" t="s">
        <v>5133</v>
      </c>
      <c r="C5552">
        <v>5</v>
      </c>
      <c r="D5552" s="6" t="s">
        <v>5134</v>
      </c>
      <c r="E5552" s="8" t="s">
        <v>5082</v>
      </c>
      <c r="F5552" t="s">
        <v>1425</v>
      </c>
      <c r="G5552">
        <v>8</v>
      </c>
      <c r="Q5552" t="s">
        <v>7405</v>
      </c>
    </row>
    <row r="5553" spans="2:17" x14ac:dyDescent="0.2">
      <c r="B5553" t="s">
        <v>5133</v>
      </c>
      <c r="C5553">
        <v>5</v>
      </c>
      <c r="D5553" s="6" t="s">
        <v>5134</v>
      </c>
      <c r="E5553" s="8" t="s">
        <v>5081</v>
      </c>
      <c r="F5553" t="s">
        <v>1425</v>
      </c>
      <c r="G5553">
        <v>30</v>
      </c>
      <c r="O5553" t="s">
        <v>6906</v>
      </c>
      <c r="Q5553" t="s">
        <v>7406</v>
      </c>
    </row>
    <row r="5554" spans="2:17" x14ac:dyDescent="0.2">
      <c r="B5554" t="s">
        <v>5133</v>
      </c>
      <c r="C5554">
        <v>5</v>
      </c>
      <c r="D5554" s="6" t="s">
        <v>5134</v>
      </c>
      <c r="E5554" s="8" t="s">
        <v>5090</v>
      </c>
      <c r="F5554" t="s">
        <v>1425</v>
      </c>
      <c r="G5554">
        <v>4</v>
      </c>
      <c r="Q5554" t="s">
        <v>7407</v>
      </c>
    </row>
    <row r="5555" spans="2:17" x14ac:dyDescent="0.2">
      <c r="B5555" t="s">
        <v>5133</v>
      </c>
      <c r="C5555">
        <v>5</v>
      </c>
      <c r="D5555" s="6" t="s">
        <v>5134</v>
      </c>
      <c r="E5555" s="8" t="s">
        <v>5091</v>
      </c>
      <c r="F5555" t="s">
        <v>1425</v>
      </c>
      <c r="G5555">
        <v>2</v>
      </c>
      <c r="Q5555" t="s">
        <v>7408</v>
      </c>
    </row>
    <row r="5556" spans="2:17" x14ac:dyDescent="0.2">
      <c r="B5556" t="s">
        <v>5133</v>
      </c>
      <c r="C5556">
        <v>5</v>
      </c>
      <c r="D5556" s="6" t="s">
        <v>5134</v>
      </c>
      <c r="E5556" s="8" t="s">
        <v>5089</v>
      </c>
      <c r="F5556" t="s">
        <v>1425</v>
      </c>
      <c r="G5556">
        <v>5</v>
      </c>
      <c r="Q5556" t="s">
        <v>7404</v>
      </c>
    </row>
    <row r="5557" spans="2:17" x14ac:dyDescent="0.2">
      <c r="B5557" t="s">
        <v>5133</v>
      </c>
      <c r="C5557">
        <v>5</v>
      </c>
      <c r="D5557" s="6" t="s">
        <v>5134</v>
      </c>
      <c r="E5557" s="8" t="s">
        <v>5092</v>
      </c>
      <c r="F5557" t="s">
        <v>1425</v>
      </c>
      <c r="G5557">
        <v>31</v>
      </c>
      <c r="M5557">
        <v>5</v>
      </c>
    </row>
    <row r="5558" spans="2:17" x14ac:dyDescent="0.2">
      <c r="B5558" t="s">
        <v>5133</v>
      </c>
      <c r="C5558">
        <v>5</v>
      </c>
      <c r="D5558" s="6" t="s">
        <v>5134</v>
      </c>
      <c r="E5558" t="s">
        <v>5056</v>
      </c>
      <c r="F5558" t="s">
        <v>1425</v>
      </c>
      <c r="G5558">
        <v>120</v>
      </c>
      <c r="M5558">
        <v>22</v>
      </c>
    </row>
    <row r="5559" spans="2:17" x14ac:dyDescent="0.2">
      <c r="B5559" t="s">
        <v>5133</v>
      </c>
      <c r="C5559">
        <v>5</v>
      </c>
      <c r="D5559" s="6" t="s">
        <v>5134</v>
      </c>
      <c r="E5559">
        <v>22</v>
      </c>
      <c r="F5559" t="s">
        <v>1538</v>
      </c>
      <c r="G5559">
        <v>64</v>
      </c>
      <c r="Q5559" t="s">
        <v>7431</v>
      </c>
    </row>
    <row r="5560" spans="2:17" x14ac:dyDescent="0.2">
      <c r="B5560" t="s">
        <v>5133</v>
      </c>
      <c r="C5560">
        <v>5</v>
      </c>
      <c r="D5560" s="6" t="s">
        <v>5134</v>
      </c>
      <c r="E5560">
        <v>23</v>
      </c>
      <c r="F5560" t="s">
        <v>1538</v>
      </c>
      <c r="G5560">
        <v>24</v>
      </c>
      <c r="Q5560" t="s">
        <v>7430</v>
      </c>
    </row>
    <row r="5561" spans="2:17" x14ac:dyDescent="0.2">
      <c r="B5561" t="s">
        <v>5133</v>
      </c>
      <c r="C5561">
        <v>5</v>
      </c>
      <c r="D5561" s="6" t="s">
        <v>5134</v>
      </c>
      <c r="E5561">
        <v>25</v>
      </c>
      <c r="F5561" t="s">
        <v>1538</v>
      </c>
      <c r="G5561">
        <v>2</v>
      </c>
      <c r="Q5561" t="s">
        <v>7429</v>
      </c>
    </row>
    <row r="5562" spans="2:17" x14ac:dyDescent="0.2">
      <c r="B5562" t="s">
        <v>5133</v>
      </c>
      <c r="C5562">
        <v>5</v>
      </c>
      <c r="D5562" s="6" t="s">
        <v>5134</v>
      </c>
      <c r="E5562">
        <v>26</v>
      </c>
      <c r="F5562" t="s">
        <v>1538</v>
      </c>
      <c r="G5562">
        <v>6</v>
      </c>
      <c r="Q5562" t="s">
        <v>7428</v>
      </c>
    </row>
    <row r="5563" spans="2:17" x14ac:dyDescent="0.2">
      <c r="B5563" t="s">
        <v>5133</v>
      </c>
      <c r="C5563">
        <v>5</v>
      </c>
      <c r="D5563" s="6" t="s">
        <v>5134</v>
      </c>
      <c r="E5563">
        <v>27</v>
      </c>
      <c r="F5563" t="s">
        <v>1538</v>
      </c>
      <c r="G5563">
        <v>57</v>
      </c>
      <c r="M5563">
        <v>5</v>
      </c>
    </row>
    <row r="5564" spans="2:17" x14ac:dyDescent="0.2">
      <c r="B5564" t="s">
        <v>5133</v>
      </c>
      <c r="C5564">
        <v>5</v>
      </c>
      <c r="D5564" s="6" t="s">
        <v>5134</v>
      </c>
      <c r="E5564" t="s">
        <v>5056</v>
      </c>
      <c r="F5564" t="s">
        <v>1538</v>
      </c>
      <c r="G5564">
        <v>63</v>
      </c>
      <c r="M5564">
        <v>7</v>
      </c>
    </row>
    <row r="5565" spans="2:17" x14ac:dyDescent="0.2">
      <c r="B5565" t="s">
        <v>5133</v>
      </c>
      <c r="C5565">
        <v>5</v>
      </c>
      <c r="D5565" s="6" t="s">
        <v>5134</v>
      </c>
      <c r="E5565">
        <v>24</v>
      </c>
      <c r="F5565" t="s">
        <v>1538</v>
      </c>
      <c r="G5565">
        <v>1</v>
      </c>
      <c r="Q5565" t="s">
        <v>7432</v>
      </c>
    </row>
    <row r="5566" spans="2:17" x14ac:dyDescent="0.2">
      <c r="B5566" t="s">
        <v>5133</v>
      </c>
      <c r="C5566">
        <v>5</v>
      </c>
      <c r="D5566" s="6" t="s">
        <v>5134</v>
      </c>
      <c r="E5566">
        <v>28</v>
      </c>
      <c r="F5566" t="s">
        <v>6231</v>
      </c>
      <c r="G5566">
        <v>12</v>
      </c>
      <c r="Q5566" t="s">
        <v>7439</v>
      </c>
    </row>
    <row r="5567" spans="2:17" x14ac:dyDescent="0.2">
      <c r="B5567" t="s">
        <v>5133</v>
      </c>
      <c r="C5567">
        <v>5</v>
      </c>
      <c r="D5567" s="6" t="s">
        <v>5134</v>
      </c>
      <c r="E5567">
        <v>29</v>
      </c>
      <c r="F5567" t="s">
        <v>6231</v>
      </c>
      <c r="G5567">
        <v>8</v>
      </c>
      <c r="Q5567" t="s">
        <v>7440</v>
      </c>
    </row>
    <row r="5568" spans="2:17" x14ac:dyDescent="0.2">
      <c r="B5568" t="s">
        <v>5133</v>
      </c>
      <c r="C5568">
        <v>5</v>
      </c>
      <c r="D5568" s="6" t="s">
        <v>5134</v>
      </c>
      <c r="E5568">
        <v>30</v>
      </c>
      <c r="F5568" t="s">
        <v>6231</v>
      </c>
      <c r="G5568">
        <v>10</v>
      </c>
      <c r="Q5568" t="s">
        <v>7441</v>
      </c>
    </row>
    <row r="5569" spans="2:17" x14ac:dyDescent="0.2">
      <c r="B5569" t="s">
        <v>5133</v>
      </c>
      <c r="C5569">
        <v>5</v>
      </c>
      <c r="D5569" s="6" t="s">
        <v>5134</v>
      </c>
      <c r="E5569">
        <v>31</v>
      </c>
      <c r="F5569" t="s">
        <v>1425</v>
      </c>
      <c r="G5569">
        <v>14</v>
      </c>
      <c r="Q5569" t="s">
        <v>7433</v>
      </c>
    </row>
    <row r="5570" spans="2:17" x14ac:dyDescent="0.2">
      <c r="B5570" t="s">
        <v>5133</v>
      </c>
      <c r="C5570">
        <v>5</v>
      </c>
      <c r="D5570" s="6" t="s">
        <v>5134</v>
      </c>
      <c r="E5570">
        <v>32</v>
      </c>
      <c r="F5570" t="s">
        <v>1425</v>
      </c>
      <c r="G5570">
        <v>18</v>
      </c>
      <c r="Q5570" t="s">
        <v>7434</v>
      </c>
    </row>
    <row r="5571" spans="2:17" x14ac:dyDescent="0.2">
      <c r="B5571" t="s">
        <v>5133</v>
      </c>
      <c r="C5571">
        <v>5</v>
      </c>
      <c r="D5571" s="6" t="s">
        <v>5134</v>
      </c>
      <c r="E5571">
        <v>33</v>
      </c>
      <c r="F5571" t="s">
        <v>1425</v>
      </c>
      <c r="G5571">
        <v>18</v>
      </c>
      <c r="Q5571" t="s">
        <v>7435</v>
      </c>
    </row>
    <row r="5572" spans="2:17" x14ac:dyDescent="0.2">
      <c r="B5572" t="s">
        <v>5133</v>
      </c>
      <c r="C5572">
        <v>5</v>
      </c>
      <c r="D5572" s="6" t="s">
        <v>5134</v>
      </c>
      <c r="E5572">
        <v>34</v>
      </c>
      <c r="F5572" t="s">
        <v>1425</v>
      </c>
      <c r="G5572">
        <v>14</v>
      </c>
      <c r="Q5572" t="s">
        <v>7436</v>
      </c>
    </row>
    <row r="5573" spans="2:17" x14ac:dyDescent="0.2">
      <c r="B5573" t="s">
        <v>5133</v>
      </c>
      <c r="C5573">
        <v>5</v>
      </c>
      <c r="D5573" s="6" t="s">
        <v>5134</v>
      </c>
      <c r="E5573">
        <v>35</v>
      </c>
      <c r="F5573" t="s">
        <v>1425</v>
      </c>
      <c r="G5573">
        <v>14</v>
      </c>
      <c r="Q5573" t="s">
        <v>7437</v>
      </c>
    </row>
    <row r="5574" spans="2:17" x14ac:dyDescent="0.2">
      <c r="B5574" t="s">
        <v>5133</v>
      </c>
      <c r="C5574">
        <v>5</v>
      </c>
      <c r="D5574" s="6" t="s">
        <v>5134</v>
      </c>
      <c r="E5574">
        <v>36</v>
      </c>
      <c r="F5574" t="s">
        <v>1425</v>
      </c>
      <c r="G5574">
        <v>15</v>
      </c>
      <c r="Q5574" t="s">
        <v>7438</v>
      </c>
    </row>
    <row r="5575" spans="2:17" x14ac:dyDescent="0.2">
      <c r="B5575" t="s">
        <v>5133</v>
      </c>
      <c r="C5575">
        <v>5</v>
      </c>
      <c r="D5575" s="6" t="s">
        <v>5134</v>
      </c>
      <c r="E5575">
        <v>21</v>
      </c>
      <c r="F5575" t="s">
        <v>5385</v>
      </c>
      <c r="G5575">
        <v>3</v>
      </c>
      <c r="Q5575" t="s">
        <v>7442</v>
      </c>
    </row>
    <row r="5576" spans="2:17" x14ac:dyDescent="0.2">
      <c r="B5576" t="s">
        <v>5133</v>
      </c>
      <c r="C5576">
        <v>5</v>
      </c>
      <c r="D5576" s="6" t="s">
        <v>5134</v>
      </c>
      <c r="E5576">
        <v>20</v>
      </c>
      <c r="F5576" t="s">
        <v>6862</v>
      </c>
      <c r="G5576">
        <v>1</v>
      </c>
      <c r="Q5576" t="s">
        <v>7443</v>
      </c>
    </row>
    <row r="5577" spans="2:17" x14ac:dyDescent="0.2">
      <c r="B5577" t="s">
        <v>5133</v>
      </c>
      <c r="C5577">
        <v>5</v>
      </c>
      <c r="D5577" s="6" t="s">
        <v>5134</v>
      </c>
      <c r="E5577">
        <v>19</v>
      </c>
      <c r="F5577" t="s">
        <v>6862</v>
      </c>
      <c r="G5577">
        <v>2</v>
      </c>
      <c r="Q5577" t="s">
        <v>7444</v>
      </c>
    </row>
    <row r="5578" spans="2:17" x14ac:dyDescent="0.2">
      <c r="B5578" t="s">
        <v>5133</v>
      </c>
      <c r="C5578">
        <v>5</v>
      </c>
      <c r="D5578" s="6" t="s">
        <v>5134</v>
      </c>
      <c r="E5578" s="8" t="s">
        <v>5094</v>
      </c>
      <c r="F5578" t="s">
        <v>1389</v>
      </c>
      <c r="G5578">
        <v>10</v>
      </c>
      <c r="Q5578" t="s">
        <v>7452</v>
      </c>
    </row>
    <row r="5579" spans="2:17" x14ac:dyDescent="0.2">
      <c r="B5579" t="s">
        <v>5133</v>
      </c>
      <c r="C5579">
        <v>5</v>
      </c>
      <c r="D5579" s="6" t="s">
        <v>5134</v>
      </c>
      <c r="E5579">
        <v>11</v>
      </c>
      <c r="F5579" t="s">
        <v>1389</v>
      </c>
      <c r="G5579">
        <v>5</v>
      </c>
      <c r="Q5579" t="s">
        <v>7451</v>
      </c>
    </row>
    <row r="5580" spans="2:17" x14ac:dyDescent="0.2">
      <c r="B5580" t="s">
        <v>5133</v>
      </c>
      <c r="C5580">
        <v>5</v>
      </c>
      <c r="D5580" s="6" t="s">
        <v>5134</v>
      </c>
      <c r="E5580" s="8" t="s">
        <v>5098</v>
      </c>
      <c r="F5580" t="s">
        <v>1389</v>
      </c>
      <c r="G5580">
        <v>3</v>
      </c>
      <c r="Q5580" t="s">
        <v>7450</v>
      </c>
    </row>
    <row r="5581" spans="2:17" x14ac:dyDescent="0.2">
      <c r="B5581" t="s">
        <v>5133</v>
      </c>
      <c r="C5581">
        <v>5</v>
      </c>
      <c r="D5581" s="6" t="s">
        <v>5134</v>
      </c>
      <c r="E5581">
        <v>10</v>
      </c>
      <c r="F5581" t="s">
        <v>1389</v>
      </c>
      <c r="G5581">
        <v>2</v>
      </c>
      <c r="Q5581" t="s">
        <v>7453</v>
      </c>
    </row>
    <row r="5582" spans="2:17" x14ac:dyDescent="0.2">
      <c r="B5582" t="s">
        <v>5133</v>
      </c>
      <c r="C5582">
        <v>5</v>
      </c>
      <c r="D5582" s="6" t="s">
        <v>5134</v>
      </c>
      <c r="E5582" s="8" t="s">
        <v>5097</v>
      </c>
      <c r="F5582" t="s">
        <v>1389</v>
      </c>
      <c r="G5582" t="s">
        <v>114</v>
      </c>
      <c r="Q5582" t="s">
        <v>7454</v>
      </c>
    </row>
    <row r="5583" spans="2:17" x14ac:dyDescent="0.2">
      <c r="B5583" t="s">
        <v>5133</v>
      </c>
      <c r="C5583">
        <v>5</v>
      </c>
      <c r="D5583" s="6" t="s">
        <v>5134</v>
      </c>
      <c r="E5583">
        <v>12</v>
      </c>
      <c r="F5583" t="s">
        <v>1389</v>
      </c>
      <c r="G5583">
        <v>17</v>
      </c>
      <c r="M5583">
        <v>5</v>
      </c>
    </row>
    <row r="5584" spans="2:17" x14ac:dyDescent="0.2">
      <c r="B5584" t="s">
        <v>5133</v>
      </c>
      <c r="C5584">
        <v>5</v>
      </c>
      <c r="D5584" s="6" t="s">
        <v>5134</v>
      </c>
      <c r="E5584" t="s">
        <v>5056</v>
      </c>
      <c r="F5584" t="s">
        <v>1389</v>
      </c>
      <c r="G5584">
        <v>39</v>
      </c>
      <c r="M5584">
        <v>10</v>
      </c>
    </row>
    <row r="5585" spans="2:17" x14ac:dyDescent="0.2">
      <c r="B5585" t="s">
        <v>5133</v>
      </c>
      <c r="C5585">
        <v>5</v>
      </c>
      <c r="D5585" s="6" t="s">
        <v>5134</v>
      </c>
      <c r="E5585">
        <v>13</v>
      </c>
      <c r="F5585" t="s">
        <v>6359</v>
      </c>
      <c r="G5585">
        <v>2</v>
      </c>
      <c r="Q5585" t="s">
        <v>7449</v>
      </c>
    </row>
    <row r="5586" spans="2:17" x14ac:dyDescent="0.2">
      <c r="B5586" t="s">
        <v>5133</v>
      </c>
      <c r="C5586">
        <v>5</v>
      </c>
      <c r="D5586" s="6" t="s">
        <v>5134</v>
      </c>
      <c r="E5586">
        <v>14</v>
      </c>
      <c r="F5586" t="s">
        <v>6359</v>
      </c>
      <c r="G5586" t="s">
        <v>114</v>
      </c>
      <c r="Q5586" t="s">
        <v>7448</v>
      </c>
    </row>
    <row r="5587" spans="2:17" x14ac:dyDescent="0.2">
      <c r="B5587" t="s">
        <v>5133</v>
      </c>
      <c r="C5587">
        <v>5</v>
      </c>
      <c r="D5587" s="6" t="s">
        <v>5134</v>
      </c>
      <c r="E5587">
        <v>15</v>
      </c>
      <c r="F5587" t="s">
        <v>6359</v>
      </c>
      <c r="G5587">
        <v>1</v>
      </c>
      <c r="Q5587" t="s">
        <v>7447</v>
      </c>
    </row>
    <row r="5588" spans="2:17" x14ac:dyDescent="0.2">
      <c r="B5588" t="s">
        <v>5133</v>
      </c>
      <c r="C5588">
        <v>5</v>
      </c>
      <c r="D5588" s="6" t="s">
        <v>5134</v>
      </c>
      <c r="E5588">
        <v>16</v>
      </c>
      <c r="F5588" t="s">
        <v>6359</v>
      </c>
      <c r="G5588" t="s">
        <v>114</v>
      </c>
      <c r="Q5588" t="s">
        <v>7446</v>
      </c>
    </row>
    <row r="5589" spans="2:17" x14ac:dyDescent="0.2">
      <c r="B5589" t="s">
        <v>5133</v>
      </c>
      <c r="C5589">
        <v>5</v>
      </c>
      <c r="D5589" s="6" t="s">
        <v>5134</v>
      </c>
      <c r="E5589">
        <v>17</v>
      </c>
      <c r="F5589" t="s">
        <v>6359</v>
      </c>
      <c r="G5589">
        <v>1</v>
      </c>
      <c r="Q5589" t="s">
        <v>7445</v>
      </c>
    </row>
    <row r="5590" spans="2:17" x14ac:dyDescent="0.2">
      <c r="B5590" t="s">
        <v>5133</v>
      </c>
      <c r="C5590">
        <v>5</v>
      </c>
      <c r="D5590" s="6" t="s">
        <v>5134</v>
      </c>
      <c r="E5590">
        <v>18</v>
      </c>
      <c r="F5590" t="s">
        <v>1559</v>
      </c>
      <c r="G5590">
        <v>5</v>
      </c>
      <c r="M5590">
        <v>5</v>
      </c>
    </row>
    <row r="5591" spans="2:17" x14ac:dyDescent="0.2">
      <c r="B5591" t="s">
        <v>5133</v>
      </c>
      <c r="C5591">
        <v>5</v>
      </c>
      <c r="D5591" s="6" t="s">
        <v>5134</v>
      </c>
      <c r="E5591" t="s">
        <v>5056</v>
      </c>
      <c r="F5591" t="s">
        <v>1559</v>
      </c>
      <c r="G5591">
        <v>10</v>
      </c>
      <c r="M5591">
        <v>12</v>
      </c>
    </row>
    <row r="5592" spans="2:17" x14ac:dyDescent="0.2">
      <c r="B5592" t="s">
        <v>5133</v>
      </c>
      <c r="C5592">
        <v>6</v>
      </c>
      <c r="D5592" s="6" t="s">
        <v>5134</v>
      </c>
      <c r="E5592" s="8" t="s">
        <v>5081</v>
      </c>
      <c r="F5592" t="s">
        <v>1425</v>
      </c>
      <c r="G5592">
        <v>27</v>
      </c>
      <c r="O5592" t="s">
        <v>6906</v>
      </c>
      <c r="Q5592" t="s">
        <v>7459</v>
      </c>
    </row>
    <row r="5593" spans="2:17" x14ac:dyDescent="0.2">
      <c r="B5593" t="s">
        <v>5133</v>
      </c>
      <c r="C5593">
        <v>6</v>
      </c>
      <c r="D5593" s="6" t="s">
        <v>5134</v>
      </c>
      <c r="E5593" s="8" t="s">
        <v>5082</v>
      </c>
      <c r="F5593" t="s">
        <v>1425</v>
      </c>
      <c r="G5593">
        <v>15</v>
      </c>
      <c r="O5593" t="s">
        <v>6906</v>
      </c>
      <c r="Q5593" t="s">
        <v>7458</v>
      </c>
    </row>
    <row r="5594" spans="2:17" x14ac:dyDescent="0.2">
      <c r="B5594" t="s">
        <v>5133</v>
      </c>
      <c r="C5594">
        <v>6</v>
      </c>
      <c r="D5594" s="6" t="s">
        <v>5134</v>
      </c>
      <c r="E5594" s="8" t="s">
        <v>5089</v>
      </c>
      <c r="F5594" t="s">
        <v>1425</v>
      </c>
      <c r="G5594">
        <v>6</v>
      </c>
      <c r="Q5594" t="s">
        <v>7457</v>
      </c>
    </row>
    <row r="5595" spans="2:17" x14ac:dyDescent="0.2">
      <c r="B5595" t="s">
        <v>5133</v>
      </c>
      <c r="C5595">
        <v>6</v>
      </c>
      <c r="D5595" s="6" t="s">
        <v>5134</v>
      </c>
      <c r="E5595" s="8" t="s">
        <v>5090</v>
      </c>
      <c r="F5595" t="s">
        <v>1425</v>
      </c>
      <c r="G5595">
        <v>3</v>
      </c>
      <c r="Q5595" t="s">
        <v>7455</v>
      </c>
    </row>
    <row r="5596" spans="2:17" x14ac:dyDescent="0.2">
      <c r="B5596" t="s">
        <v>5133</v>
      </c>
      <c r="C5596">
        <v>6</v>
      </c>
      <c r="D5596" s="6" t="s">
        <v>5134</v>
      </c>
      <c r="E5596" s="8" t="s">
        <v>5091</v>
      </c>
      <c r="F5596" t="s">
        <v>1425</v>
      </c>
      <c r="G5596">
        <v>5</v>
      </c>
      <c r="Q5596" t="s">
        <v>7456</v>
      </c>
    </row>
    <row r="5597" spans="2:17" x14ac:dyDescent="0.2">
      <c r="B5597" t="s">
        <v>5133</v>
      </c>
      <c r="C5597">
        <v>6</v>
      </c>
      <c r="D5597" s="6" t="s">
        <v>5134</v>
      </c>
      <c r="E5597" s="8" t="s">
        <v>5092</v>
      </c>
      <c r="F5597" t="s">
        <v>1425</v>
      </c>
      <c r="G5597">
        <v>53</v>
      </c>
      <c r="M5597">
        <v>5</v>
      </c>
    </row>
    <row r="5598" spans="2:17" x14ac:dyDescent="0.2">
      <c r="B5598" t="s">
        <v>5133</v>
      </c>
      <c r="C5598">
        <v>6</v>
      </c>
      <c r="D5598" s="6" t="s">
        <v>5134</v>
      </c>
      <c r="E5598" t="s">
        <v>5056</v>
      </c>
      <c r="F5598" t="s">
        <v>1425</v>
      </c>
      <c r="H5598">
        <f>1.124+0.045</f>
        <v>1.169</v>
      </c>
      <c r="M5598">
        <v>218</v>
      </c>
    </row>
    <row r="5599" spans="2:17" x14ac:dyDescent="0.2">
      <c r="B5599" t="s">
        <v>5133</v>
      </c>
      <c r="C5599">
        <v>6</v>
      </c>
      <c r="D5599" s="6" t="s">
        <v>5134</v>
      </c>
      <c r="E5599" s="8" t="s">
        <v>5094</v>
      </c>
      <c r="F5599" t="s">
        <v>1389</v>
      </c>
      <c r="G5599">
        <v>6</v>
      </c>
      <c r="Q5599" t="s">
        <v>7460</v>
      </c>
    </row>
    <row r="5600" spans="2:17" x14ac:dyDescent="0.2">
      <c r="B5600" t="s">
        <v>5133</v>
      </c>
      <c r="C5600">
        <v>6</v>
      </c>
      <c r="D5600" s="6" t="s">
        <v>5134</v>
      </c>
      <c r="E5600" s="8" t="s">
        <v>5097</v>
      </c>
      <c r="F5600" t="s">
        <v>1389</v>
      </c>
      <c r="G5600">
        <v>3</v>
      </c>
      <c r="Q5600" t="s">
        <v>7461</v>
      </c>
    </row>
    <row r="5601" spans="2:17" x14ac:dyDescent="0.2">
      <c r="B5601" t="s">
        <v>5133</v>
      </c>
      <c r="C5601">
        <v>6</v>
      </c>
      <c r="D5601" s="6" t="s">
        <v>5134</v>
      </c>
      <c r="E5601" s="8" t="s">
        <v>5098</v>
      </c>
      <c r="F5601" t="s">
        <v>1389</v>
      </c>
      <c r="G5601">
        <v>1</v>
      </c>
      <c r="Q5601" t="s">
        <v>7464</v>
      </c>
    </row>
    <row r="5602" spans="2:17" x14ac:dyDescent="0.2">
      <c r="B5602" t="s">
        <v>5133</v>
      </c>
      <c r="C5602">
        <v>6</v>
      </c>
      <c r="D5602" s="6" t="s">
        <v>5134</v>
      </c>
      <c r="E5602">
        <v>10</v>
      </c>
      <c r="F5602" t="s">
        <v>1389</v>
      </c>
      <c r="G5602" t="s">
        <v>114</v>
      </c>
      <c r="M5602">
        <v>3</v>
      </c>
      <c r="Q5602" t="s">
        <v>7463</v>
      </c>
    </row>
    <row r="5603" spans="2:17" x14ac:dyDescent="0.2">
      <c r="B5603" t="s">
        <v>5133</v>
      </c>
      <c r="C5603">
        <v>6</v>
      </c>
      <c r="D5603" s="6" t="s">
        <v>5134</v>
      </c>
      <c r="E5603">
        <v>11</v>
      </c>
      <c r="F5603" t="s">
        <v>1389</v>
      </c>
      <c r="G5603">
        <v>3</v>
      </c>
    </row>
    <row r="5604" spans="2:17" x14ac:dyDescent="0.2">
      <c r="B5604" t="s">
        <v>5133</v>
      </c>
      <c r="C5604">
        <v>6</v>
      </c>
      <c r="D5604" s="6" t="s">
        <v>5134</v>
      </c>
      <c r="E5604">
        <v>12</v>
      </c>
      <c r="F5604" t="s">
        <v>1389</v>
      </c>
      <c r="G5604">
        <v>25</v>
      </c>
      <c r="M5604">
        <v>5</v>
      </c>
      <c r="Q5604" t="s">
        <v>7462</v>
      </c>
    </row>
    <row r="5605" spans="2:17" x14ac:dyDescent="0.2">
      <c r="B5605" t="s">
        <v>5133</v>
      </c>
      <c r="C5605">
        <v>6</v>
      </c>
      <c r="D5605" s="6" t="s">
        <v>5134</v>
      </c>
      <c r="E5605" t="s">
        <v>5056</v>
      </c>
      <c r="F5605" t="s">
        <v>1389</v>
      </c>
      <c r="G5605">
        <v>345</v>
      </c>
      <c r="M5605">
        <v>12</v>
      </c>
    </row>
    <row r="5606" spans="2:17" x14ac:dyDescent="0.2">
      <c r="B5606" t="s">
        <v>5133</v>
      </c>
      <c r="C5606">
        <v>6</v>
      </c>
      <c r="D5606" s="6" t="s">
        <v>5134</v>
      </c>
      <c r="E5606">
        <v>14</v>
      </c>
      <c r="F5606" t="s">
        <v>1264</v>
      </c>
      <c r="H5606">
        <f>2.834-0.345</f>
        <v>2.4889999999999999</v>
      </c>
      <c r="O5606" t="s">
        <v>5654</v>
      </c>
    </row>
    <row r="5607" spans="2:17" x14ac:dyDescent="0.2">
      <c r="B5607" t="s">
        <v>5133</v>
      </c>
      <c r="C5607">
        <v>6</v>
      </c>
      <c r="D5607" s="6" t="s">
        <v>5134</v>
      </c>
      <c r="E5607">
        <v>13</v>
      </c>
      <c r="F5607" t="s">
        <v>504</v>
      </c>
      <c r="H5607">
        <f>1.919-0.59</f>
        <v>1.3290000000000002</v>
      </c>
      <c r="O5607" t="s">
        <v>5655</v>
      </c>
    </row>
    <row r="5608" spans="2:17" x14ac:dyDescent="0.2">
      <c r="B5608" t="s">
        <v>5133</v>
      </c>
      <c r="C5608">
        <v>6</v>
      </c>
      <c r="D5608" s="6" t="s">
        <v>5134</v>
      </c>
      <c r="E5608">
        <v>22</v>
      </c>
      <c r="F5608" t="s">
        <v>4973</v>
      </c>
      <c r="G5608">
        <v>2</v>
      </c>
    </row>
    <row r="5609" spans="2:17" x14ac:dyDescent="0.2">
      <c r="B5609" t="s">
        <v>5133</v>
      </c>
      <c r="C5609">
        <v>6</v>
      </c>
      <c r="D5609" s="6" t="s">
        <v>5134</v>
      </c>
      <c r="E5609">
        <v>21</v>
      </c>
      <c r="F5609" t="s">
        <v>5656</v>
      </c>
      <c r="G5609">
        <v>7</v>
      </c>
    </row>
    <row r="5610" spans="2:17" x14ac:dyDescent="0.2">
      <c r="B5610" t="s">
        <v>5133</v>
      </c>
      <c r="C5610">
        <v>6</v>
      </c>
      <c r="D5610" s="6" t="s">
        <v>5134</v>
      </c>
      <c r="E5610">
        <v>15</v>
      </c>
      <c r="F5610" t="s">
        <v>1538</v>
      </c>
      <c r="G5610">
        <v>17</v>
      </c>
      <c r="Q5610" t="s">
        <v>7477</v>
      </c>
    </row>
    <row r="5611" spans="2:17" x14ac:dyDescent="0.2">
      <c r="B5611" t="s">
        <v>5133</v>
      </c>
      <c r="C5611">
        <v>6</v>
      </c>
      <c r="D5611" s="6" t="s">
        <v>5134</v>
      </c>
      <c r="E5611">
        <v>16</v>
      </c>
      <c r="F5611" t="s">
        <v>1538</v>
      </c>
      <c r="G5611">
        <v>25</v>
      </c>
      <c r="Q5611" t="s">
        <v>7476</v>
      </c>
    </row>
    <row r="5612" spans="2:17" x14ac:dyDescent="0.2">
      <c r="B5612" t="s">
        <v>5133</v>
      </c>
      <c r="C5612">
        <v>6</v>
      </c>
      <c r="D5612" s="6" t="s">
        <v>5134</v>
      </c>
      <c r="E5612">
        <v>17</v>
      </c>
      <c r="F5612" t="s">
        <v>1538</v>
      </c>
      <c r="G5612">
        <v>4</v>
      </c>
      <c r="Q5612" t="s">
        <v>7474</v>
      </c>
    </row>
    <row r="5613" spans="2:17" x14ac:dyDescent="0.2">
      <c r="B5613" t="s">
        <v>5133</v>
      </c>
      <c r="C5613">
        <v>6</v>
      </c>
      <c r="D5613" s="6" t="s">
        <v>5134</v>
      </c>
      <c r="E5613">
        <v>18</v>
      </c>
      <c r="F5613" t="s">
        <v>1538</v>
      </c>
      <c r="G5613">
        <v>3</v>
      </c>
      <c r="Q5613" t="s">
        <v>7475</v>
      </c>
    </row>
    <row r="5614" spans="2:17" x14ac:dyDescent="0.2">
      <c r="B5614" t="s">
        <v>5133</v>
      </c>
      <c r="C5614">
        <v>6</v>
      </c>
      <c r="D5614" s="6" t="s">
        <v>5134</v>
      </c>
      <c r="E5614">
        <v>19</v>
      </c>
      <c r="F5614" t="s">
        <v>1538</v>
      </c>
      <c r="G5614" t="s">
        <v>114</v>
      </c>
      <c r="Q5614" t="s">
        <v>7473</v>
      </c>
    </row>
    <row r="5615" spans="2:17" x14ac:dyDescent="0.2">
      <c r="B5615" t="s">
        <v>5133</v>
      </c>
      <c r="C5615">
        <v>6</v>
      </c>
      <c r="D5615" s="6" t="s">
        <v>5134</v>
      </c>
      <c r="E5615">
        <v>20</v>
      </c>
      <c r="F5615" t="s">
        <v>1538</v>
      </c>
      <c r="G5615">
        <v>3</v>
      </c>
    </row>
    <row r="5616" spans="2:17" x14ac:dyDescent="0.2">
      <c r="B5616" t="s">
        <v>5133</v>
      </c>
      <c r="C5616">
        <v>6</v>
      </c>
      <c r="D5616" s="6" t="s">
        <v>5134</v>
      </c>
      <c r="E5616">
        <v>23</v>
      </c>
      <c r="F5616" t="s">
        <v>6862</v>
      </c>
      <c r="G5616" t="s">
        <v>114</v>
      </c>
      <c r="Q5616" t="s">
        <v>7468</v>
      </c>
    </row>
    <row r="5617" spans="2:17" x14ac:dyDescent="0.2">
      <c r="B5617" t="s">
        <v>5133</v>
      </c>
      <c r="C5617">
        <v>6</v>
      </c>
      <c r="D5617" s="6" t="s">
        <v>5134</v>
      </c>
      <c r="E5617">
        <v>24</v>
      </c>
      <c r="F5617" t="s">
        <v>6862</v>
      </c>
      <c r="G5617">
        <v>1</v>
      </c>
      <c r="Q5617" t="s">
        <v>7469</v>
      </c>
    </row>
    <row r="5618" spans="2:17" x14ac:dyDescent="0.2">
      <c r="B5618" t="s">
        <v>5133</v>
      </c>
      <c r="C5618">
        <v>6</v>
      </c>
      <c r="D5618" s="6" t="s">
        <v>5134</v>
      </c>
      <c r="E5618">
        <v>25</v>
      </c>
      <c r="F5618" t="s">
        <v>6862</v>
      </c>
      <c r="G5618">
        <v>2</v>
      </c>
      <c r="Q5618" t="s">
        <v>7470</v>
      </c>
    </row>
    <row r="5619" spans="2:17" x14ac:dyDescent="0.2">
      <c r="B5619" t="s">
        <v>5133</v>
      </c>
      <c r="C5619">
        <v>6</v>
      </c>
      <c r="D5619" s="6" t="s">
        <v>5134</v>
      </c>
      <c r="E5619">
        <v>26</v>
      </c>
      <c r="F5619" t="s">
        <v>6862</v>
      </c>
      <c r="G5619">
        <v>3</v>
      </c>
      <c r="Q5619" t="s">
        <v>7472</v>
      </c>
    </row>
    <row r="5620" spans="2:17" x14ac:dyDescent="0.2">
      <c r="B5620" t="s">
        <v>5133</v>
      </c>
      <c r="C5620">
        <v>6</v>
      </c>
      <c r="D5620" s="6" t="s">
        <v>5134</v>
      </c>
      <c r="E5620">
        <v>27</v>
      </c>
      <c r="F5620" t="s">
        <v>6862</v>
      </c>
      <c r="G5620">
        <v>2</v>
      </c>
      <c r="Q5620" t="s">
        <v>7471</v>
      </c>
    </row>
    <row r="5621" spans="2:17" x14ac:dyDescent="0.2">
      <c r="B5621" t="s">
        <v>5133</v>
      </c>
      <c r="C5621">
        <v>6</v>
      </c>
      <c r="D5621" s="6" t="s">
        <v>5134</v>
      </c>
      <c r="E5621">
        <v>28</v>
      </c>
      <c r="F5621" t="s">
        <v>6862</v>
      </c>
      <c r="G5621">
        <v>6</v>
      </c>
      <c r="M5621">
        <v>5</v>
      </c>
    </row>
    <row r="5622" spans="2:17" x14ac:dyDescent="0.2">
      <c r="B5622" t="s">
        <v>5133</v>
      </c>
      <c r="C5622">
        <v>6</v>
      </c>
      <c r="D5622" s="6" t="s">
        <v>5134</v>
      </c>
      <c r="E5622" t="s">
        <v>5056</v>
      </c>
      <c r="F5622" t="s">
        <v>6862</v>
      </c>
      <c r="G5622">
        <v>10</v>
      </c>
      <c r="M5622">
        <v>9</v>
      </c>
    </row>
    <row r="5623" spans="2:17" x14ac:dyDescent="0.2">
      <c r="B5623" t="s">
        <v>5133</v>
      </c>
      <c r="C5623">
        <v>6</v>
      </c>
      <c r="D5623" s="6" t="s">
        <v>5134</v>
      </c>
      <c r="E5623">
        <v>29</v>
      </c>
      <c r="F5623" t="s">
        <v>5869</v>
      </c>
      <c r="G5623">
        <v>44</v>
      </c>
      <c r="Q5623" t="s">
        <v>5896</v>
      </c>
    </row>
    <row r="5624" spans="2:17" x14ac:dyDescent="0.2">
      <c r="B5624" t="s">
        <v>5133</v>
      </c>
      <c r="C5624">
        <v>6</v>
      </c>
      <c r="D5624" s="6" t="s">
        <v>5134</v>
      </c>
      <c r="E5624">
        <v>30</v>
      </c>
      <c r="F5624" t="s">
        <v>5363</v>
      </c>
      <c r="G5624">
        <v>47</v>
      </c>
      <c r="Q5624" t="s">
        <v>7465</v>
      </c>
    </row>
    <row r="5625" spans="2:17" x14ac:dyDescent="0.2">
      <c r="B5625" t="s">
        <v>5133</v>
      </c>
      <c r="C5625">
        <v>6</v>
      </c>
      <c r="D5625" s="6" t="s">
        <v>5134</v>
      </c>
      <c r="E5625">
        <v>31</v>
      </c>
      <c r="F5625" t="s">
        <v>6862</v>
      </c>
      <c r="G5625">
        <v>32</v>
      </c>
      <c r="O5625" t="s">
        <v>5658</v>
      </c>
      <c r="Q5625" t="s">
        <v>7466</v>
      </c>
    </row>
    <row r="5626" spans="2:17" x14ac:dyDescent="0.2">
      <c r="B5626" t="s">
        <v>5133</v>
      </c>
      <c r="C5626">
        <v>6</v>
      </c>
      <c r="D5626" s="6" t="s">
        <v>5134</v>
      </c>
      <c r="E5626">
        <v>32</v>
      </c>
      <c r="F5626" t="s">
        <v>6862</v>
      </c>
      <c r="G5626">
        <v>6</v>
      </c>
      <c r="Q5626" t="s">
        <v>7467</v>
      </c>
    </row>
    <row r="5627" spans="2:17" x14ac:dyDescent="0.2">
      <c r="B5627" t="s">
        <v>5133</v>
      </c>
      <c r="C5627">
        <v>6</v>
      </c>
      <c r="D5627" s="6" t="s">
        <v>5134</v>
      </c>
      <c r="E5627">
        <v>33</v>
      </c>
      <c r="F5627" t="s">
        <v>5385</v>
      </c>
      <c r="G5627">
        <v>3</v>
      </c>
      <c r="Q5627" t="s">
        <v>7480</v>
      </c>
    </row>
    <row r="5628" spans="2:17" x14ac:dyDescent="0.2">
      <c r="B5628" t="s">
        <v>5133</v>
      </c>
      <c r="C5628">
        <v>6</v>
      </c>
      <c r="D5628" s="6" t="s">
        <v>5134</v>
      </c>
      <c r="E5628">
        <v>34</v>
      </c>
      <c r="F5628" t="s">
        <v>5385</v>
      </c>
      <c r="G5628">
        <v>3</v>
      </c>
      <c r="Q5628" t="s">
        <v>7481</v>
      </c>
    </row>
    <row r="5629" spans="2:17" x14ac:dyDescent="0.2">
      <c r="B5629" t="s">
        <v>5133</v>
      </c>
      <c r="C5629">
        <v>6</v>
      </c>
      <c r="D5629" s="6" t="s">
        <v>5134</v>
      </c>
      <c r="E5629">
        <v>35</v>
      </c>
      <c r="F5629" t="s">
        <v>5385</v>
      </c>
      <c r="G5629">
        <v>3</v>
      </c>
      <c r="Q5629" t="s">
        <v>7482</v>
      </c>
    </row>
    <row r="5630" spans="2:17" x14ac:dyDescent="0.2">
      <c r="B5630" t="s">
        <v>5133</v>
      </c>
      <c r="C5630">
        <v>6</v>
      </c>
      <c r="D5630" s="6" t="s">
        <v>5134</v>
      </c>
      <c r="E5630">
        <v>36</v>
      </c>
      <c r="F5630" t="s">
        <v>5385</v>
      </c>
      <c r="G5630">
        <v>1</v>
      </c>
      <c r="Q5630" t="s">
        <v>7483</v>
      </c>
    </row>
    <row r="5631" spans="2:17" x14ac:dyDescent="0.2">
      <c r="B5631" t="s">
        <v>5133</v>
      </c>
      <c r="C5631">
        <v>6</v>
      </c>
      <c r="D5631" s="6" t="s">
        <v>5134</v>
      </c>
      <c r="E5631">
        <v>37</v>
      </c>
      <c r="F5631" t="s">
        <v>5385</v>
      </c>
      <c r="G5631">
        <v>3</v>
      </c>
      <c r="Q5631" t="s">
        <v>7484</v>
      </c>
    </row>
    <row r="5632" spans="2:17" x14ac:dyDescent="0.2">
      <c r="B5632" t="s">
        <v>5133</v>
      </c>
      <c r="C5632">
        <v>6</v>
      </c>
      <c r="D5632" s="6" t="s">
        <v>5134</v>
      </c>
      <c r="E5632" t="s">
        <v>5056</v>
      </c>
      <c r="F5632" t="s">
        <v>5385</v>
      </c>
      <c r="G5632">
        <v>1</v>
      </c>
    </row>
    <row r="5633" spans="2:17" x14ac:dyDescent="0.2">
      <c r="B5633" t="s">
        <v>5133</v>
      </c>
      <c r="C5633">
        <v>6</v>
      </c>
      <c r="D5633" s="6" t="s">
        <v>5134</v>
      </c>
      <c r="E5633">
        <v>38</v>
      </c>
      <c r="F5633" t="s">
        <v>5267</v>
      </c>
      <c r="G5633">
        <v>2</v>
      </c>
      <c r="O5633" t="s">
        <v>5659</v>
      </c>
      <c r="Q5633" t="s">
        <v>7478</v>
      </c>
    </row>
    <row r="5634" spans="2:17" x14ac:dyDescent="0.2">
      <c r="B5634" t="s">
        <v>5133</v>
      </c>
      <c r="C5634">
        <v>6</v>
      </c>
      <c r="D5634" s="6" t="s">
        <v>5134</v>
      </c>
      <c r="E5634">
        <v>39</v>
      </c>
      <c r="F5634" t="s">
        <v>6231</v>
      </c>
      <c r="G5634">
        <v>10</v>
      </c>
      <c r="Q5634" t="s">
        <v>7479</v>
      </c>
    </row>
    <row r="5635" spans="2:17" x14ac:dyDescent="0.2">
      <c r="B5635" t="s">
        <v>5133</v>
      </c>
      <c r="C5635">
        <v>6</v>
      </c>
      <c r="D5635" s="6" t="s">
        <v>5134</v>
      </c>
      <c r="E5635">
        <v>40</v>
      </c>
      <c r="F5635" t="s">
        <v>1559</v>
      </c>
      <c r="G5635">
        <v>1</v>
      </c>
      <c r="Q5635" t="s">
        <v>7485</v>
      </c>
    </row>
    <row r="5636" spans="2:17" x14ac:dyDescent="0.2">
      <c r="B5636" t="s">
        <v>5133</v>
      </c>
      <c r="C5636">
        <v>6</v>
      </c>
      <c r="D5636" s="6" t="s">
        <v>5134</v>
      </c>
      <c r="E5636">
        <v>41</v>
      </c>
      <c r="F5636" t="s">
        <v>1559</v>
      </c>
      <c r="G5636">
        <v>1</v>
      </c>
      <c r="Q5636" t="s">
        <v>7486</v>
      </c>
    </row>
    <row r="5637" spans="2:17" x14ac:dyDescent="0.2">
      <c r="B5637" t="s">
        <v>5133</v>
      </c>
      <c r="C5637">
        <v>6</v>
      </c>
      <c r="D5637" s="6" t="s">
        <v>5134</v>
      </c>
      <c r="E5637">
        <v>42</v>
      </c>
      <c r="F5637" t="s">
        <v>1559</v>
      </c>
      <c r="G5637">
        <v>1</v>
      </c>
      <c r="Q5637" t="s">
        <v>7487</v>
      </c>
    </row>
    <row r="5638" spans="2:17" x14ac:dyDescent="0.2">
      <c r="B5638" t="s">
        <v>5133</v>
      </c>
      <c r="C5638">
        <v>6</v>
      </c>
      <c r="D5638" s="6" t="s">
        <v>5134</v>
      </c>
      <c r="E5638">
        <v>43</v>
      </c>
      <c r="F5638" t="s">
        <v>1559</v>
      </c>
      <c r="G5638">
        <v>1</v>
      </c>
      <c r="Q5638" t="s">
        <v>7489</v>
      </c>
    </row>
    <row r="5639" spans="2:17" x14ac:dyDescent="0.2">
      <c r="B5639" t="s">
        <v>5133</v>
      </c>
      <c r="C5639">
        <v>6</v>
      </c>
      <c r="D5639" s="6" t="s">
        <v>5134</v>
      </c>
      <c r="E5639">
        <v>44</v>
      </c>
      <c r="F5639" t="s">
        <v>1559</v>
      </c>
      <c r="G5639">
        <v>1</v>
      </c>
      <c r="Q5639" t="s">
        <v>7488</v>
      </c>
    </row>
    <row r="5640" spans="2:17" x14ac:dyDescent="0.2">
      <c r="B5640" t="s">
        <v>5133</v>
      </c>
      <c r="C5640">
        <v>6</v>
      </c>
      <c r="D5640" s="6" t="s">
        <v>5134</v>
      </c>
      <c r="E5640">
        <v>45</v>
      </c>
      <c r="F5640" t="s">
        <v>1559</v>
      </c>
      <c r="G5640">
        <v>4</v>
      </c>
      <c r="M5640">
        <v>5</v>
      </c>
    </row>
    <row r="5641" spans="2:17" x14ac:dyDescent="0.2">
      <c r="B5641" t="s">
        <v>5133</v>
      </c>
      <c r="C5641">
        <v>6</v>
      </c>
      <c r="D5641" s="6" t="s">
        <v>5134</v>
      </c>
      <c r="E5641">
        <v>46</v>
      </c>
      <c r="F5641" t="s">
        <v>2218</v>
      </c>
      <c r="G5641">
        <v>17</v>
      </c>
    </row>
    <row r="5642" spans="2:17" x14ac:dyDescent="0.2">
      <c r="B5642" t="s">
        <v>5133</v>
      </c>
      <c r="C5642">
        <v>6</v>
      </c>
      <c r="D5642" s="6" t="s">
        <v>5134</v>
      </c>
      <c r="E5642">
        <v>47</v>
      </c>
      <c r="F5642" t="s">
        <v>5339</v>
      </c>
      <c r="G5642">
        <v>4</v>
      </c>
    </row>
    <row r="5643" spans="2:17" x14ac:dyDescent="0.2">
      <c r="B5643" t="s">
        <v>5133</v>
      </c>
      <c r="C5643">
        <v>6</v>
      </c>
      <c r="D5643" s="6" t="s">
        <v>5134</v>
      </c>
      <c r="E5643">
        <v>48</v>
      </c>
      <c r="F5643" t="s">
        <v>112</v>
      </c>
      <c r="G5643">
        <v>166</v>
      </c>
      <c r="M5643">
        <v>9.5</v>
      </c>
      <c r="O5643" t="s">
        <v>7491</v>
      </c>
      <c r="Q5643" t="s">
        <v>7490</v>
      </c>
    </row>
    <row r="5644" spans="2:17" x14ac:dyDescent="0.2">
      <c r="B5644" t="s">
        <v>5133</v>
      </c>
      <c r="C5644">
        <v>6</v>
      </c>
      <c r="D5644" s="6" t="s">
        <v>5134</v>
      </c>
      <c r="E5644">
        <v>49</v>
      </c>
      <c r="F5644" t="s">
        <v>3875</v>
      </c>
      <c r="G5644">
        <v>17</v>
      </c>
      <c r="M5644">
        <v>6</v>
      </c>
    </row>
    <row r="5645" spans="2:17" x14ac:dyDescent="0.2">
      <c r="B5645" t="s">
        <v>5133</v>
      </c>
      <c r="C5645">
        <v>6</v>
      </c>
      <c r="D5645" s="6" t="s">
        <v>5134</v>
      </c>
      <c r="E5645">
        <v>50</v>
      </c>
      <c r="F5645" t="s">
        <v>7363</v>
      </c>
      <c r="G5645">
        <v>55</v>
      </c>
    </row>
    <row r="5646" spans="2:17" x14ac:dyDescent="0.2">
      <c r="B5646" t="s">
        <v>5133</v>
      </c>
      <c r="C5646">
        <v>6</v>
      </c>
      <c r="D5646" s="6" t="s">
        <v>5134</v>
      </c>
      <c r="E5646">
        <v>51</v>
      </c>
      <c r="F5646" t="s">
        <v>2836</v>
      </c>
      <c r="G5646">
        <v>17</v>
      </c>
    </row>
    <row r="5647" spans="2:17" x14ac:dyDescent="0.2">
      <c r="B5647" t="s">
        <v>5133</v>
      </c>
      <c r="C5647">
        <v>1</v>
      </c>
      <c r="D5647" s="6" t="s">
        <v>5134</v>
      </c>
      <c r="E5647" t="s">
        <v>5056</v>
      </c>
      <c r="F5647" t="s">
        <v>1264</v>
      </c>
      <c r="H5647">
        <f>38.8-2.8</f>
        <v>36</v>
      </c>
    </row>
    <row r="5648" spans="2:17" x14ac:dyDescent="0.2">
      <c r="B5648" t="s">
        <v>5133</v>
      </c>
      <c r="C5648">
        <v>1</v>
      </c>
      <c r="D5648" s="6" t="s">
        <v>5134</v>
      </c>
      <c r="E5648" s="8" t="s">
        <v>5081</v>
      </c>
      <c r="F5648" t="s">
        <v>740</v>
      </c>
      <c r="H5648">
        <f>2.029-0.257</f>
        <v>1.7719999999999998</v>
      </c>
    </row>
    <row r="5649" spans="2:17" x14ac:dyDescent="0.2">
      <c r="B5649" t="s">
        <v>5133</v>
      </c>
      <c r="C5649">
        <v>1</v>
      </c>
      <c r="D5649" s="6" t="s">
        <v>5134</v>
      </c>
      <c r="E5649" s="8" t="s">
        <v>5082</v>
      </c>
      <c r="F5649" t="s">
        <v>112</v>
      </c>
    </row>
    <row r="5650" spans="2:17" x14ac:dyDescent="0.2">
      <c r="B5650" t="s">
        <v>5133</v>
      </c>
      <c r="C5650">
        <v>1</v>
      </c>
      <c r="D5650" s="6" t="s">
        <v>5134</v>
      </c>
      <c r="E5650" t="s">
        <v>5056</v>
      </c>
      <c r="F5650" t="s">
        <v>5660</v>
      </c>
      <c r="H5650">
        <f>0.828-0.587</f>
        <v>0.24099999999999999</v>
      </c>
      <c r="O5650" t="s">
        <v>5661</v>
      </c>
    </row>
    <row r="5651" spans="2:17" x14ac:dyDescent="0.2">
      <c r="B5651" t="s">
        <v>5133</v>
      </c>
      <c r="C5651">
        <v>1</v>
      </c>
      <c r="D5651" s="6" t="s">
        <v>5134</v>
      </c>
      <c r="E5651" s="8" t="s">
        <v>5089</v>
      </c>
      <c r="F5651" t="s">
        <v>3931</v>
      </c>
      <c r="H5651">
        <f>0.58-0.41</f>
        <v>0.16999999999999998</v>
      </c>
      <c r="O5651" t="s">
        <v>5662</v>
      </c>
    </row>
    <row r="5652" spans="2:17" x14ac:dyDescent="0.2">
      <c r="B5652" t="s">
        <v>5133</v>
      </c>
      <c r="C5652">
        <v>1</v>
      </c>
      <c r="D5652" s="6" t="s">
        <v>5134</v>
      </c>
      <c r="E5652" s="8" t="s">
        <v>5090</v>
      </c>
      <c r="F5652" t="s">
        <v>5582</v>
      </c>
      <c r="H5652">
        <v>0.01</v>
      </c>
    </row>
    <row r="5653" spans="2:17" x14ac:dyDescent="0.2">
      <c r="B5653" t="s">
        <v>5133</v>
      </c>
      <c r="C5653">
        <v>1</v>
      </c>
      <c r="D5653" s="6" t="s">
        <v>5134</v>
      </c>
      <c r="E5653" s="8" t="s">
        <v>5082</v>
      </c>
      <c r="F5653" t="s">
        <v>112</v>
      </c>
      <c r="H5653">
        <v>0.10199999999999999</v>
      </c>
      <c r="M5653">
        <v>9</v>
      </c>
    </row>
    <row r="5654" spans="2:17" x14ac:dyDescent="0.2">
      <c r="B5654" t="s">
        <v>5133</v>
      </c>
      <c r="C5654" t="s">
        <v>462</v>
      </c>
      <c r="D5654" s="6" t="s">
        <v>5134</v>
      </c>
      <c r="E5654" t="s">
        <v>5056</v>
      </c>
      <c r="F5654" t="s">
        <v>2993</v>
      </c>
      <c r="H5654">
        <f>0.982-0.344</f>
        <v>0.63800000000000001</v>
      </c>
      <c r="O5654" t="s">
        <v>5663</v>
      </c>
    </row>
    <row r="5655" spans="2:17" x14ac:dyDescent="0.2">
      <c r="B5655" t="s">
        <v>5285</v>
      </c>
      <c r="C5655">
        <v>2</v>
      </c>
      <c r="D5655" s="6" t="s">
        <v>5314</v>
      </c>
      <c r="E5655">
        <v>20</v>
      </c>
      <c r="F5655" t="s">
        <v>5869</v>
      </c>
      <c r="G5655">
        <v>41</v>
      </c>
    </row>
    <row r="5656" spans="2:17" x14ac:dyDescent="0.2">
      <c r="B5656" t="s">
        <v>5285</v>
      </c>
      <c r="C5656">
        <v>2</v>
      </c>
      <c r="D5656" s="6" t="s">
        <v>5314</v>
      </c>
      <c r="E5656">
        <v>21</v>
      </c>
      <c r="F5656" t="s">
        <v>6282</v>
      </c>
      <c r="G5656">
        <v>18</v>
      </c>
      <c r="Q5656" t="s">
        <v>7495</v>
      </c>
    </row>
    <row r="5657" spans="2:17" x14ac:dyDescent="0.2">
      <c r="B5657" t="s">
        <v>5285</v>
      </c>
      <c r="C5657">
        <v>2</v>
      </c>
      <c r="D5657" s="6" t="s">
        <v>5314</v>
      </c>
      <c r="E5657">
        <v>22</v>
      </c>
      <c r="F5657" t="s">
        <v>6283</v>
      </c>
      <c r="G5657">
        <v>10</v>
      </c>
      <c r="Q5657" t="s">
        <v>7493</v>
      </c>
    </row>
    <row r="5658" spans="2:17" x14ac:dyDescent="0.2">
      <c r="B5658" t="s">
        <v>5285</v>
      </c>
      <c r="C5658">
        <v>2</v>
      </c>
      <c r="D5658" s="6" t="s">
        <v>5314</v>
      </c>
      <c r="E5658">
        <v>23</v>
      </c>
      <c r="F5658" t="s">
        <v>6283</v>
      </c>
      <c r="G5658">
        <v>3</v>
      </c>
      <c r="Q5658" t="s">
        <v>7496</v>
      </c>
    </row>
    <row r="5659" spans="2:17" x14ac:dyDescent="0.2">
      <c r="B5659" t="s">
        <v>5285</v>
      </c>
      <c r="C5659">
        <v>2</v>
      </c>
      <c r="D5659" s="6" t="s">
        <v>5314</v>
      </c>
      <c r="E5659">
        <v>24</v>
      </c>
      <c r="F5659" t="s">
        <v>6283</v>
      </c>
      <c r="G5659">
        <v>8</v>
      </c>
      <c r="Q5659" t="s">
        <v>7494</v>
      </c>
    </row>
    <row r="5660" spans="2:17" x14ac:dyDescent="0.2">
      <c r="B5660" t="s">
        <v>5285</v>
      </c>
      <c r="C5660">
        <v>2</v>
      </c>
      <c r="D5660" s="6" t="s">
        <v>5314</v>
      </c>
      <c r="E5660">
        <v>25</v>
      </c>
      <c r="F5660" t="s">
        <v>6283</v>
      </c>
      <c r="G5660">
        <v>7</v>
      </c>
      <c r="Q5660" t="s">
        <v>7492</v>
      </c>
    </row>
    <row r="5661" spans="2:17" x14ac:dyDescent="0.2">
      <c r="B5661" t="s">
        <v>5285</v>
      </c>
      <c r="C5661">
        <v>2</v>
      </c>
      <c r="D5661" s="6" t="s">
        <v>5314</v>
      </c>
      <c r="E5661">
        <v>26</v>
      </c>
      <c r="F5661" t="s">
        <v>1425</v>
      </c>
      <c r="G5661">
        <v>31</v>
      </c>
      <c r="M5661">
        <v>5</v>
      </c>
    </row>
    <row r="5662" spans="2:17" x14ac:dyDescent="0.2">
      <c r="B5662" t="s">
        <v>5285</v>
      </c>
      <c r="C5662">
        <v>2</v>
      </c>
      <c r="D5662" s="6" t="s">
        <v>5314</v>
      </c>
      <c r="E5662" t="s">
        <v>5056</v>
      </c>
      <c r="F5662" t="s">
        <v>1425</v>
      </c>
      <c r="G5662">
        <v>19</v>
      </c>
      <c r="M5662">
        <v>4</v>
      </c>
    </row>
    <row r="5663" spans="2:17" x14ac:dyDescent="0.2">
      <c r="B5663" t="s">
        <v>5285</v>
      </c>
      <c r="C5663">
        <v>2</v>
      </c>
      <c r="D5663" s="6" t="s">
        <v>5314</v>
      </c>
      <c r="E5663">
        <v>27</v>
      </c>
      <c r="F5663" t="s">
        <v>6250</v>
      </c>
      <c r="G5663">
        <v>1</v>
      </c>
      <c r="Q5663" t="s">
        <v>7500</v>
      </c>
    </row>
    <row r="5664" spans="2:17" x14ac:dyDescent="0.2">
      <c r="B5664" t="s">
        <v>5285</v>
      </c>
      <c r="C5664">
        <v>2</v>
      </c>
      <c r="D5664" s="6" t="s">
        <v>5314</v>
      </c>
      <c r="E5664">
        <v>28</v>
      </c>
      <c r="F5664" t="s">
        <v>6250</v>
      </c>
      <c r="G5664">
        <v>14</v>
      </c>
      <c r="Q5664" t="s">
        <v>7497</v>
      </c>
    </row>
    <row r="5665" spans="2:17" x14ac:dyDescent="0.2">
      <c r="B5665" t="s">
        <v>5285</v>
      </c>
      <c r="C5665">
        <v>2</v>
      </c>
      <c r="D5665" s="6" t="s">
        <v>5314</v>
      </c>
      <c r="E5665">
        <v>29</v>
      </c>
      <c r="F5665" t="s">
        <v>6250</v>
      </c>
      <c r="G5665">
        <v>5</v>
      </c>
      <c r="Q5665" t="s">
        <v>7499</v>
      </c>
    </row>
    <row r="5666" spans="2:17" x14ac:dyDescent="0.2">
      <c r="B5666" t="s">
        <v>5285</v>
      </c>
      <c r="C5666">
        <v>2</v>
      </c>
      <c r="D5666" s="6" t="s">
        <v>5314</v>
      </c>
      <c r="E5666">
        <v>30</v>
      </c>
      <c r="F5666" t="s">
        <v>6250</v>
      </c>
      <c r="G5666">
        <v>9</v>
      </c>
      <c r="Q5666" t="s">
        <v>7498</v>
      </c>
    </row>
    <row r="5667" spans="2:17" x14ac:dyDescent="0.2">
      <c r="B5667" t="s">
        <v>5285</v>
      </c>
      <c r="C5667">
        <v>2</v>
      </c>
      <c r="D5667" s="6" t="s">
        <v>5314</v>
      </c>
      <c r="E5667">
        <v>31</v>
      </c>
      <c r="F5667" t="s">
        <v>6250</v>
      </c>
      <c r="G5667">
        <v>2</v>
      </c>
      <c r="Q5667" t="s">
        <v>7501</v>
      </c>
    </row>
    <row r="5668" spans="2:17" x14ac:dyDescent="0.2">
      <c r="B5668" t="s">
        <v>5285</v>
      </c>
      <c r="C5668">
        <v>2</v>
      </c>
      <c r="D5668" s="6" t="s">
        <v>5314</v>
      </c>
      <c r="E5668">
        <v>32</v>
      </c>
      <c r="F5668" t="s">
        <v>1389</v>
      </c>
      <c r="G5668">
        <v>28</v>
      </c>
      <c r="M5668">
        <v>5</v>
      </c>
    </row>
    <row r="5669" spans="2:17" x14ac:dyDescent="0.2">
      <c r="B5669" t="s">
        <v>5285</v>
      </c>
      <c r="C5669">
        <v>2</v>
      </c>
      <c r="D5669" s="6" t="s">
        <v>5314</v>
      </c>
      <c r="E5669" t="s">
        <v>5056</v>
      </c>
      <c r="F5669" t="s">
        <v>1389</v>
      </c>
      <c r="G5669">
        <v>114</v>
      </c>
      <c r="M5669">
        <v>19</v>
      </c>
    </row>
    <row r="5670" spans="2:17" x14ac:dyDescent="0.2">
      <c r="B5670" t="s">
        <v>5285</v>
      </c>
      <c r="C5670">
        <v>2</v>
      </c>
      <c r="D5670" s="6" t="s">
        <v>5314</v>
      </c>
      <c r="E5670">
        <v>33</v>
      </c>
      <c r="F5670" t="s">
        <v>1538</v>
      </c>
      <c r="G5670">
        <v>73</v>
      </c>
      <c r="Q5670" t="s">
        <v>7504</v>
      </c>
    </row>
    <row r="5671" spans="2:17" x14ac:dyDescent="0.2">
      <c r="B5671" t="s">
        <v>5285</v>
      </c>
      <c r="C5671">
        <v>2</v>
      </c>
      <c r="D5671" s="6" t="s">
        <v>5314</v>
      </c>
      <c r="E5671">
        <v>34</v>
      </c>
      <c r="F5671" t="s">
        <v>1538</v>
      </c>
      <c r="G5671">
        <v>9</v>
      </c>
      <c r="Q5671" t="s">
        <v>7502</v>
      </c>
    </row>
    <row r="5672" spans="2:17" x14ac:dyDescent="0.2">
      <c r="B5672" t="s">
        <v>5285</v>
      </c>
      <c r="C5672">
        <v>2</v>
      </c>
      <c r="D5672" s="6" t="s">
        <v>5314</v>
      </c>
      <c r="E5672">
        <v>35</v>
      </c>
      <c r="F5672" t="s">
        <v>1538</v>
      </c>
      <c r="G5672">
        <v>6</v>
      </c>
      <c r="Q5672" t="s">
        <v>7506</v>
      </c>
    </row>
    <row r="5673" spans="2:17" x14ac:dyDescent="0.2">
      <c r="B5673" t="s">
        <v>5285</v>
      </c>
      <c r="C5673">
        <v>2</v>
      </c>
      <c r="D5673" s="6" t="s">
        <v>5314</v>
      </c>
      <c r="E5673">
        <v>36</v>
      </c>
      <c r="F5673" t="s">
        <v>1538</v>
      </c>
      <c r="G5673">
        <v>30</v>
      </c>
      <c r="Q5673" t="s">
        <v>7505</v>
      </c>
    </row>
    <row r="5674" spans="2:17" x14ac:dyDescent="0.2">
      <c r="B5674" t="s">
        <v>5285</v>
      </c>
      <c r="C5674">
        <v>2</v>
      </c>
      <c r="D5674" s="6" t="s">
        <v>5314</v>
      </c>
      <c r="E5674">
        <v>37</v>
      </c>
      <c r="F5674" t="s">
        <v>1538</v>
      </c>
      <c r="G5674">
        <v>45</v>
      </c>
      <c r="M5674">
        <v>5</v>
      </c>
      <c r="Q5674" t="s">
        <v>7503</v>
      </c>
    </row>
    <row r="5675" spans="2:17" x14ac:dyDescent="0.2">
      <c r="B5675" t="s">
        <v>5285</v>
      </c>
      <c r="C5675">
        <v>2</v>
      </c>
      <c r="D5675" s="6" t="s">
        <v>5314</v>
      </c>
      <c r="E5675">
        <v>38</v>
      </c>
      <c r="F5675" t="s">
        <v>1538</v>
      </c>
      <c r="G5675">
        <v>101</v>
      </c>
      <c r="M5675">
        <v>38</v>
      </c>
    </row>
    <row r="5676" spans="2:17" x14ac:dyDescent="0.2">
      <c r="B5676" t="s">
        <v>5285</v>
      </c>
      <c r="C5676">
        <v>2</v>
      </c>
      <c r="D5676" s="6" t="s">
        <v>5314</v>
      </c>
      <c r="E5676" t="s">
        <v>5056</v>
      </c>
      <c r="F5676" t="s">
        <v>1538</v>
      </c>
      <c r="G5676">
        <v>880</v>
      </c>
      <c r="O5676" t="s">
        <v>5664</v>
      </c>
    </row>
    <row r="5677" spans="2:17" x14ac:dyDescent="0.2">
      <c r="B5677" t="s">
        <v>5285</v>
      </c>
      <c r="C5677">
        <v>2</v>
      </c>
      <c r="D5677" s="6" t="s">
        <v>5314</v>
      </c>
      <c r="E5677" s="8" t="s">
        <v>5081</v>
      </c>
      <c r="F5677" t="s">
        <v>1264</v>
      </c>
      <c r="G5677">
        <v>949</v>
      </c>
    </row>
    <row r="5678" spans="2:17" x14ac:dyDescent="0.2">
      <c r="B5678" t="s">
        <v>5285</v>
      </c>
      <c r="C5678">
        <v>2</v>
      </c>
      <c r="D5678" s="6" t="s">
        <v>5314</v>
      </c>
      <c r="E5678" s="8" t="s">
        <v>5082</v>
      </c>
      <c r="F5678" t="s">
        <v>5629</v>
      </c>
      <c r="G5678">
        <v>20</v>
      </c>
      <c r="Q5678" t="s">
        <v>7516</v>
      </c>
    </row>
    <row r="5679" spans="2:17" x14ac:dyDescent="0.2">
      <c r="B5679" t="s">
        <v>5285</v>
      </c>
      <c r="C5679">
        <v>2</v>
      </c>
      <c r="D5679" s="6" t="s">
        <v>5314</v>
      </c>
      <c r="E5679" s="8" t="s">
        <v>5089</v>
      </c>
      <c r="F5679" t="s">
        <v>5629</v>
      </c>
      <c r="G5679">
        <v>57</v>
      </c>
      <c r="Q5679" t="s">
        <v>7515</v>
      </c>
    </row>
    <row r="5680" spans="2:17" x14ac:dyDescent="0.2">
      <c r="B5680" t="s">
        <v>5285</v>
      </c>
      <c r="C5680">
        <v>2</v>
      </c>
      <c r="D5680" s="6" t="s">
        <v>5314</v>
      </c>
      <c r="E5680" s="8" t="s">
        <v>5090</v>
      </c>
      <c r="F5680" t="s">
        <v>5665</v>
      </c>
      <c r="G5680">
        <v>42</v>
      </c>
      <c r="Q5680" t="s">
        <v>7514</v>
      </c>
    </row>
    <row r="5681" spans="2:17" x14ac:dyDescent="0.2">
      <c r="B5681" t="s">
        <v>5285</v>
      </c>
      <c r="C5681">
        <v>2</v>
      </c>
      <c r="D5681" s="6" t="s">
        <v>5314</v>
      </c>
      <c r="E5681" s="8" t="s">
        <v>5091</v>
      </c>
      <c r="F5681" t="s">
        <v>5665</v>
      </c>
      <c r="G5681">
        <v>42</v>
      </c>
      <c r="Q5681" t="s">
        <v>7513</v>
      </c>
    </row>
    <row r="5682" spans="2:17" x14ac:dyDescent="0.2">
      <c r="B5682" t="s">
        <v>5285</v>
      </c>
      <c r="C5682">
        <v>2</v>
      </c>
      <c r="D5682" s="6" t="s">
        <v>5314</v>
      </c>
      <c r="E5682" s="8" t="s">
        <v>5092</v>
      </c>
      <c r="F5682" t="s">
        <v>6231</v>
      </c>
      <c r="G5682">
        <v>12</v>
      </c>
      <c r="Q5682" t="s">
        <v>7512</v>
      </c>
    </row>
    <row r="5683" spans="2:17" x14ac:dyDescent="0.2">
      <c r="B5683" t="s">
        <v>5285</v>
      </c>
      <c r="C5683">
        <v>2</v>
      </c>
      <c r="D5683" s="6" t="s">
        <v>5314</v>
      </c>
      <c r="E5683" s="8" t="s">
        <v>5094</v>
      </c>
      <c r="F5683" t="s">
        <v>6231</v>
      </c>
      <c r="G5683">
        <v>19</v>
      </c>
      <c r="Q5683" t="s">
        <v>7511</v>
      </c>
    </row>
    <row r="5684" spans="2:17" x14ac:dyDescent="0.2">
      <c r="B5684" t="s">
        <v>5285</v>
      </c>
      <c r="C5684">
        <v>2</v>
      </c>
      <c r="D5684" s="6" t="s">
        <v>5314</v>
      </c>
      <c r="E5684" s="8" t="s">
        <v>5097</v>
      </c>
      <c r="F5684" t="s">
        <v>6231</v>
      </c>
      <c r="G5684">
        <v>18</v>
      </c>
      <c r="Q5684" t="s">
        <v>7510</v>
      </c>
    </row>
    <row r="5685" spans="2:17" x14ac:dyDescent="0.2">
      <c r="B5685" t="s">
        <v>5285</v>
      </c>
      <c r="C5685">
        <v>2</v>
      </c>
      <c r="D5685" s="6" t="s">
        <v>5314</v>
      </c>
      <c r="E5685" s="8" t="s">
        <v>5098</v>
      </c>
      <c r="F5685" t="s">
        <v>6231</v>
      </c>
      <c r="G5685">
        <v>21</v>
      </c>
      <c r="Q5685" t="s">
        <v>7509</v>
      </c>
    </row>
    <row r="5686" spans="2:17" x14ac:dyDescent="0.2">
      <c r="B5686" t="s">
        <v>5285</v>
      </c>
      <c r="C5686">
        <v>2</v>
      </c>
      <c r="D5686" s="6" t="s">
        <v>5314</v>
      </c>
      <c r="E5686">
        <v>11</v>
      </c>
      <c r="F5686" t="s">
        <v>10600</v>
      </c>
      <c r="G5686">
        <v>12</v>
      </c>
      <c r="Q5686" t="s">
        <v>7507</v>
      </c>
    </row>
    <row r="5687" spans="2:17" x14ac:dyDescent="0.2">
      <c r="B5687" t="s">
        <v>5285</v>
      </c>
      <c r="C5687">
        <v>2</v>
      </c>
      <c r="D5687" s="6" t="s">
        <v>5314</v>
      </c>
      <c r="E5687">
        <v>10</v>
      </c>
      <c r="F5687" t="s">
        <v>6862</v>
      </c>
      <c r="G5687" t="s">
        <v>114</v>
      </c>
      <c r="Q5687" t="s">
        <v>7508</v>
      </c>
    </row>
    <row r="5688" spans="2:17" x14ac:dyDescent="0.2">
      <c r="B5688" t="s">
        <v>5285</v>
      </c>
      <c r="C5688">
        <v>2</v>
      </c>
      <c r="D5688" s="6" t="s">
        <v>5314</v>
      </c>
      <c r="E5688">
        <v>45</v>
      </c>
      <c r="F5688" t="s">
        <v>5385</v>
      </c>
      <c r="G5688">
        <v>4</v>
      </c>
    </row>
    <row r="5689" spans="2:17" x14ac:dyDescent="0.2">
      <c r="B5689" t="s">
        <v>5285</v>
      </c>
      <c r="C5689">
        <v>2</v>
      </c>
      <c r="D5689" s="6" t="s">
        <v>5314</v>
      </c>
      <c r="E5689">
        <v>12</v>
      </c>
      <c r="F5689" t="s">
        <v>7138</v>
      </c>
      <c r="G5689">
        <v>156</v>
      </c>
      <c r="Q5689" t="s">
        <v>7517</v>
      </c>
    </row>
    <row r="5690" spans="2:17" x14ac:dyDescent="0.2">
      <c r="B5690" t="s">
        <v>5285</v>
      </c>
      <c r="C5690">
        <v>2</v>
      </c>
      <c r="D5690" s="6" t="s">
        <v>5314</v>
      </c>
      <c r="E5690">
        <v>14</v>
      </c>
      <c r="F5690" t="s">
        <v>3875</v>
      </c>
      <c r="G5690">
        <v>21</v>
      </c>
    </row>
    <row r="5691" spans="2:17" x14ac:dyDescent="0.2">
      <c r="B5691" t="s">
        <v>5285</v>
      </c>
      <c r="C5691">
        <v>2</v>
      </c>
      <c r="D5691" s="6" t="s">
        <v>5314</v>
      </c>
      <c r="E5691">
        <v>15</v>
      </c>
      <c r="F5691" t="s">
        <v>106</v>
      </c>
      <c r="G5691">
        <v>5</v>
      </c>
    </row>
    <row r="5692" spans="2:17" x14ac:dyDescent="0.2">
      <c r="B5692" t="s">
        <v>5285</v>
      </c>
      <c r="C5692">
        <v>2</v>
      </c>
      <c r="D5692" s="6" t="s">
        <v>5314</v>
      </c>
      <c r="E5692">
        <v>13</v>
      </c>
      <c r="F5692" t="s">
        <v>7138</v>
      </c>
      <c r="G5692">
        <v>15</v>
      </c>
      <c r="M5692">
        <v>4</v>
      </c>
      <c r="Q5692" t="s">
        <v>7518</v>
      </c>
    </row>
    <row r="5693" spans="2:17" x14ac:dyDescent="0.2">
      <c r="B5693" t="s">
        <v>5285</v>
      </c>
      <c r="C5693">
        <v>2</v>
      </c>
      <c r="D5693" s="6" t="s">
        <v>5314</v>
      </c>
      <c r="E5693">
        <v>16</v>
      </c>
      <c r="F5693" t="s">
        <v>5574</v>
      </c>
      <c r="G5693">
        <v>16</v>
      </c>
    </row>
    <row r="5694" spans="2:17" x14ac:dyDescent="0.2">
      <c r="B5694" t="s">
        <v>5285</v>
      </c>
      <c r="C5694">
        <v>2</v>
      </c>
      <c r="D5694" s="6" t="s">
        <v>5314</v>
      </c>
      <c r="E5694">
        <v>19</v>
      </c>
      <c r="F5694" t="s">
        <v>810</v>
      </c>
      <c r="G5694">
        <v>7</v>
      </c>
    </row>
    <row r="5695" spans="2:17" x14ac:dyDescent="0.2">
      <c r="B5695" t="s">
        <v>5285</v>
      </c>
      <c r="C5695">
        <v>2</v>
      </c>
      <c r="D5695" s="6" t="s">
        <v>5314</v>
      </c>
      <c r="E5695">
        <v>17</v>
      </c>
      <c r="F5695" t="s">
        <v>121</v>
      </c>
      <c r="G5695">
        <v>6</v>
      </c>
    </row>
    <row r="5696" spans="2:17" x14ac:dyDescent="0.2">
      <c r="B5696" t="s">
        <v>5285</v>
      </c>
      <c r="C5696">
        <v>2</v>
      </c>
      <c r="D5696" s="6" t="s">
        <v>5314</v>
      </c>
      <c r="E5696">
        <v>18</v>
      </c>
      <c r="F5696" t="s">
        <v>3431</v>
      </c>
      <c r="G5696">
        <v>2</v>
      </c>
    </row>
    <row r="5697" spans="2:17" x14ac:dyDescent="0.2">
      <c r="B5697" t="s">
        <v>5285</v>
      </c>
      <c r="C5697">
        <v>2</v>
      </c>
      <c r="D5697" s="6" t="s">
        <v>5314</v>
      </c>
      <c r="E5697" t="s">
        <v>5056</v>
      </c>
      <c r="F5697" t="s">
        <v>3215</v>
      </c>
      <c r="G5697">
        <f>506-421</f>
        <v>85</v>
      </c>
    </row>
    <row r="5698" spans="2:17" x14ac:dyDescent="0.2">
      <c r="B5698" t="s">
        <v>5285</v>
      </c>
      <c r="C5698">
        <v>2</v>
      </c>
      <c r="D5698" s="6" t="s">
        <v>5314</v>
      </c>
      <c r="E5698">
        <v>39</v>
      </c>
      <c r="F5698" t="s">
        <v>1538</v>
      </c>
      <c r="G5698">
        <v>3</v>
      </c>
      <c r="Q5698" t="s">
        <v>7520</v>
      </c>
    </row>
    <row r="5699" spans="2:17" x14ac:dyDescent="0.2">
      <c r="B5699" t="s">
        <v>5285</v>
      </c>
      <c r="C5699">
        <v>2</v>
      </c>
      <c r="D5699" s="6" t="s">
        <v>5314</v>
      </c>
      <c r="E5699">
        <v>40</v>
      </c>
      <c r="F5699" t="s">
        <v>1538</v>
      </c>
      <c r="G5699">
        <v>2</v>
      </c>
      <c r="Q5699" t="s">
        <v>7519</v>
      </c>
    </row>
    <row r="5700" spans="2:17" x14ac:dyDescent="0.2">
      <c r="B5700" t="s">
        <v>5285</v>
      </c>
      <c r="C5700">
        <v>2</v>
      </c>
      <c r="D5700" s="6" t="s">
        <v>5314</v>
      </c>
      <c r="E5700">
        <v>41</v>
      </c>
      <c r="F5700" t="s">
        <v>1538</v>
      </c>
      <c r="G5700">
        <v>1</v>
      </c>
      <c r="Q5700" t="s">
        <v>7523</v>
      </c>
    </row>
    <row r="5701" spans="2:17" x14ac:dyDescent="0.2">
      <c r="B5701" t="s">
        <v>5285</v>
      </c>
      <c r="C5701">
        <v>2</v>
      </c>
      <c r="D5701" s="6" t="s">
        <v>5314</v>
      </c>
      <c r="E5701">
        <v>42</v>
      </c>
      <c r="F5701" t="s">
        <v>6239</v>
      </c>
      <c r="G5701">
        <v>1</v>
      </c>
      <c r="Q5701" t="s">
        <v>7524</v>
      </c>
    </row>
    <row r="5702" spans="2:17" x14ac:dyDescent="0.2">
      <c r="B5702" t="s">
        <v>5285</v>
      </c>
      <c r="C5702">
        <v>2</v>
      </c>
      <c r="D5702" s="6" t="s">
        <v>5314</v>
      </c>
      <c r="E5702">
        <v>43</v>
      </c>
      <c r="F5702" t="s">
        <v>1538</v>
      </c>
      <c r="G5702">
        <v>2</v>
      </c>
      <c r="Q5702" t="s">
        <v>7522</v>
      </c>
    </row>
    <row r="5703" spans="2:17" x14ac:dyDescent="0.2">
      <c r="B5703" t="s">
        <v>5285</v>
      </c>
      <c r="C5703">
        <v>2</v>
      </c>
      <c r="D5703" s="6" t="s">
        <v>5314</v>
      </c>
      <c r="E5703">
        <v>44</v>
      </c>
      <c r="F5703" t="s">
        <v>1538</v>
      </c>
      <c r="G5703">
        <v>7</v>
      </c>
      <c r="Q5703" t="s">
        <v>7521</v>
      </c>
    </row>
    <row r="5704" spans="2:17" x14ac:dyDescent="0.2">
      <c r="B5704" t="s">
        <v>5285</v>
      </c>
      <c r="C5704">
        <v>2</v>
      </c>
      <c r="D5704" s="6" t="s">
        <v>5314</v>
      </c>
      <c r="E5704">
        <v>46</v>
      </c>
      <c r="F5704" t="s">
        <v>1538</v>
      </c>
      <c r="G5704">
        <v>7</v>
      </c>
      <c r="M5704">
        <v>5</v>
      </c>
    </row>
    <row r="5705" spans="2:17" x14ac:dyDescent="0.2">
      <c r="B5705" t="s">
        <v>5285</v>
      </c>
      <c r="C5705">
        <v>2</v>
      </c>
      <c r="D5705" s="6" t="s">
        <v>5314</v>
      </c>
      <c r="E5705" t="s">
        <v>5056</v>
      </c>
      <c r="F5705" t="s">
        <v>1538</v>
      </c>
      <c r="G5705">
        <v>44</v>
      </c>
      <c r="M5705">
        <v>17</v>
      </c>
    </row>
    <row r="5706" spans="2:17" x14ac:dyDescent="0.2">
      <c r="B5706" t="s">
        <v>5285</v>
      </c>
      <c r="C5706">
        <v>3</v>
      </c>
      <c r="D5706" s="6" t="s">
        <v>5314</v>
      </c>
      <c r="E5706">
        <v>32</v>
      </c>
      <c r="F5706" t="s">
        <v>1264</v>
      </c>
      <c r="G5706">
        <f>1289-285</f>
        <v>1004</v>
      </c>
      <c r="O5706" t="s">
        <v>5667</v>
      </c>
    </row>
    <row r="5707" spans="2:17" x14ac:dyDescent="0.2">
      <c r="B5707" t="s">
        <v>5285</v>
      </c>
      <c r="C5707">
        <v>3</v>
      </c>
      <c r="D5707" s="6" t="s">
        <v>5314</v>
      </c>
      <c r="E5707" t="s">
        <v>5056</v>
      </c>
      <c r="F5707" t="s">
        <v>3251</v>
      </c>
      <c r="G5707">
        <v>80</v>
      </c>
    </row>
    <row r="5708" spans="2:17" x14ac:dyDescent="0.2">
      <c r="B5708" t="s">
        <v>5285</v>
      </c>
      <c r="C5708">
        <v>3</v>
      </c>
      <c r="D5708" s="6" t="s">
        <v>5314</v>
      </c>
      <c r="E5708" s="8" t="s">
        <v>5082</v>
      </c>
      <c r="F5708" t="s">
        <v>6355</v>
      </c>
      <c r="G5708">
        <v>76</v>
      </c>
      <c r="Q5708" t="s">
        <v>6737</v>
      </c>
    </row>
    <row r="5709" spans="2:17" x14ac:dyDescent="0.2">
      <c r="B5709" t="s">
        <v>5285</v>
      </c>
      <c r="C5709">
        <v>3</v>
      </c>
      <c r="D5709" s="6" t="s">
        <v>5314</v>
      </c>
      <c r="E5709" s="8" t="s">
        <v>5081</v>
      </c>
      <c r="F5709" t="s">
        <v>7526</v>
      </c>
      <c r="G5709">
        <v>81</v>
      </c>
      <c r="Q5709" t="s">
        <v>7530</v>
      </c>
    </row>
    <row r="5710" spans="2:17" x14ac:dyDescent="0.2">
      <c r="B5710" t="s">
        <v>5285</v>
      </c>
      <c r="C5710">
        <v>3</v>
      </c>
      <c r="D5710" s="6" t="s">
        <v>5314</v>
      </c>
      <c r="E5710" s="8" t="s">
        <v>5089</v>
      </c>
      <c r="F5710" t="s">
        <v>2657</v>
      </c>
      <c r="G5710">
        <v>2</v>
      </c>
      <c r="Q5710" t="s">
        <v>7529</v>
      </c>
    </row>
    <row r="5711" spans="2:17" x14ac:dyDescent="0.2">
      <c r="B5711" t="s">
        <v>5285</v>
      </c>
      <c r="C5711">
        <v>3</v>
      </c>
      <c r="D5711" s="6" t="s">
        <v>5314</v>
      </c>
      <c r="E5711" s="8" t="s">
        <v>5090</v>
      </c>
      <c r="F5711" t="s">
        <v>1538</v>
      </c>
      <c r="G5711" t="s">
        <v>114</v>
      </c>
      <c r="Q5711" t="s">
        <v>7528</v>
      </c>
    </row>
    <row r="5712" spans="2:17" x14ac:dyDescent="0.2">
      <c r="B5712" t="s">
        <v>5285</v>
      </c>
      <c r="C5712">
        <v>3</v>
      </c>
      <c r="D5712" s="6" t="s">
        <v>5314</v>
      </c>
      <c r="E5712">
        <v>26</v>
      </c>
      <c r="F5712" t="s">
        <v>1538</v>
      </c>
      <c r="G5712" t="s">
        <v>114</v>
      </c>
      <c r="Q5712" t="s">
        <v>7527</v>
      </c>
    </row>
    <row r="5713" spans="2:17" x14ac:dyDescent="0.2">
      <c r="B5713" t="s">
        <v>5285</v>
      </c>
      <c r="C5713">
        <v>3</v>
      </c>
      <c r="D5713" s="6" t="s">
        <v>5314</v>
      </c>
      <c r="E5713" s="8" t="s">
        <v>5091</v>
      </c>
      <c r="F5713" t="s">
        <v>1538</v>
      </c>
      <c r="G5713" t="s">
        <v>114</v>
      </c>
      <c r="Q5713" t="s">
        <v>7525</v>
      </c>
    </row>
    <row r="5714" spans="2:17" x14ac:dyDescent="0.2">
      <c r="B5714" t="s">
        <v>5285</v>
      </c>
      <c r="C5714">
        <v>3</v>
      </c>
      <c r="D5714" s="6" t="s">
        <v>5314</v>
      </c>
      <c r="E5714" s="8" t="s">
        <v>5092</v>
      </c>
      <c r="F5714" t="s">
        <v>1425</v>
      </c>
      <c r="G5714">
        <v>93</v>
      </c>
      <c r="Q5714" t="s">
        <v>7537</v>
      </c>
    </row>
    <row r="5715" spans="2:17" x14ac:dyDescent="0.2">
      <c r="B5715" t="s">
        <v>5285</v>
      </c>
      <c r="C5715">
        <v>3</v>
      </c>
      <c r="D5715" s="6" t="s">
        <v>5314</v>
      </c>
      <c r="E5715" s="8" t="s">
        <v>5094</v>
      </c>
      <c r="F5715" t="s">
        <v>6231</v>
      </c>
      <c r="G5715">
        <v>12</v>
      </c>
      <c r="Q5715" t="s">
        <v>7538</v>
      </c>
    </row>
    <row r="5716" spans="2:17" x14ac:dyDescent="0.2">
      <c r="B5716" t="s">
        <v>5285</v>
      </c>
      <c r="C5716">
        <v>3</v>
      </c>
      <c r="D5716" s="6" t="s">
        <v>5314</v>
      </c>
      <c r="E5716" s="8" t="s">
        <v>5097</v>
      </c>
      <c r="F5716" t="s">
        <v>6231</v>
      </c>
      <c r="G5716">
        <v>18</v>
      </c>
      <c r="Q5716" t="s">
        <v>7539</v>
      </c>
    </row>
    <row r="5717" spans="2:17" x14ac:dyDescent="0.2">
      <c r="B5717" t="s">
        <v>5285</v>
      </c>
      <c r="C5717">
        <v>3</v>
      </c>
      <c r="D5717" s="6" t="s">
        <v>5314</v>
      </c>
      <c r="E5717" s="8" t="s">
        <v>5098</v>
      </c>
      <c r="F5717" t="s">
        <v>6231</v>
      </c>
      <c r="G5717">
        <v>37</v>
      </c>
      <c r="Q5717" t="s">
        <v>7540</v>
      </c>
    </row>
    <row r="5718" spans="2:17" x14ac:dyDescent="0.2">
      <c r="B5718" t="s">
        <v>5285</v>
      </c>
      <c r="C5718">
        <v>3</v>
      </c>
      <c r="D5718" s="6" t="s">
        <v>5314</v>
      </c>
      <c r="E5718">
        <v>10</v>
      </c>
      <c r="F5718" t="s">
        <v>6231</v>
      </c>
      <c r="G5718">
        <v>15</v>
      </c>
      <c r="Q5718" t="s">
        <v>7541</v>
      </c>
    </row>
    <row r="5719" spans="2:17" x14ac:dyDescent="0.2">
      <c r="B5719" t="s">
        <v>5285</v>
      </c>
      <c r="C5719">
        <v>3</v>
      </c>
      <c r="D5719" s="6" t="s">
        <v>5314</v>
      </c>
      <c r="E5719">
        <v>11</v>
      </c>
      <c r="F5719" t="s">
        <v>6282</v>
      </c>
      <c r="G5719">
        <v>24</v>
      </c>
      <c r="Q5719" t="s">
        <v>7542</v>
      </c>
    </row>
    <row r="5720" spans="2:17" x14ac:dyDescent="0.2">
      <c r="B5720" t="s">
        <v>5285</v>
      </c>
      <c r="C5720">
        <v>3</v>
      </c>
      <c r="D5720" s="6" t="s">
        <v>5314</v>
      </c>
      <c r="E5720">
        <v>12</v>
      </c>
      <c r="F5720" t="s">
        <v>6283</v>
      </c>
      <c r="G5720">
        <v>5</v>
      </c>
      <c r="Q5720" t="s">
        <v>7543</v>
      </c>
    </row>
    <row r="5721" spans="2:17" x14ac:dyDescent="0.2">
      <c r="B5721" t="s">
        <v>5285</v>
      </c>
      <c r="C5721">
        <v>3</v>
      </c>
      <c r="D5721" s="6" t="s">
        <v>5314</v>
      </c>
      <c r="E5721">
        <v>13</v>
      </c>
      <c r="F5721" t="s">
        <v>6283</v>
      </c>
      <c r="G5721">
        <v>5</v>
      </c>
      <c r="Q5721" t="s">
        <v>7544</v>
      </c>
    </row>
    <row r="5722" spans="2:17" x14ac:dyDescent="0.2">
      <c r="B5722" t="s">
        <v>5285</v>
      </c>
      <c r="C5722">
        <v>3</v>
      </c>
      <c r="D5722" s="6" t="s">
        <v>5314</v>
      </c>
      <c r="E5722">
        <v>14</v>
      </c>
      <c r="F5722" t="s">
        <v>6282</v>
      </c>
      <c r="G5722">
        <v>29</v>
      </c>
      <c r="Q5722" t="s">
        <v>7545</v>
      </c>
    </row>
    <row r="5723" spans="2:17" x14ac:dyDescent="0.2">
      <c r="B5723" t="s">
        <v>5285</v>
      </c>
      <c r="C5723">
        <v>3</v>
      </c>
      <c r="D5723" s="6" t="s">
        <v>5314</v>
      </c>
      <c r="E5723">
        <v>20</v>
      </c>
      <c r="F5723" t="s">
        <v>6978</v>
      </c>
      <c r="G5723">
        <v>1</v>
      </c>
      <c r="Q5723" t="s">
        <v>7531</v>
      </c>
    </row>
    <row r="5724" spans="2:17" x14ac:dyDescent="0.2">
      <c r="B5724" t="s">
        <v>5285</v>
      </c>
      <c r="C5724">
        <v>3</v>
      </c>
      <c r="D5724" s="6" t="s">
        <v>5314</v>
      </c>
      <c r="E5724">
        <v>19</v>
      </c>
      <c r="F5724" t="s">
        <v>6978</v>
      </c>
      <c r="G5724" t="s">
        <v>114</v>
      </c>
      <c r="Q5724" t="s">
        <v>7532</v>
      </c>
    </row>
    <row r="5725" spans="2:17" x14ac:dyDescent="0.2">
      <c r="B5725" t="s">
        <v>5285</v>
      </c>
      <c r="C5725">
        <v>3</v>
      </c>
      <c r="D5725" s="6" t="s">
        <v>5314</v>
      </c>
      <c r="E5725">
        <v>18</v>
      </c>
      <c r="F5725" t="s">
        <v>6978</v>
      </c>
      <c r="G5725">
        <v>1</v>
      </c>
      <c r="Q5725" t="s">
        <v>7533</v>
      </c>
    </row>
    <row r="5726" spans="2:17" x14ac:dyDescent="0.2">
      <c r="B5726" t="s">
        <v>5285</v>
      </c>
      <c r="C5726">
        <v>3</v>
      </c>
      <c r="D5726" s="6" t="s">
        <v>5314</v>
      </c>
      <c r="E5726">
        <v>17</v>
      </c>
      <c r="F5726" t="s">
        <v>6978</v>
      </c>
      <c r="G5726" t="s">
        <v>114</v>
      </c>
      <c r="Q5726" t="s">
        <v>7534</v>
      </c>
    </row>
    <row r="5727" spans="2:17" x14ac:dyDescent="0.2">
      <c r="B5727" t="s">
        <v>5285</v>
      </c>
      <c r="C5727">
        <v>3</v>
      </c>
      <c r="D5727" s="6" t="s">
        <v>5314</v>
      </c>
      <c r="E5727">
        <v>16</v>
      </c>
      <c r="F5727" t="s">
        <v>6978</v>
      </c>
      <c r="G5727">
        <v>1</v>
      </c>
      <c r="Q5727" t="s">
        <v>7535</v>
      </c>
    </row>
    <row r="5728" spans="2:17" x14ac:dyDescent="0.2">
      <c r="B5728" t="s">
        <v>5285</v>
      </c>
      <c r="C5728">
        <v>3</v>
      </c>
      <c r="D5728" s="6" t="s">
        <v>5314</v>
      </c>
      <c r="E5728">
        <v>15</v>
      </c>
      <c r="F5728" t="s">
        <v>6978</v>
      </c>
      <c r="G5728" t="s">
        <v>114</v>
      </c>
      <c r="Q5728" t="s">
        <v>7536</v>
      </c>
    </row>
    <row r="5729" spans="2:17" x14ac:dyDescent="0.2">
      <c r="B5729" t="s">
        <v>5285</v>
      </c>
      <c r="C5729">
        <v>3</v>
      </c>
      <c r="D5729" s="6" t="s">
        <v>5314</v>
      </c>
      <c r="E5729">
        <v>25</v>
      </c>
      <c r="F5729" t="s">
        <v>1389</v>
      </c>
      <c r="G5729">
        <v>16</v>
      </c>
      <c r="Q5729" t="s">
        <v>7547</v>
      </c>
    </row>
    <row r="5730" spans="2:17" x14ac:dyDescent="0.2">
      <c r="B5730" t="s">
        <v>5285</v>
      </c>
      <c r="C5730">
        <v>3</v>
      </c>
      <c r="D5730" s="6" t="s">
        <v>5314</v>
      </c>
      <c r="E5730">
        <v>27</v>
      </c>
      <c r="F5730" t="s">
        <v>1389</v>
      </c>
      <c r="G5730">
        <v>6</v>
      </c>
      <c r="Q5730" t="s">
        <v>7546</v>
      </c>
    </row>
    <row r="5731" spans="2:17" x14ac:dyDescent="0.2">
      <c r="B5731" t="s">
        <v>5285</v>
      </c>
      <c r="C5731">
        <v>3</v>
      </c>
      <c r="D5731" s="6" t="s">
        <v>5314</v>
      </c>
      <c r="E5731">
        <v>29</v>
      </c>
      <c r="F5731" t="s">
        <v>1389</v>
      </c>
      <c r="G5731">
        <v>1</v>
      </c>
      <c r="Q5731" t="s">
        <v>7550</v>
      </c>
    </row>
    <row r="5732" spans="2:17" x14ac:dyDescent="0.2">
      <c r="B5732" t="s">
        <v>5285</v>
      </c>
      <c r="C5732">
        <v>3</v>
      </c>
      <c r="D5732" s="6" t="s">
        <v>5314</v>
      </c>
      <c r="E5732">
        <v>28</v>
      </c>
      <c r="F5732" t="s">
        <v>1389</v>
      </c>
      <c r="G5732" t="s">
        <v>114</v>
      </c>
      <c r="Q5732" t="s">
        <v>7549</v>
      </c>
    </row>
    <row r="5733" spans="2:17" x14ac:dyDescent="0.2">
      <c r="B5733" t="s">
        <v>5285</v>
      </c>
      <c r="C5733">
        <v>3</v>
      </c>
      <c r="D5733" s="6" t="s">
        <v>5314</v>
      </c>
      <c r="E5733">
        <v>30</v>
      </c>
      <c r="F5733" t="s">
        <v>1389</v>
      </c>
      <c r="G5733">
        <v>5</v>
      </c>
      <c r="Q5733" t="s">
        <v>7548</v>
      </c>
    </row>
    <row r="5734" spans="2:17" x14ac:dyDescent="0.2">
      <c r="B5734" t="s">
        <v>5285</v>
      </c>
      <c r="C5734">
        <v>3</v>
      </c>
      <c r="D5734" s="6" t="s">
        <v>5314</v>
      </c>
      <c r="E5734">
        <v>31</v>
      </c>
      <c r="F5734" t="s">
        <v>1389</v>
      </c>
      <c r="G5734">
        <v>27</v>
      </c>
      <c r="M5734">
        <v>5</v>
      </c>
    </row>
    <row r="5735" spans="2:17" x14ac:dyDescent="0.2">
      <c r="B5735" t="s">
        <v>5285</v>
      </c>
      <c r="C5735">
        <v>3</v>
      </c>
      <c r="D5735" s="6" t="s">
        <v>5314</v>
      </c>
      <c r="E5735">
        <v>21</v>
      </c>
      <c r="F5735" t="s">
        <v>5385</v>
      </c>
      <c r="G5735">
        <v>3</v>
      </c>
      <c r="Q5735" t="s">
        <v>7551</v>
      </c>
    </row>
    <row r="5736" spans="2:17" x14ac:dyDescent="0.2">
      <c r="B5736" t="s">
        <v>5285</v>
      </c>
      <c r="C5736">
        <v>3</v>
      </c>
      <c r="D5736" s="6" t="s">
        <v>5314</v>
      </c>
      <c r="E5736">
        <v>22</v>
      </c>
      <c r="F5736" t="s">
        <v>5385</v>
      </c>
      <c r="G5736">
        <v>3</v>
      </c>
      <c r="Q5736" t="s">
        <v>7552</v>
      </c>
    </row>
    <row r="5737" spans="2:17" x14ac:dyDescent="0.2">
      <c r="B5737" t="s">
        <v>5285</v>
      </c>
      <c r="C5737">
        <v>3</v>
      </c>
      <c r="D5737" s="6" t="s">
        <v>5314</v>
      </c>
      <c r="E5737">
        <v>23</v>
      </c>
      <c r="F5737" t="s">
        <v>5385</v>
      </c>
      <c r="G5737">
        <v>3</v>
      </c>
      <c r="Q5737" t="s">
        <v>7553</v>
      </c>
    </row>
    <row r="5738" spans="2:17" x14ac:dyDescent="0.2">
      <c r="B5738" t="s">
        <v>5285</v>
      </c>
      <c r="C5738">
        <v>3</v>
      </c>
      <c r="D5738" s="6" t="s">
        <v>5314</v>
      </c>
      <c r="E5738">
        <v>24</v>
      </c>
      <c r="F5738" t="s">
        <v>5385</v>
      </c>
      <c r="G5738">
        <v>3</v>
      </c>
      <c r="Q5738" t="s">
        <v>7554</v>
      </c>
    </row>
    <row r="5739" spans="2:17" x14ac:dyDescent="0.2">
      <c r="B5739" t="s">
        <v>5285</v>
      </c>
      <c r="C5739">
        <v>3</v>
      </c>
      <c r="D5739" s="6" t="s">
        <v>5314</v>
      </c>
      <c r="E5739" t="s">
        <v>5056</v>
      </c>
      <c r="F5739" t="s">
        <v>1389</v>
      </c>
      <c r="G5739">
        <v>257</v>
      </c>
      <c r="M5739">
        <v>52</v>
      </c>
    </row>
    <row r="5740" spans="2:17" x14ac:dyDescent="0.2">
      <c r="B5740" t="s">
        <v>5285</v>
      </c>
      <c r="C5740">
        <v>3</v>
      </c>
      <c r="D5740" s="6" t="s">
        <v>5314</v>
      </c>
      <c r="E5740">
        <v>33</v>
      </c>
      <c r="F5740" t="s">
        <v>1538</v>
      </c>
      <c r="G5740">
        <v>3</v>
      </c>
      <c r="Q5740" t="s">
        <v>7564</v>
      </c>
    </row>
    <row r="5741" spans="2:17" x14ac:dyDescent="0.2">
      <c r="B5741" t="s">
        <v>5285</v>
      </c>
      <c r="C5741">
        <v>3</v>
      </c>
      <c r="D5741" s="6" t="s">
        <v>5314</v>
      </c>
      <c r="E5741">
        <v>34</v>
      </c>
      <c r="F5741" t="s">
        <v>1538</v>
      </c>
      <c r="G5741">
        <v>11</v>
      </c>
      <c r="Q5741" t="s">
        <v>7563</v>
      </c>
    </row>
    <row r="5742" spans="2:17" x14ac:dyDescent="0.2">
      <c r="B5742" t="s">
        <v>5285</v>
      </c>
      <c r="C5742">
        <v>3</v>
      </c>
      <c r="D5742" s="6" t="s">
        <v>5314</v>
      </c>
      <c r="E5742">
        <v>35</v>
      </c>
      <c r="F5742" t="s">
        <v>1538</v>
      </c>
      <c r="G5742">
        <v>75</v>
      </c>
      <c r="Q5742" t="s">
        <v>7562</v>
      </c>
    </row>
    <row r="5743" spans="2:17" x14ac:dyDescent="0.2">
      <c r="B5743" t="s">
        <v>5285</v>
      </c>
      <c r="C5743">
        <v>3</v>
      </c>
      <c r="D5743" s="6" t="s">
        <v>5314</v>
      </c>
      <c r="E5743">
        <v>36</v>
      </c>
      <c r="F5743" t="s">
        <v>1538</v>
      </c>
      <c r="G5743">
        <v>23</v>
      </c>
      <c r="Q5743" t="s">
        <v>7560</v>
      </c>
    </row>
    <row r="5744" spans="2:17" x14ac:dyDescent="0.2">
      <c r="B5744" t="s">
        <v>5285</v>
      </c>
      <c r="C5744">
        <v>3</v>
      </c>
      <c r="D5744" s="6" t="s">
        <v>5314</v>
      </c>
      <c r="E5744">
        <v>37</v>
      </c>
      <c r="F5744" t="s">
        <v>1538</v>
      </c>
      <c r="G5744">
        <v>30</v>
      </c>
      <c r="Q5744" t="s">
        <v>7559</v>
      </c>
    </row>
    <row r="5745" spans="2:17" x14ac:dyDescent="0.2">
      <c r="B5745" t="s">
        <v>5285</v>
      </c>
      <c r="C5745">
        <v>3</v>
      </c>
      <c r="D5745" s="6" t="s">
        <v>5314</v>
      </c>
      <c r="E5745">
        <v>38</v>
      </c>
      <c r="F5745" t="s">
        <v>1538</v>
      </c>
      <c r="G5745">
        <v>123</v>
      </c>
      <c r="M5745">
        <v>5</v>
      </c>
    </row>
    <row r="5746" spans="2:17" x14ac:dyDescent="0.2">
      <c r="B5746" t="s">
        <v>5285</v>
      </c>
      <c r="C5746">
        <v>3</v>
      </c>
      <c r="D5746" s="6" t="s">
        <v>5314</v>
      </c>
      <c r="E5746">
        <v>39</v>
      </c>
      <c r="F5746" t="s">
        <v>1538</v>
      </c>
      <c r="G5746">
        <v>8</v>
      </c>
      <c r="Q5746" t="s">
        <v>7557</v>
      </c>
    </row>
    <row r="5747" spans="2:17" x14ac:dyDescent="0.2">
      <c r="B5747" t="s">
        <v>5285</v>
      </c>
      <c r="C5747">
        <v>3</v>
      </c>
      <c r="D5747" s="6" t="s">
        <v>5314</v>
      </c>
      <c r="E5747">
        <v>40</v>
      </c>
      <c r="F5747" t="s">
        <v>1538</v>
      </c>
      <c r="G5747">
        <v>2</v>
      </c>
      <c r="Q5747" t="s">
        <v>7558</v>
      </c>
    </row>
    <row r="5748" spans="2:17" x14ac:dyDescent="0.2">
      <c r="B5748" t="s">
        <v>5285</v>
      </c>
      <c r="C5748">
        <v>3</v>
      </c>
      <c r="D5748" s="6" t="s">
        <v>5314</v>
      </c>
      <c r="E5748">
        <v>41</v>
      </c>
      <c r="F5748" t="s">
        <v>1538</v>
      </c>
      <c r="G5748">
        <v>2</v>
      </c>
      <c r="Q5748" t="s">
        <v>7561</v>
      </c>
    </row>
    <row r="5749" spans="2:17" x14ac:dyDescent="0.2">
      <c r="B5749" t="s">
        <v>5285</v>
      </c>
      <c r="C5749">
        <v>3</v>
      </c>
      <c r="D5749" s="6" t="s">
        <v>5314</v>
      </c>
      <c r="E5749">
        <v>42</v>
      </c>
      <c r="F5749" t="s">
        <v>1538</v>
      </c>
      <c r="G5749">
        <v>2</v>
      </c>
      <c r="Q5749" t="s">
        <v>7556</v>
      </c>
    </row>
    <row r="5750" spans="2:17" x14ac:dyDescent="0.2">
      <c r="B5750" t="s">
        <v>5285</v>
      </c>
      <c r="C5750">
        <v>3</v>
      </c>
      <c r="D5750" s="6" t="s">
        <v>5314</v>
      </c>
      <c r="E5750">
        <v>43</v>
      </c>
      <c r="F5750" t="s">
        <v>1538</v>
      </c>
      <c r="G5750">
        <v>4</v>
      </c>
      <c r="Q5750" t="s">
        <v>7555</v>
      </c>
    </row>
    <row r="5751" spans="2:17" x14ac:dyDescent="0.2">
      <c r="B5751" t="s">
        <v>5285</v>
      </c>
      <c r="C5751">
        <v>3</v>
      </c>
      <c r="D5751" s="6" t="s">
        <v>5314</v>
      </c>
      <c r="E5751">
        <v>44</v>
      </c>
      <c r="F5751" t="s">
        <v>1538</v>
      </c>
      <c r="G5751">
        <v>11</v>
      </c>
      <c r="M5751">
        <v>3</v>
      </c>
    </row>
    <row r="5752" spans="2:17" x14ac:dyDescent="0.2">
      <c r="B5752" t="s">
        <v>5285</v>
      </c>
      <c r="C5752">
        <v>3</v>
      </c>
      <c r="D5752" s="6" t="s">
        <v>5314</v>
      </c>
      <c r="E5752" t="s">
        <v>5056</v>
      </c>
      <c r="F5752" t="s">
        <v>1538</v>
      </c>
      <c r="G5752">
        <v>29</v>
      </c>
      <c r="M5752">
        <v>2</v>
      </c>
    </row>
    <row r="5753" spans="2:17" x14ac:dyDescent="0.2">
      <c r="B5753" t="s">
        <v>5285</v>
      </c>
      <c r="C5753">
        <v>3</v>
      </c>
      <c r="D5753" s="6" t="s">
        <v>5314</v>
      </c>
      <c r="E5753">
        <v>45</v>
      </c>
      <c r="F5753" t="s">
        <v>7138</v>
      </c>
      <c r="G5753">
        <v>33</v>
      </c>
      <c r="M5753">
        <v>7</v>
      </c>
      <c r="Q5753" t="s">
        <v>7578</v>
      </c>
    </row>
    <row r="5754" spans="2:17" x14ac:dyDescent="0.2">
      <c r="B5754" t="s">
        <v>5285</v>
      </c>
      <c r="C5754">
        <v>3</v>
      </c>
      <c r="D5754" s="6" t="s">
        <v>5314</v>
      </c>
      <c r="E5754">
        <v>49</v>
      </c>
      <c r="F5754" t="s">
        <v>810</v>
      </c>
      <c r="G5754">
        <v>40</v>
      </c>
    </row>
    <row r="5755" spans="2:17" x14ac:dyDescent="0.2">
      <c r="B5755" t="s">
        <v>5285</v>
      </c>
      <c r="C5755">
        <v>3</v>
      </c>
      <c r="D5755" s="6" t="s">
        <v>5314</v>
      </c>
      <c r="E5755">
        <v>46</v>
      </c>
      <c r="F5755" t="s">
        <v>106</v>
      </c>
      <c r="G5755">
        <v>7</v>
      </c>
    </row>
    <row r="5756" spans="2:17" x14ac:dyDescent="0.2">
      <c r="B5756" t="s">
        <v>5285</v>
      </c>
      <c r="C5756">
        <v>3</v>
      </c>
      <c r="D5756" s="6" t="s">
        <v>5314</v>
      </c>
      <c r="E5756">
        <v>51</v>
      </c>
      <c r="F5756" t="s">
        <v>3875</v>
      </c>
      <c r="G5756">
        <v>7</v>
      </c>
    </row>
    <row r="5757" spans="2:17" x14ac:dyDescent="0.2">
      <c r="B5757" t="s">
        <v>5285</v>
      </c>
      <c r="C5757">
        <v>3</v>
      </c>
      <c r="D5757" s="6" t="s">
        <v>5314</v>
      </c>
      <c r="E5757">
        <v>52</v>
      </c>
      <c r="F5757" t="s">
        <v>5582</v>
      </c>
      <c r="G5757">
        <v>2</v>
      </c>
      <c r="M5757">
        <v>2</v>
      </c>
    </row>
    <row r="5758" spans="2:17" x14ac:dyDescent="0.2">
      <c r="B5758" t="s">
        <v>5285</v>
      </c>
      <c r="C5758">
        <v>3</v>
      </c>
      <c r="D5758" s="6" t="s">
        <v>5314</v>
      </c>
      <c r="E5758">
        <v>50</v>
      </c>
      <c r="F5758" t="s">
        <v>5574</v>
      </c>
      <c r="G5758">
        <v>17</v>
      </c>
    </row>
    <row r="5759" spans="2:17" x14ac:dyDescent="0.2">
      <c r="B5759" t="s">
        <v>5285</v>
      </c>
      <c r="C5759">
        <v>3</v>
      </c>
      <c r="D5759" s="6" t="s">
        <v>5314</v>
      </c>
      <c r="E5759">
        <v>47</v>
      </c>
      <c r="F5759" t="s">
        <v>121</v>
      </c>
      <c r="G5759">
        <v>8</v>
      </c>
    </row>
    <row r="5760" spans="2:17" x14ac:dyDescent="0.2">
      <c r="B5760" t="s">
        <v>5285</v>
      </c>
      <c r="C5760">
        <v>3</v>
      </c>
      <c r="D5760" s="6" t="s">
        <v>5314</v>
      </c>
      <c r="E5760">
        <v>48</v>
      </c>
      <c r="F5760" t="s">
        <v>3431</v>
      </c>
      <c r="G5760">
        <v>4</v>
      </c>
    </row>
    <row r="5761" spans="2:17" x14ac:dyDescent="0.2">
      <c r="B5761" t="s">
        <v>5285</v>
      </c>
      <c r="C5761">
        <v>4</v>
      </c>
      <c r="D5761" s="6" t="s">
        <v>5314</v>
      </c>
      <c r="E5761" s="8" t="s">
        <v>5082</v>
      </c>
      <c r="F5761" t="s">
        <v>1559</v>
      </c>
      <c r="G5761">
        <v>1</v>
      </c>
      <c r="Q5761" t="s">
        <v>7577</v>
      </c>
    </row>
    <row r="5762" spans="2:17" x14ac:dyDescent="0.2">
      <c r="B5762" t="s">
        <v>5285</v>
      </c>
      <c r="C5762">
        <v>4</v>
      </c>
      <c r="D5762" s="6" t="s">
        <v>5314</v>
      </c>
      <c r="E5762" s="8" t="s">
        <v>5089</v>
      </c>
      <c r="F5762" t="s">
        <v>1559</v>
      </c>
      <c r="G5762">
        <v>1</v>
      </c>
      <c r="Q5762" t="s">
        <v>7576</v>
      </c>
    </row>
    <row r="5763" spans="2:17" x14ac:dyDescent="0.2">
      <c r="B5763" t="s">
        <v>5285</v>
      </c>
      <c r="C5763">
        <v>4</v>
      </c>
      <c r="D5763" s="6" t="s">
        <v>5314</v>
      </c>
      <c r="E5763" s="8" t="s">
        <v>5090</v>
      </c>
      <c r="F5763" t="s">
        <v>1538</v>
      </c>
      <c r="G5763">
        <v>1</v>
      </c>
      <c r="Q5763" t="s">
        <v>7575</v>
      </c>
    </row>
    <row r="5764" spans="2:17" x14ac:dyDescent="0.2">
      <c r="B5764" t="s">
        <v>5285</v>
      </c>
      <c r="C5764">
        <v>4</v>
      </c>
      <c r="D5764" s="6" t="s">
        <v>5314</v>
      </c>
      <c r="E5764" s="8" t="s">
        <v>5091</v>
      </c>
      <c r="F5764" t="s">
        <v>1538</v>
      </c>
      <c r="G5764">
        <v>2</v>
      </c>
      <c r="Q5764" t="s">
        <v>7574</v>
      </c>
    </row>
    <row r="5765" spans="2:17" x14ac:dyDescent="0.2">
      <c r="B5765" t="s">
        <v>5285</v>
      </c>
      <c r="C5765">
        <v>4</v>
      </c>
      <c r="D5765" s="6" t="s">
        <v>5314</v>
      </c>
      <c r="E5765" s="8" t="s">
        <v>5092</v>
      </c>
      <c r="F5765" t="s">
        <v>6978</v>
      </c>
      <c r="G5765" t="s">
        <v>114</v>
      </c>
      <c r="Q5765" t="s">
        <v>7573</v>
      </c>
    </row>
    <row r="5766" spans="2:17" x14ac:dyDescent="0.2">
      <c r="B5766" t="s">
        <v>5285</v>
      </c>
      <c r="C5766">
        <v>4</v>
      </c>
      <c r="D5766" s="6" t="s">
        <v>5314</v>
      </c>
      <c r="E5766" s="8" t="s">
        <v>5094</v>
      </c>
      <c r="F5766" t="s">
        <v>6978</v>
      </c>
      <c r="G5766" t="s">
        <v>114</v>
      </c>
      <c r="Q5766" t="s">
        <v>7572</v>
      </c>
    </row>
    <row r="5767" spans="2:17" x14ac:dyDescent="0.2">
      <c r="B5767" t="s">
        <v>5285</v>
      </c>
      <c r="C5767">
        <v>4</v>
      </c>
      <c r="D5767" s="6" t="s">
        <v>5314</v>
      </c>
      <c r="E5767" s="8" t="s">
        <v>5097</v>
      </c>
      <c r="F5767" t="s">
        <v>6978</v>
      </c>
      <c r="G5767" t="s">
        <v>114</v>
      </c>
      <c r="Q5767" t="s">
        <v>7571</v>
      </c>
    </row>
    <row r="5768" spans="2:17" x14ac:dyDescent="0.2">
      <c r="B5768" t="s">
        <v>5285</v>
      </c>
      <c r="C5768">
        <v>4</v>
      </c>
      <c r="D5768" s="6" t="s">
        <v>5314</v>
      </c>
      <c r="E5768" s="8" t="s">
        <v>5098</v>
      </c>
      <c r="F5768" t="s">
        <v>6978</v>
      </c>
      <c r="G5768" t="s">
        <v>114</v>
      </c>
      <c r="Q5768" t="s">
        <v>7570</v>
      </c>
    </row>
    <row r="5769" spans="2:17" x14ac:dyDescent="0.2">
      <c r="B5769" t="s">
        <v>5285</v>
      </c>
      <c r="C5769">
        <v>4</v>
      </c>
      <c r="D5769" s="6" t="s">
        <v>5314</v>
      </c>
      <c r="E5769" s="8" t="s">
        <v>5166</v>
      </c>
      <c r="F5769" t="s">
        <v>1389</v>
      </c>
      <c r="G5769">
        <v>14</v>
      </c>
    </row>
    <row r="5770" spans="2:17" x14ac:dyDescent="0.2">
      <c r="B5770" t="s">
        <v>5285</v>
      </c>
      <c r="C5770">
        <v>4</v>
      </c>
      <c r="D5770" s="6" t="s">
        <v>5314</v>
      </c>
      <c r="E5770" s="8" t="s">
        <v>5081</v>
      </c>
      <c r="F5770" t="s">
        <v>1264</v>
      </c>
      <c r="H5770">
        <f>3.9-0.344</f>
        <v>3.556</v>
      </c>
      <c r="O5770" t="s">
        <v>5669</v>
      </c>
    </row>
    <row r="5771" spans="2:17" x14ac:dyDescent="0.2">
      <c r="B5771" t="s">
        <v>5285</v>
      </c>
      <c r="C5771">
        <v>4</v>
      </c>
      <c r="D5771" s="6" t="s">
        <v>5314</v>
      </c>
      <c r="E5771">
        <v>11</v>
      </c>
      <c r="F5771" t="s">
        <v>1389</v>
      </c>
      <c r="G5771">
        <v>4</v>
      </c>
      <c r="Q5771" t="s">
        <v>7565</v>
      </c>
    </row>
    <row r="5772" spans="2:17" x14ac:dyDescent="0.2">
      <c r="B5772" t="s">
        <v>5285</v>
      </c>
      <c r="C5772">
        <v>4</v>
      </c>
      <c r="D5772" s="6" t="s">
        <v>5314</v>
      </c>
      <c r="E5772">
        <v>12</v>
      </c>
      <c r="F5772" t="s">
        <v>1389</v>
      </c>
      <c r="G5772">
        <v>1</v>
      </c>
      <c r="Q5772" t="s">
        <v>7566</v>
      </c>
    </row>
    <row r="5773" spans="2:17" x14ac:dyDescent="0.2">
      <c r="B5773" t="s">
        <v>5285</v>
      </c>
      <c r="C5773">
        <v>4</v>
      </c>
      <c r="D5773" s="6" t="s">
        <v>5314</v>
      </c>
      <c r="E5773">
        <v>13</v>
      </c>
      <c r="F5773" t="s">
        <v>1389</v>
      </c>
      <c r="G5773" t="s">
        <v>114</v>
      </c>
      <c r="Q5773" t="s">
        <v>7567</v>
      </c>
    </row>
    <row r="5774" spans="2:17" x14ac:dyDescent="0.2">
      <c r="B5774" t="s">
        <v>5285</v>
      </c>
      <c r="C5774">
        <v>4</v>
      </c>
      <c r="D5774" s="6" t="s">
        <v>5314</v>
      </c>
      <c r="E5774">
        <v>14</v>
      </c>
      <c r="F5774" t="s">
        <v>1389</v>
      </c>
      <c r="G5774" t="s">
        <v>114</v>
      </c>
      <c r="Q5774" t="s">
        <v>7568</v>
      </c>
    </row>
    <row r="5775" spans="2:17" x14ac:dyDescent="0.2">
      <c r="B5775" t="s">
        <v>5285</v>
      </c>
      <c r="C5775">
        <v>4</v>
      </c>
      <c r="D5775" s="6" t="s">
        <v>5314</v>
      </c>
      <c r="E5775">
        <v>16</v>
      </c>
      <c r="F5775" t="s">
        <v>1389</v>
      </c>
      <c r="G5775">
        <v>16</v>
      </c>
      <c r="M5775">
        <v>5</v>
      </c>
    </row>
    <row r="5776" spans="2:17" x14ac:dyDescent="0.2">
      <c r="B5776" t="s">
        <v>5285</v>
      </c>
      <c r="C5776">
        <v>4</v>
      </c>
      <c r="D5776" s="6" t="s">
        <v>5314</v>
      </c>
      <c r="E5776" t="s">
        <v>5056</v>
      </c>
      <c r="F5776" t="s">
        <v>1389</v>
      </c>
      <c r="G5776">
        <v>2</v>
      </c>
      <c r="M5776">
        <v>7</v>
      </c>
    </row>
    <row r="5777" spans="2:17" x14ac:dyDescent="0.2">
      <c r="B5777" t="s">
        <v>5285</v>
      </c>
      <c r="C5777">
        <v>4</v>
      </c>
      <c r="D5777" s="6" t="s">
        <v>5314</v>
      </c>
      <c r="E5777">
        <v>15</v>
      </c>
      <c r="F5777" t="s">
        <v>1425</v>
      </c>
      <c r="G5777">
        <v>19</v>
      </c>
      <c r="Q5777" t="s">
        <v>7569</v>
      </c>
    </row>
    <row r="5778" spans="2:17" x14ac:dyDescent="0.2">
      <c r="B5778" t="s">
        <v>5285</v>
      </c>
      <c r="C5778">
        <v>4</v>
      </c>
      <c r="D5778" s="6" t="s">
        <v>5314</v>
      </c>
      <c r="E5778" t="s">
        <v>5056</v>
      </c>
      <c r="F5778" t="s">
        <v>2684</v>
      </c>
      <c r="G5778">
        <v>1</v>
      </c>
      <c r="M5778">
        <v>0.5</v>
      </c>
      <c r="O5778" t="s">
        <v>5670</v>
      </c>
    </row>
    <row r="5779" spans="2:17" x14ac:dyDescent="0.2">
      <c r="B5779" t="s">
        <v>5285</v>
      </c>
      <c r="C5779">
        <v>4</v>
      </c>
      <c r="D5779" s="6" t="s">
        <v>5314</v>
      </c>
      <c r="E5779">
        <v>21</v>
      </c>
      <c r="F5779" t="s">
        <v>7138</v>
      </c>
      <c r="G5779">
        <v>2</v>
      </c>
      <c r="M5779">
        <v>4</v>
      </c>
      <c r="Q5779" t="s">
        <v>7579</v>
      </c>
    </row>
    <row r="5780" spans="2:17" x14ac:dyDescent="0.2">
      <c r="B5780" t="s">
        <v>5285</v>
      </c>
      <c r="C5780">
        <v>4</v>
      </c>
      <c r="D5780" s="6" t="s">
        <v>5314</v>
      </c>
      <c r="E5780">
        <v>18</v>
      </c>
      <c r="F5780" t="s">
        <v>106</v>
      </c>
      <c r="G5780">
        <v>12</v>
      </c>
    </row>
    <row r="5781" spans="2:17" x14ac:dyDescent="0.2">
      <c r="B5781" t="s">
        <v>5285</v>
      </c>
      <c r="C5781">
        <v>4</v>
      </c>
      <c r="D5781" s="6" t="s">
        <v>5314</v>
      </c>
      <c r="E5781">
        <v>20</v>
      </c>
      <c r="F5781" t="s">
        <v>5671</v>
      </c>
      <c r="G5781">
        <v>1</v>
      </c>
    </row>
    <row r="5782" spans="2:17" x14ac:dyDescent="0.2">
      <c r="B5782" t="s">
        <v>5285</v>
      </c>
      <c r="C5782">
        <v>4</v>
      </c>
      <c r="D5782" s="6" t="s">
        <v>5314</v>
      </c>
      <c r="E5782">
        <v>23</v>
      </c>
      <c r="F5782" t="s">
        <v>5582</v>
      </c>
      <c r="G5782">
        <v>4</v>
      </c>
      <c r="M5782">
        <v>3</v>
      </c>
    </row>
    <row r="5783" spans="2:17" x14ac:dyDescent="0.2">
      <c r="B5783" t="s">
        <v>5285</v>
      </c>
      <c r="C5783">
        <v>4</v>
      </c>
      <c r="D5783" s="6" t="s">
        <v>5314</v>
      </c>
      <c r="E5783">
        <v>22</v>
      </c>
      <c r="F5783" t="s">
        <v>3431</v>
      </c>
      <c r="G5783" t="s">
        <v>114</v>
      </c>
    </row>
    <row r="5784" spans="2:17" x14ac:dyDescent="0.2">
      <c r="B5784" t="s">
        <v>5285</v>
      </c>
      <c r="C5784">
        <v>4</v>
      </c>
      <c r="D5784" s="6" t="s">
        <v>5314</v>
      </c>
      <c r="E5784">
        <v>19</v>
      </c>
      <c r="F5784" t="s">
        <v>5574</v>
      </c>
      <c r="G5784">
        <v>35</v>
      </c>
    </row>
    <row r="5785" spans="2:17" x14ac:dyDescent="0.2">
      <c r="B5785" t="s">
        <v>5285</v>
      </c>
      <c r="C5785">
        <v>4</v>
      </c>
      <c r="D5785" s="6" t="s">
        <v>5314</v>
      </c>
      <c r="E5785">
        <v>17</v>
      </c>
      <c r="F5785" t="s">
        <v>3875</v>
      </c>
      <c r="G5785">
        <v>119</v>
      </c>
    </row>
    <row r="5786" spans="2:17" x14ac:dyDescent="0.2">
      <c r="B5786" t="s">
        <v>5285</v>
      </c>
      <c r="C5786">
        <v>4</v>
      </c>
      <c r="D5786" s="6" t="s">
        <v>5314</v>
      </c>
      <c r="E5786" t="s">
        <v>5056</v>
      </c>
      <c r="F5786" t="s">
        <v>1589</v>
      </c>
      <c r="G5786">
        <v>101</v>
      </c>
      <c r="O5786" t="s">
        <v>5672</v>
      </c>
    </row>
    <row r="5787" spans="2:17" x14ac:dyDescent="0.2">
      <c r="B5787" t="s">
        <v>5285</v>
      </c>
      <c r="C5787">
        <v>4</v>
      </c>
      <c r="D5787" s="6" t="s">
        <v>5314</v>
      </c>
      <c r="E5787">
        <v>24</v>
      </c>
      <c r="F5787" t="s">
        <v>5584</v>
      </c>
      <c r="G5787" s="8" t="s">
        <v>5089</v>
      </c>
      <c r="N5787">
        <v>0</v>
      </c>
      <c r="O5787" t="s">
        <v>5673</v>
      </c>
    </row>
    <row r="5788" spans="2:17" x14ac:dyDescent="0.2">
      <c r="B5788" t="s">
        <v>5285</v>
      </c>
      <c r="C5788">
        <v>5</v>
      </c>
      <c r="D5788" s="6" t="s">
        <v>5314</v>
      </c>
      <c r="E5788" s="8" t="s">
        <v>5081</v>
      </c>
      <c r="F5788" t="s">
        <v>1264</v>
      </c>
      <c r="H5788">
        <f>9.5-0.427+25.3-1.8+31.1-1.8</f>
        <v>61.873000000000012</v>
      </c>
      <c r="O5788" t="s">
        <v>5674</v>
      </c>
    </row>
    <row r="5789" spans="2:17" x14ac:dyDescent="0.2">
      <c r="B5789" t="s">
        <v>5285</v>
      </c>
      <c r="C5789">
        <v>6</v>
      </c>
      <c r="D5789" s="6" t="s">
        <v>5314</v>
      </c>
      <c r="E5789" s="8" t="s">
        <v>5097</v>
      </c>
      <c r="F5789" t="s">
        <v>1264</v>
      </c>
      <c r="H5789">
        <f>7.2-0.261+1/487-0.344</f>
        <v>6.597053388090349</v>
      </c>
      <c r="O5789" t="s">
        <v>5675</v>
      </c>
    </row>
    <row r="5790" spans="2:17" x14ac:dyDescent="0.2">
      <c r="B5790" t="s">
        <v>5285</v>
      </c>
      <c r="C5790">
        <v>6</v>
      </c>
      <c r="D5790" s="6" t="s">
        <v>5314</v>
      </c>
      <c r="E5790" s="8" t="s">
        <v>5098</v>
      </c>
      <c r="F5790" t="s">
        <v>6231</v>
      </c>
      <c r="G5790">
        <v>16</v>
      </c>
      <c r="Q5790" t="s">
        <v>7584</v>
      </c>
    </row>
    <row r="5791" spans="2:17" x14ac:dyDescent="0.2">
      <c r="B5791" t="s">
        <v>5285</v>
      </c>
      <c r="C5791">
        <v>6</v>
      </c>
      <c r="D5791" s="6" t="s">
        <v>5314</v>
      </c>
      <c r="E5791">
        <v>13</v>
      </c>
      <c r="F5791" t="s">
        <v>1425</v>
      </c>
      <c r="G5791">
        <v>2</v>
      </c>
    </row>
    <row r="5792" spans="2:17" x14ac:dyDescent="0.2">
      <c r="B5792" t="s">
        <v>5285</v>
      </c>
      <c r="C5792">
        <v>6</v>
      </c>
      <c r="D5792" s="6" t="s">
        <v>5314</v>
      </c>
      <c r="E5792">
        <v>12</v>
      </c>
      <c r="F5792" t="s">
        <v>1425</v>
      </c>
      <c r="G5792">
        <v>6</v>
      </c>
      <c r="Q5792" t="s">
        <v>7585</v>
      </c>
    </row>
    <row r="5793" spans="2:17" x14ac:dyDescent="0.2">
      <c r="B5793" t="s">
        <v>5285</v>
      </c>
      <c r="C5793">
        <v>6</v>
      </c>
      <c r="D5793" s="6" t="s">
        <v>5314</v>
      </c>
      <c r="E5793">
        <v>11</v>
      </c>
      <c r="F5793" t="s">
        <v>1425</v>
      </c>
      <c r="G5793">
        <v>4</v>
      </c>
      <c r="Q5793" t="s">
        <v>7586</v>
      </c>
    </row>
    <row r="5794" spans="2:17" x14ac:dyDescent="0.2">
      <c r="B5794" t="s">
        <v>5285</v>
      </c>
      <c r="C5794">
        <v>6</v>
      </c>
      <c r="D5794" s="6" t="s">
        <v>5314</v>
      </c>
      <c r="E5794">
        <v>10</v>
      </c>
      <c r="F5794" t="s">
        <v>1425</v>
      </c>
      <c r="G5794">
        <v>4</v>
      </c>
      <c r="Q5794" t="s">
        <v>7587</v>
      </c>
    </row>
    <row r="5795" spans="2:17" x14ac:dyDescent="0.2">
      <c r="B5795" t="s">
        <v>5285</v>
      </c>
      <c r="C5795">
        <v>6</v>
      </c>
      <c r="D5795" s="6" t="s">
        <v>5314</v>
      </c>
      <c r="E5795" s="8" t="s">
        <v>5081</v>
      </c>
      <c r="F5795" t="s">
        <v>5385</v>
      </c>
      <c r="G5795">
        <v>4</v>
      </c>
      <c r="Q5795" t="s">
        <v>7582</v>
      </c>
    </row>
    <row r="5796" spans="2:17" x14ac:dyDescent="0.2">
      <c r="B5796" t="s">
        <v>5285</v>
      </c>
      <c r="C5796">
        <v>6</v>
      </c>
      <c r="D5796" s="6" t="s">
        <v>5314</v>
      </c>
      <c r="E5796" s="8" t="s">
        <v>5082</v>
      </c>
      <c r="F5796" t="s">
        <v>5385</v>
      </c>
      <c r="G5796">
        <v>3</v>
      </c>
      <c r="Q5796" t="s">
        <v>7583</v>
      </c>
    </row>
    <row r="5797" spans="2:17" x14ac:dyDescent="0.2">
      <c r="B5797" t="s">
        <v>5285</v>
      </c>
      <c r="C5797">
        <v>6</v>
      </c>
      <c r="D5797" s="6" t="s">
        <v>5314</v>
      </c>
      <c r="E5797" s="8" t="s">
        <v>5089</v>
      </c>
      <c r="F5797" t="s">
        <v>5385</v>
      </c>
      <c r="G5797">
        <v>6</v>
      </c>
      <c r="Q5797" t="s">
        <v>7594</v>
      </c>
    </row>
    <row r="5798" spans="2:17" x14ac:dyDescent="0.2">
      <c r="B5798" t="s">
        <v>5285</v>
      </c>
      <c r="C5798">
        <v>6</v>
      </c>
      <c r="D5798" s="6" t="s">
        <v>5314</v>
      </c>
      <c r="E5798" s="8" t="s">
        <v>5090</v>
      </c>
      <c r="F5798" t="s">
        <v>5385</v>
      </c>
      <c r="G5798">
        <v>3</v>
      </c>
      <c r="Q5798" t="s">
        <v>7593</v>
      </c>
    </row>
    <row r="5799" spans="2:17" x14ac:dyDescent="0.2">
      <c r="B5799" t="s">
        <v>5285</v>
      </c>
      <c r="C5799">
        <v>6</v>
      </c>
      <c r="D5799" s="6" t="s">
        <v>5314</v>
      </c>
      <c r="E5799" s="8" t="s">
        <v>5091</v>
      </c>
      <c r="F5799" t="s">
        <v>5385</v>
      </c>
      <c r="G5799">
        <v>4</v>
      </c>
      <c r="Q5799" t="s">
        <v>7595</v>
      </c>
    </row>
    <row r="5800" spans="2:17" x14ac:dyDescent="0.2">
      <c r="B5800" t="s">
        <v>5285</v>
      </c>
      <c r="C5800">
        <v>6</v>
      </c>
      <c r="D5800" s="6" t="s">
        <v>5314</v>
      </c>
      <c r="E5800" s="8" t="s">
        <v>5092</v>
      </c>
      <c r="F5800" t="s">
        <v>5385</v>
      </c>
      <c r="G5800">
        <v>4</v>
      </c>
      <c r="M5800">
        <v>2</v>
      </c>
    </row>
    <row r="5801" spans="2:17" x14ac:dyDescent="0.2">
      <c r="B5801" t="s">
        <v>5285</v>
      </c>
      <c r="C5801">
        <v>6</v>
      </c>
      <c r="D5801" s="6" t="s">
        <v>5314</v>
      </c>
      <c r="E5801" s="8" t="s">
        <v>5094</v>
      </c>
      <c r="F5801" t="s">
        <v>6239</v>
      </c>
      <c r="G5801">
        <v>1</v>
      </c>
      <c r="M5801">
        <v>2</v>
      </c>
    </row>
    <row r="5802" spans="2:17" x14ac:dyDescent="0.2">
      <c r="B5802" t="s">
        <v>5285</v>
      </c>
      <c r="C5802">
        <v>6</v>
      </c>
      <c r="D5802" s="6" t="s">
        <v>5314</v>
      </c>
      <c r="E5802">
        <v>22</v>
      </c>
      <c r="F5802" t="s">
        <v>1559</v>
      </c>
      <c r="G5802">
        <v>1</v>
      </c>
    </row>
    <row r="5803" spans="2:17" x14ac:dyDescent="0.2">
      <c r="B5803" t="s">
        <v>5285</v>
      </c>
      <c r="C5803">
        <v>6</v>
      </c>
      <c r="D5803" s="6" t="s">
        <v>5314</v>
      </c>
      <c r="E5803">
        <v>21</v>
      </c>
      <c r="F5803" t="s">
        <v>1559</v>
      </c>
      <c r="G5803">
        <v>1</v>
      </c>
    </row>
    <row r="5804" spans="2:17" x14ac:dyDescent="0.2">
      <c r="B5804" t="s">
        <v>5285</v>
      </c>
      <c r="C5804">
        <v>6</v>
      </c>
      <c r="D5804" s="6" t="s">
        <v>5314</v>
      </c>
      <c r="E5804">
        <v>20</v>
      </c>
      <c r="F5804" t="s">
        <v>1559</v>
      </c>
      <c r="G5804" t="s">
        <v>114</v>
      </c>
    </row>
    <row r="5805" spans="2:17" x14ac:dyDescent="0.2">
      <c r="B5805" t="s">
        <v>5285</v>
      </c>
      <c r="C5805">
        <v>6</v>
      </c>
      <c r="D5805" s="6" t="s">
        <v>5314</v>
      </c>
      <c r="E5805">
        <v>15</v>
      </c>
      <c r="F5805" t="s">
        <v>6978</v>
      </c>
      <c r="G5805">
        <v>2</v>
      </c>
      <c r="Q5805" t="s">
        <v>7590</v>
      </c>
    </row>
    <row r="5806" spans="2:17" x14ac:dyDescent="0.2">
      <c r="B5806" t="s">
        <v>5285</v>
      </c>
      <c r="C5806">
        <v>6</v>
      </c>
      <c r="D5806" s="6" t="s">
        <v>5314</v>
      </c>
      <c r="E5806">
        <v>16</v>
      </c>
      <c r="F5806" t="s">
        <v>6978</v>
      </c>
      <c r="G5806" t="s">
        <v>114</v>
      </c>
      <c r="Q5806" t="s">
        <v>7591</v>
      </c>
    </row>
    <row r="5807" spans="2:17" x14ac:dyDescent="0.2">
      <c r="B5807" t="s">
        <v>5285</v>
      </c>
      <c r="C5807">
        <v>6</v>
      </c>
      <c r="D5807" s="6" t="s">
        <v>5314</v>
      </c>
      <c r="E5807">
        <v>14</v>
      </c>
      <c r="F5807" t="s">
        <v>6978</v>
      </c>
      <c r="G5807">
        <v>1</v>
      </c>
      <c r="Q5807" t="s">
        <v>7592</v>
      </c>
    </row>
    <row r="5808" spans="2:17" x14ac:dyDescent="0.2">
      <c r="B5808" t="s">
        <v>5285</v>
      </c>
      <c r="C5808">
        <v>6</v>
      </c>
      <c r="D5808" s="6" t="s">
        <v>5314</v>
      </c>
      <c r="E5808">
        <v>18</v>
      </c>
      <c r="F5808" t="s">
        <v>6978</v>
      </c>
      <c r="G5808">
        <v>1</v>
      </c>
      <c r="Q5808" t="s">
        <v>7588</v>
      </c>
    </row>
    <row r="5809" spans="2:17" x14ac:dyDescent="0.2">
      <c r="B5809" t="s">
        <v>5285</v>
      </c>
      <c r="C5809">
        <v>6</v>
      </c>
      <c r="D5809" s="6" t="s">
        <v>5314</v>
      </c>
      <c r="E5809">
        <v>17</v>
      </c>
      <c r="F5809" t="s">
        <v>6978</v>
      </c>
      <c r="G5809" t="s">
        <v>114</v>
      </c>
      <c r="Q5809" t="s">
        <v>7589</v>
      </c>
    </row>
    <row r="5810" spans="2:17" x14ac:dyDescent="0.2">
      <c r="B5810" t="s">
        <v>5285</v>
      </c>
      <c r="C5810">
        <v>6</v>
      </c>
      <c r="D5810" s="6" t="s">
        <v>5314</v>
      </c>
      <c r="E5810">
        <v>19</v>
      </c>
      <c r="F5810" t="s">
        <v>6978</v>
      </c>
      <c r="G5810">
        <v>2</v>
      </c>
      <c r="M5810">
        <v>4</v>
      </c>
    </row>
    <row r="5811" spans="2:17" x14ac:dyDescent="0.2">
      <c r="B5811" t="s">
        <v>5285</v>
      </c>
      <c r="C5811">
        <v>6</v>
      </c>
      <c r="D5811" s="6" t="s">
        <v>5314</v>
      </c>
      <c r="E5811">
        <v>23</v>
      </c>
      <c r="F5811" t="s">
        <v>6862</v>
      </c>
      <c r="G5811">
        <v>35</v>
      </c>
      <c r="Q5811" t="s">
        <v>7580</v>
      </c>
    </row>
    <row r="5812" spans="2:17" x14ac:dyDescent="0.2">
      <c r="B5812" t="s">
        <v>5285</v>
      </c>
      <c r="C5812">
        <v>6</v>
      </c>
      <c r="D5812" s="6" t="s">
        <v>5314</v>
      </c>
      <c r="E5812">
        <v>24</v>
      </c>
      <c r="F5812" t="s">
        <v>6674</v>
      </c>
      <c r="G5812">
        <v>24</v>
      </c>
      <c r="Q5812" t="s">
        <v>7581</v>
      </c>
    </row>
    <row r="5813" spans="2:17" x14ac:dyDescent="0.2">
      <c r="B5813" t="s">
        <v>5285</v>
      </c>
      <c r="C5813">
        <v>6</v>
      </c>
      <c r="D5813" s="6" t="s">
        <v>5314</v>
      </c>
      <c r="E5813">
        <v>25</v>
      </c>
      <c r="F5813" t="s">
        <v>1538</v>
      </c>
      <c r="G5813">
        <v>44</v>
      </c>
      <c r="Q5813" t="s">
        <v>7596</v>
      </c>
    </row>
    <row r="5814" spans="2:17" x14ac:dyDescent="0.2">
      <c r="B5814" t="s">
        <v>5285</v>
      </c>
      <c r="C5814">
        <v>6</v>
      </c>
      <c r="D5814" s="6" t="s">
        <v>5314</v>
      </c>
      <c r="E5814">
        <v>26</v>
      </c>
      <c r="F5814" t="s">
        <v>1538</v>
      </c>
      <c r="G5814">
        <v>26</v>
      </c>
      <c r="Q5814" t="s">
        <v>7598</v>
      </c>
    </row>
    <row r="5815" spans="2:17" x14ac:dyDescent="0.2">
      <c r="B5815" t="s">
        <v>5285</v>
      </c>
      <c r="C5815">
        <v>6</v>
      </c>
      <c r="D5815" s="6" t="s">
        <v>5314</v>
      </c>
      <c r="E5815">
        <v>27</v>
      </c>
      <c r="F5815" t="s">
        <v>1538</v>
      </c>
      <c r="G5815">
        <v>12</v>
      </c>
      <c r="Q5815" t="s">
        <v>7600</v>
      </c>
    </row>
    <row r="5816" spans="2:17" x14ac:dyDescent="0.2">
      <c r="B5816" t="s">
        <v>5285</v>
      </c>
      <c r="C5816">
        <v>6</v>
      </c>
      <c r="D5816" s="6" t="s">
        <v>5314</v>
      </c>
      <c r="E5816">
        <v>28</v>
      </c>
      <c r="F5816" t="s">
        <v>1538</v>
      </c>
      <c r="G5816">
        <v>37</v>
      </c>
      <c r="Q5816" t="s">
        <v>7597</v>
      </c>
    </row>
    <row r="5817" spans="2:17" x14ac:dyDescent="0.2">
      <c r="B5817" t="s">
        <v>5285</v>
      </c>
      <c r="C5817">
        <v>6</v>
      </c>
      <c r="D5817" s="6" t="s">
        <v>5314</v>
      </c>
      <c r="E5817">
        <v>30</v>
      </c>
      <c r="F5817" t="s">
        <v>1538</v>
      </c>
      <c r="G5817">
        <v>20</v>
      </c>
      <c r="Q5817" t="s">
        <v>7599</v>
      </c>
    </row>
    <row r="5818" spans="2:17" x14ac:dyDescent="0.2">
      <c r="B5818" t="s">
        <v>5285</v>
      </c>
      <c r="C5818">
        <v>6</v>
      </c>
      <c r="D5818" s="6" t="s">
        <v>5314</v>
      </c>
      <c r="E5818">
        <v>29</v>
      </c>
      <c r="F5818" t="s">
        <v>1538</v>
      </c>
      <c r="G5818">
        <v>40</v>
      </c>
      <c r="M5818">
        <v>2</v>
      </c>
    </row>
    <row r="5819" spans="2:17" x14ac:dyDescent="0.2">
      <c r="B5819" t="s">
        <v>5285</v>
      </c>
      <c r="C5819">
        <v>6</v>
      </c>
      <c r="D5819" s="6" t="s">
        <v>5314</v>
      </c>
      <c r="E5819">
        <v>31</v>
      </c>
      <c r="F5819" t="s">
        <v>1538</v>
      </c>
      <c r="G5819">
        <v>3</v>
      </c>
      <c r="Q5819" t="s">
        <v>7601</v>
      </c>
    </row>
    <row r="5820" spans="2:17" x14ac:dyDescent="0.2">
      <c r="B5820" t="s">
        <v>5285</v>
      </c>
      <c r="C5820">
        <v>6</v>
      </c>
      <c r="D5820" s="6" t="s">
        <v>5314</v>
      </c>
      <c r="E5820">
        <v>32</v>
      </c>
      <c r="F5820" t="s">
        <v>1538</v>
      </c>
      <c r="G5820">
        <v>2</v>
      </c>
      <c r="Q5820" t="s">
        <v>7602</v>
      </c>
    </row>
    <row r="5821" spans="2:17" x14ac:dyDescent="0.2">
      <c r="B5821" t="s">
        <v>5285</v>
      </c>
      <c r="C5821">
        <v>6</v>
      </c>
      <c r="D5821" s="6" t="s">
        <v>5314</v>
      </c>
      <c r="E5821">
        <v>33</v>
      </c>
      <c r="F5821" t="s">
        <v>1538</v>
      </c>
      <c r="G5821">
        <v>2</v>
      </c>
      <c r="Q5821" t="s">
        <v>7603</v>
      </c>
    </row>
    <row r="5822" spans="2:17" x14ac:dyDescent="0.2">
      <c r="B5822" t="s">
        <v>5285</v>
      </c>
      <c r="C5822">
        <v>6</v>
      </c>
      <c r="D5822" s="6" t="s">
        <v>5314</v>
      </c>
      <c r="E5822">
        <v>34</v>
      </c>
      <c r="F5822" t="s">
        <v>1538</v>
      </c>
      <c r="G5822" t="s">
        <v>114</v>
      </c>
      <c r="Q5822" t="s">
        <v>7605</v>
      </c>
    </row>
    <row r="5823" spans="2:17" x14ac:dyDescent="0.2">
      <c r="B5823" t="s">
        <v>5285</v>
      </c>
      <c r="C5823">
        <v>6</v>
      </c>
      <c r="D5823" s="6" t="s">
        <v>5314</v>
      </c>
      <c r="E5823">
        <v>35</v>
      </c>
      <c r="F5823" t="s">
        <v>1538</v>
      </c>
      <c r="G5823">
        <v>7</v>
      </c>
      <c r="Q5823" t="s">
        <v>7604</v>
      </c>
    </row>
    <row r="5824" spans="2:17" x14ac:dyDescent="0.2">
      <c r="B5824" t="s">
        <v>5285</v>
      </c>
      <c r="C5824">
        <v>6</v>
      </c>
      <c r="D5824" s="6" t="s">
        <v>5314</v>
      </c>
      <c r="E5824">
        <v>36</v>
      </c>
      <c r="F5824" t="s">
        <v>1538</v>
      </c>
      <c r="G5824">
        <v>6</v>
      </c>
      <c r="M5824">
        <v>6</v>
      </c>
    </row>
    <row r="5825" spans="2:17" x14ac:dyDescent="0.2">
      <c r="B5825" t="s">
        <v>5285</v>
      </c>
      <c r="C5825">
        <v>6</v>
      </c>
      <c r="D5825" s="6" t="s">
        <v>5314</v>
      </c>
      <c r="E5825" t="s">
        <v>5056</v>
      </c>
      <c r="F5825" t="s">
        <v>1538</v>
      </c>
      <c r="G5825">
        <v>6</v>
      </c>
      <c r="M5825">
        <v>9</v>
      </c>
    </row>
    <row r="5826" spans="2:17" x14ac:dyDescent="0.2">
      <c r="B5826" t="s">
        <v>5285</v>
      </c>
      <c r="C5826">
        <v>6</v>
      </c>
      <c r="D5826" s="6" t="s">
        <v>5314</v>
      </c>
      <c r="E5826">
        <v>39</v>
      </c>
      <c r="F5826" t="s">
        <v>1389</v>
      </c>
      <c r="G5826">
        <v>1</v>
      </c>
      <c r="Q5826" t="s">
        <v>7612</v>
      </c>
    </row>
    <row r="5827" spans="2:17" x14ac:dyDescent="0.2">
      <c r="B5827" t="s">
        <v>5285</v>
      </c>
      <c r="C5827">
        <v>6</v>
      </c>
      <c r="D5827" s="6" t="s">
        <v>5314</v>
      </c>
      <c r="E5827">
        <v>40</v>
      </c>
      <c r="F5827" t="s">
        <v>1389</v>
      </c>
      <c r="G5827">
        <v>1</v>
      </c>
      <c r="Q5827" t="s">
        <v>7611</v>
      </c>
    </row>
    <row r="5828" spans="2:17" x14ac:dyDescent="0.2">
      <c r="B5828" t="s">
        <v>5285</v>
      </c>
      <c r="C5828">
        <v>6</v>
      </c>
      <c r="D5828" s="6" t="s">
        <v>5314</v>
      </c>
      <c r="E5828">
        <v>41</v>
      </c>
      <c r="F5828" t="s">
        <v>1389</v>
      </c>
      <c r="G5828" t="s">
        <v>114</v>
      </c>
      <c r="Q5828" t="s">
        <v>7610</v>
      </c>
    </row>
    <row r="5829" spans="2:17" x14ac:dyDescent="0.2">
      <c r="B5829" t="s">
        <v>5285</v>
      </c>
      <c r="C5829">
        <v>6</v>
      </c>
      <c r="D5829" s="6" t="s">
        <v>5314</v>
      </c>
      <c r="E5829">
        <v>42</v>
      </c>
      <c r="F5829" t="s">
        <v>1389</v>
      </c>
      <c r="G5829" t="s">
        <v>114</v>
      </c>
      <c r="Q5829" t="s">
        <v>7609</v>
      </c>
    </row>
    <row r="5830" spans="2:17" x14ac:dyDescent="0.2">
      <c r="B5830" t="s">
        <v>5285</v>
      </c>
      <c r="C5830">
        <v>6</v>
      </c>
      <c r="D5830" s="6" t="s">
        <v>5314</v>
      </c>
      <c r="E5830">
        <v>43</v>
      </c>
      <c r="F5830" t="s">
        <v>1389</v>
      </c>
      <c r="G5830">
        <v>1</v>
      </c>
      <c r="Q5830" t="s">
        <v>7608</v>
      </c>
    </row>
    <row r="5831" spans="2:17" x14ac:dyDescent="0.2">
      <c r="B5831" t="s">
        <v>5285</v>
      </c>
      <c r="C5831">
        <v>6</v>
      </c>
      <c r="D5831" s="6" t="s">
        <v>5314</v>
      </c>
      <c r="E5831">
        <v>38</v>
      </c>
      <c r="F5831" t="s">
        <v>6239</v>
      </c>
      <c r="G5831">
        <v>1</v>
      </c>
      <c r="Q5831" t="s">
        <v>7606</v>
      </c>
    </row>
    <row r="5832" spans="2:17" x14ac:dyDescent="0.2">
      <c r="B5832" t="s">
        <v>5285</v>
      </c>
      <c r="C5832">
        <v>6</v>
      </c>
      <c r="D5832" s="6" t="s">
        <v>5314</v>
      </c>
      <c r="E5832">
        <v>37</v>
      </c>
      <c r="F5832" t="s">
        <v>6239</v>
      </c>
      <c r="G5832">
        <v>2</v>
      </c>
      <c r="Q5832" t="s">
        <v>7607</v>
      </c>
    </row>
    <row r="5833" spans="2:17" x14ac:dyDescent="0.2">
      <c r="B5833" t="s">
        <v>5285</v>
      </c>
      <c r="C5833">
        <v>6</v>
      </c>
      <c r="D5833" s="6" t="s">
        <v>5314</v>
      </c>
      <c r="E5833">
        <v>44</v>
      </c>
      <c r="F5833" t="s">
        <v>1389</v>
      </c>
      <c r="G5833">
        <v>5</v>
      </c>
      <c r="M5833">
        <v>5</v>
      </c>
    </row>
    <row r="5834" spans="2:17" x14ac:dyDescent="0.2">
      <c r="B5834" t="s">
        <v>5285</v>
      </c>
      <c r="C5834">
        <v>6</v>
      </c>
      <c r="D5834" s="6" t="s">
        <v>5314</v>
      </c>
      <c r="E5834" t="s">
        <v>5056</v>
      </c>
      <c r="F5834" t="s">
        <v>1389</v>
      </c>
      <c r="G5834">
        <v>12</v>
      </c>
      <c r="M5834">
        <v>15</v>
      </c>
    </row>
    <row r="5835" spans="2:17" x14ac:dyDescent="0.2">
      <c r="B5835" t="s">
        <v>5285</v>
      </c>
      <c r="C5835">
        <v>6</v>
      </c>
      <c r="D5835" s="6" t="s">
        <v>5314</v>
      </c>
      <c r="E5835">
        <v>99</v>
      </c>
      <c r="F5835" t="s">
        <v>5676</v>
      </c>
      <c r="H5835">
        <f>(0.498-0.385)*0.1</f>
        <v>1.1299999999999999E-2</v>
      </c>
      <c r="O5835" t="s">
        <v>5677</v>
      </c>
    </row>
    <row r="5836" spans="2:17" x14ac:dyDescent="0.2">
      <c r="B5836" t="s">
        <v>5285</v>
      </c>
      <c r="C5836">
        <v>6</v>
      </c>
      <c r="D5836" s="6" t="s">
        <v>5314</v>
      </c>
      <c r="E5836" t="s">
        <v>5056</v>
      </c>
      <c r="F5836" t="s">
        <v>5678</v>
      </c>
      <c r="H5836">
        <f>(0.498-0.385)*0.4</f>
        <v>4.5199999999999997E-2</v>
      </c>
    </row>
    <row r="5837" spans="2:17" x14ac:dyDescent="0.2">
      <c r="B5837" t="s">
        <v>5285</v>
      </c>
      <c r="C5837">
        <v>6</v>
      </c>
      <c r="D5837" s="6" t="s">
        <v>5314</v>
      </c>
      <c r="E5837" t="s">
        <v>5056</v>
      </c>
      <c r="F5837" t="s">
        <v>3184</v>
      </c>
      <c r="H5837">
        <f>(0.498-0.385)*0.5</f>
        <v>5.6499999999999995E-2</v>
      </c>
    </row>
    <row r="5838" spans="2:17" x14ac:dyDescent="0.2">
      <c r="B5838" t="s">
        <v>5285</v>
      </c>
      <c r="C5838">
        <v>6</v>
      </c>
      <c r="D5838" s="6" t="s">
        <v>5314</v>
      </c>
      <c r="E5838">
        <v>45</v>
      </c>
      <c r="F5838" t="s">
        <v>112</v>
      </c>
      <c r="G5838">
        <v>63</v>
      </c>
      <c r="M5838">
        <v>3</v>
      </c>
    </row>
    <row r="5839" spans="2:17" x14ac:dyDescent="0.2">
      <c r="B5839" t="s">
        <v>5285</v>
      </c>
      <c r="C5839">
        <v>6</v>
      </c>
      <c r="D5839" s="6" t="s">
        <v>5314</v>
      </c>
      <c r="E5839">
        <v>46</v>
      </c>
      <c r="F5839" t="s">
        <v>121</v>
      </c>
      <c r="G5839">
        <v>22</v>
      </c>
    </row>
    <row r="5840" spans="2:17" x14ac:dyDescent="0.2">
      <c r="B5840" t="s">
        <v>5285</v>
      </c>
      <c r="C5840">
        <v>6</v>
      </c>
      <c r="D5840" s="6" t="s">
        <v>5314</v>
      </c>
      <c r="E5840">
        <v>47</v>
      </c>
      <c r="F5840" t="s">
        <v>2836</v>
      </c>
      <c r="G5840">
        <v>1</v>
      </c>
      <c r="M5840">
        <v>2</v>
      </c>
    </row>
    <row r="5841" spans="2:17" x14ac:dyDescent="0.2">
      <c r="B5841" t="s">
        <v>5285</v>
      </c>
      <c r="C5841">
        <v>6</v>
      </c>
      <c r="D5841" s="6" t="s">
        <v>5314</v>
      </c>
      <c r="E5841">
        <v>48</v>
      </c>
      <c r="F5841" t="s">
        <v>7363</v>
      </c>
      <c r="G5841">
        <v>35</v>
      </c>
    </row>
    <row r="5842" spans="2:17" x14ac:dyDescent="0.2">
      <c r="B5842" t="s">
        <v>5285</v>
      </c>
      <c r="C5842">
        <v>6</v>
      </c>
      <c r="D5842" s="6" t="s">
        <v>5314</v>
      </c>
      <c r="E5842">
        <v>49</v>
      </c>
      <c r="F5842" t="s">
        <v>3875</v>
      </c>
      <c r="G5842">
        <v>4</v>
      </c>
      <c r="M5842">
        <v>4</v>
      </c>
    </row>
    <row r="5843" spans="2:17" x14ac:dyDescent="0.2">
      <c r="B5843" t="s">
        <v>5285</v>
      </c>
      <c r="C5843">
        <v>6</v>
      </c>
      <c r="D5843" s="6" t="s">
        <v>5314</v>
      </c>
      <c r="E5843">
        <v>50</v>
      </c>
      <c r="F5843" t="s">
        <v>810</v>
      </c>
      <c r="G5843">
        <v>1</v>
      </c>
      <c r="M5843">
        <v>2</v>
      </c>
    </row>
    <row r="5844" spans="2:17" x14ac:dyDescent="0.2">
      <c r="B5844" t="s">
        <v>5285</v>
      </c>
      <c r="C5844">
        <v>6</v>
      </c>
      <c r="D5844" s="6" t="s">
        <v>5314</v>
      </c>
      <c r="E5844">
        <v>51</v>
      </c>
      <c r="F5844" t="s">
        <v>5679</v>
      </c>
      <c r="G5844">
        <v>1</v>
      </c>
    </row>
    <row r="5845" spans="2:17" x14ac:dyDescent="0.2">
      <c r="B5845" t="s">
        <v>5285</v>
      </c>
      <c r="C5845">
        <v>5</v>
      </c>
      <c r="D5845" s="6" t="s">
        <v>5314</v>
      </c>
      <c r="E5845">
        <v>52</v>
      </c>
      <c r="F5845" t="s">
        <v>3431</v>
      </c>
      <c r="G5845">
        <v>2</v>
      </c>
    </row>
    <row r="5846" spans="2:17" x14ac:dyDescent="0.2">
      <c r="B5846" t="s">
        <v>5285</v>
      </c>
      <c r="C5846">
        <v>5</v>
      </c>
      <c r="D5846" s="6" t="s">
        <v>5314</v>
      </c>
      <c r="E5846" s="8" t="s">
        <v>5082</v>
      </c>
      <c r="F5846" t="s">
        <v>2836</v>
      </c>
      <c r="G5846">
        <v>5</v>
      </c>
    </row>
    <row r="5847" spans="2:17" x14ac:dyDescent="0.2">
      <c r="B5847" t="s">
        <v>5285</v>
      </c>
      <c r="C5847">
        <v>5</v>
      </c>
      <c r="D5847" s="6" t="s">
        <v>5314</v>
      </c>
      <c r="E5847" s="8" t="s">
        <v>5089</v>
      </c>
      <c r="F5847" t="s">
        <v>7138</v>
      </c>
      <c r="G5847" t="s">
        <v>114</v>
      </c>
      <c r="M5847">
        <v>4</v>
      </c>
      <c r="Q5847" t="s">
        <v>7613</v>
      </c>
    </row>
    <row r="5848" spans="2:17" x14ac:dyDescent="0.2">
      <c r="B5848" t="s">
        <v>5285</v>
      </c>
      <c r="C5848">
        <v>5</v>
      </c>
      <c r="D5848" s="6" t="s">
        <v>5314</v>
      </c>
      <c r="E5848" s="8" t="s">
        <v>5090</v>
      </c>
      <c r="F5848" t="s">
        <v>3875</v>
      </c>
      <c r="G5848">
        <v>2</v>
      </c>
      <c r="M5848">
        <v>3</v>
      </c>
    </row>
    <row r="5849" spans="2:17" x14ac:dyDescent="0.2">
      <c r="B5849" t="s">
        <v>5285</v>
      </c>
      <c r="C5849">
        <v>5</v>
      </c>
      <c r="D5849" s="6" t="s">
        <v>5314</v>
      </c>
      <c r="E5849" s="8" t="s">
        <v>5091</v>
      </c>
      <c r="F5849" t="s">
        <v>1559</v>
      </c>
      <c r="G5849">
        <v>1</v>
      </c>
      <c r="Q5849" t="s">
        <v>7614</v>
      </c>
    </row>
    <row r="5850" spans="2:17" x14ac:dyDescent="0.2">
      <c r="B5850" t="s">
        <v>5285</v>
      </c>
      <c r="C5850">
        <v>5</v>
      </c>
      <c r="D5850" s="6" t="s">
        <v>5314</v>
      </c>
      <c r="E5850" s="8" t="s">
        <v>5092</v>
      </c>
      <c r="F5850" t="s">
        <v>6862</v>
      </c>
      <c r="G5850" t="s">
        <v>114</v>
      </c>
      <c r="Q5850" t="s">
        <v>7615</v>
      </c>
    </row>
    <row r="5851" spans="2:17" x14ac:dyDescent="0.2">
      <c r="B5851" t="s">
        <v>5285</v>
      </c>
      <c r="C5851">
        <v>5</v>
      </c>
      <c r="D5851" s="6" t="s">
        <v>5314</v>
      </c>
      <c r="E5851" s="8" t="s">
        <v>5094</v>
      </c>
      <c r="F5851" t="s">
        <v>6239</v>
      </c>
      <c r="G5851" t="s">
        <v>114</v>
      </c>
      <c r="Q5851" t="s">
        <v>7616</v>
      </c>
    </row>
    <row r="5852" spans="2:17" x14ac:dyDescent="0.2">
      <c r="B5852" t="s">
        <v>5285</v>
      </c>
      <c r="C5852">
        <v>5</v>
      </c>
      <c r="D5852" s="6" t="s">
        <v>5314</v>
      </c>
      <c r="E5852">
        <v>11</v>
      </c>
      <c r="F5852" t="s">
        <v>106</v>
      </c>
      <c r="G5852" t="s">
        <v>114</v>
      </c>
    </row>
    <row r="5853" spans="2:17" x14ac:dyDescent="0.2">
      <c r="B5853" t="s">
        <v>5285</v>
      </c>
      <c r="C5853">
        <v>5</v>
      </c>
      <c r="D5853" s="6" t="s">
        <v>5314</v>
      </c>
      <c r="E5853" s="8" t="s">
        <v>5098</v>
      </c>
      <c r="F5853" t="s">
        <v>3431</v>
      </c>
      <c r="G5853" t="s">
        <v>114</v>
      </c>
    </row>
    <row r="5854" spans="2:17" x14ac:dyDescent="0.2">
      <c r="B5854" t="s">
        <v>5285</v>
      </c>
      <c r="C5854">
        <v>5</v>
      </c>
      <c r="D5854" s="6" t="s">
        <v>5314</v>
      </c>
      <c r="E5854" s="8" t="s">
        <v>5097</v>
      </c>
      <c r="F5854" t="s">
        <v>7363</v>
      </c>
      <c r="G5854">
        <v>7</v>
      </c>
    </row>
    <row r="5855" spans="2:17" x14ac:dyDescent="0.2">
      <c r="B5855" t="s">
        <v>5285</v>
      </c>
      <c r="C5855">
        <v>5</v>
      </c>
      <c r="D5855" s="6" t="s">
        <v>5314</v>
      </c>
      <c r="E5855">
        <v>10</v>
      </c>
      <c r="F5855" t="s">
        <v>7617</v>
      </c>
      <c r="G5855">
        <v>14</v>
      </c>
    </row>
    <row r="5856" spans="2:17" x14ac:dyDescent="0.2">
      <c r="B5856" t="s">
        <v>5285</v>
      </c>
      <c r="C5856" t="s">
        <v>462</v>
      </c>
      <c r="D5856" s="6" t="s">
        <v>5314</v>
      </c>
      <c r="E5856" t="s">
        <v>5056</v>
      </c>
      <c r="F5856" t="s">
        <v>740</v>
      </c>
      <c r="G5856">
        <f>772-590</f>
        <v>182</v>
      </c>
      <c r="O5856" t="s">
        <v>5682</v>
      </c>
    </row>
    <row r="5857" spans="2:17" x14ac:dyDescent="0.2">
      <c r="B5857" t="s">
        <v>5285</v>
      </c>
      <c r="C5857">
        <v>1</v>
      </c>
      <c r="D5857" s="6" t="s">
        <v>5314</v>
      </c>
      <c r="E5857" t="s">
        <v>5056</v>
      </c>
      <c r="F5857" t="s">
        <v>1264</v>
      </c>
      <c r="H5857">
        <f>26.7-1.8</f>
        <v>24.9</v>
      </c>
    </row>
    <row r="5858" spans="2:17" x14ac:dyDescent="0.2">
      <c r="B5858" t="s">
        <v>5285</v>
      </c>
      <c r="C5858">
        <v>1</v>
      </c>
      <c r="D5858" s="6" t="s">
        <v>5314</v>
      </c>
      <c r="E5858" s="8" t="s">
        <v>5081</v>
      </c>
      <c r="F5858" t="s">
        <v>740</v>
      </c>
      <c r="H5858">
        <v>2.8</v>
      </c>
    </row>
    <row r="5859" spans="2:17" x14ac:dyDescent="0.2">
      <c r="B5859" t="s">
        <v>5285</v>
      </c>
      <c r="C5859">
        <v>1</v>
      </c>
      <c r="D5859" s="6" t="s">
        <v>5314</v>
      </c>
      <c r="E5859" s="8" t="s">
        <v>5082</v>
      </c>
      <c r="F5859" t="s">
        <v>112</v>
      </c>
      <c r="G5859">
        <v>73</v>
      </c>
    </row>
    <row r="5860" spans="2:17" x14ac:dyDescent="0.2">
      <c r="B5860" t="s">
        <v>5285</v>
      </c>
      <c r="C5860">
        <v>1</v>
      </c>
      <c r="D5860" s="6" t="s">
        <v>5314</v>
      </c>
      <c r="E5860" s="8" t="s">
        <v>5089</v>
      </c>
      <c r="F5860" t="s">
        <v>3429</v>
      </c>
      <c r="G5860">
        <v>172</v>
      </c>
    </row>
    <row r="5861" spans="2:17" x14ac:dyDescent="0.2">
      <c r="B5861" t="s">
        <v>5285</v>
      </c>
      <c r="C5861">
        <v>1</v>
      </c>
      <c r="D5861" s="6" t="s">
        <v>5314</v>
      </c>
      <c r="E5861" t="s">
        <v>5056</v>
      </c>
      <c r="F5861" t="s">
        <v>3184</v>
      </c>
      <c r="G5861">
        <f>549*0.5</f>
        <v>274.5</v>
      </c>
    </row>
    <row r="5862" spans="2:17" x14ac:dyDescent="0.2">
      <c r="B5862" t="s">
        <v>5285</v>
      </c>
      <c r="C5862">
        <v>1</v>
      </c>
      <c r="D5862" s="6" t="s">
        <v>5314</v>
      </c>
      <c r="E5862" t="s">
        <v>5056</v>
      </c>
      <c r="F5862" t="s">
        <v>5683</v>
      </c>
      <c r="G5862">
        <f>549*0.5</f>
        <v>274.5</v>
      </c>
    </row>
    <row r="5863" spans="2:17" x14ac:dyDescent="0.2">
      <c r="B5863" t="s">
        <v>5378</v>
      </c>
      <c r="C5863">
        <v>2</v>
      </c>
      <c r="D5863" s="6" t="s">
        <v>5314</v>
      </c>
      <c r="E5863" s="8" t="s">
        <v>5081</v>
      </c>
      <c r="F5863" t="s">
        <v>1264</v>
      </c>
      <c r="H5863">
        <f>10.9-0.427+1.5-0.295</f>
        <v>11.678000000000001</v>
      </c>
      <c r="O5863" t="s">
        <v>5684</v>
      </c>
    </row>
    <row r="5864" spans="2:17" x14ac:dyDescent="0.2">
      <c r="B5864" t="s">
        <v>5378</v>
      </c>
      <c r="C5864">
        <v>2</v>
      </c>
      <c r="D5864" s="6" t="s">
        <v>5314</v>
      </c>
      <c r="E5864" s="8" t="s">
        <v>5082</v>
      </c>
      <c r="F5864" t="s">
        <v>1538</v>
      </c>
      <c r="G5864">
        <v>68</v>
      </c>
      <c r="Q5864" t="s">
        <v>7630</v>
      </c>
    </row>
    <row r="5865" spans="2:17" x14ac:dyDescent="0.2">
      <c r="B5865" t="s">
        <v>5378</v>
      </c>
      <c r="C5865">
        <v>2</v>
      </c>
      <c r="D5865" s="6" t="s">
        <v>5314</v>
      </c>
      <c r="E5865" s="8" t="s">
        <v>5089</v>
      </c>
      <c r="F5865" t="s">
        <v>1538</v>
      </c>
      <c r="G5865">
        <v>36</v>
      </c>
      <c r="Q5865" t="s">
        <v>7629</v>
      </c>
    </row>
    <row r="5866" spans="2:17" x14ac:dyDescent="0.2">
      <c r="B5866" t="s">
        <v>5378</v>
      </c>
      <c r="C5866">
        <v>2</v>
      </c>
      <c r="D5866" s="6" t="s">
        <v>5314</v>
      </c>
      <c r="E5866" s="8" t="s">
        <v>5090</v>
      </c>
      <c r="F5866" t="s">
        <v>1538</v>
      </c>
      <c r="G5866">
        <v>9</v>
      </c>
      <c r="Q5866" t="s">
        <v>7631</v>
      </c>
    </row>
    <row r="5867" spans="2:17" x14ac:dyDescent="0.2">
      <c r="B5867" t="s">
        <v>5378</v>
      </c>
      <c r="C5867">
        <v>2</v>
      </c>
      <c r="D5867" s="6" t="s">
        <v>5314</v>
      </c>
      <c r="E5867" s="8" t="s">
        <v>5091</v>
      </c>
      <c r="F5867" t="s">
        <v>1538</v>
      </c>
      <c r="G5867">
        <v>142</v>
      </c>
      <c r="M5867">
        <v>5</v>
      </c>
    </row>
    <row r="5868" spans="2:17" x14ac:dyDescent="0.2">
      <c r="B5868" t="s">
        <v>5378</v>
      </c>
      <c r="C5868">
        <v>2</v>
      </c>
      <c r="D5868" s="6" t="s">
        <v>5314</v>
      </c>
      <c r="E5868" s="8" t="s">
        <v>5092</v>
      </c>
      <c r="F5868" t="s">
        <v>1538</v>
      </c>
      <c r="G5868">
        <v>1</v>
      </c>
      <c r="Q5868" t="s">
        <v>7632</v>
      </c>
    </row>
    <row r="5869" spans="2:17" x14ac:dyDescent="0.2">
      <c r="B5869" t="s">
        <v>5378</v>
      </c>
      <c r="C5869">
        <v>2</v>
      </c>
      <c r="D5869" s="6" t="s">
        <v>5314</v>
      </c>
      <c r="E5869" s="8" t="s">
        <v>5094</v>
      </c>
      <c r="F5869" t="s">
        <v>1538</v>
      </c>
      <c r="G5869">
        <v>3</v>
      </c>
      <c r="Q5869" t="s">
        <v>7633</v>
      </c>
    </row>
    <row r="5870" spans="2:17" x14ac:dyDescent="0.2">
      <c r="B5870" t="s">
        <v>5378</v>
      </c>
      <c r="C5870">
        <v>2</v>
      </c>
      <c r="D5870" s="6" t="s">
        <v>5314</v>
      </c>
      <c r="E5870" t="s">
        <v>5056</v>
      </c>
      <c r="F5870" t="s">
        <v>1538</v>
      </c>
      <c r="G5870">
        <v>374</v>
      </c>
      <c r="M5870">
        <v>23</v>
      </c>
    </row>
    <row r="5871" spans="2:17" x14ac:dyDescent="0.2">
      <c r="B5871" t="s">
        <v>5378</v>
      </c>
      <c r="C5871">
        <v>2</v>
      </c>
      <c r="D5871" s="6" t="s">
        <v>5314</v>
      </c>
      <c r="E5871" s="8" t="s">
        <v>5097</v>
      </c>
      <c r="F5871" t="s">
        <v>1582</v>
      </c>
      <c r="G5871">
        <v>1</v>
      </c>
    </row>
    <row r="5872" spans="2:17" x14ac:dyDescent="0.2">
      <c r="B5872" t="s">
        <v>5378</v>
      </c>
      <c r="C5872">
        <v>2</v>
      </c>
      <c r="D5872" s="6" t="s">
        <v>5314</v>
      </c>
      <c r="E5872" s="8" t="s">
        <v>5098</v>
      </c>
      <c r="F5872" t="s">
        <v>6231</v>
      </c>
      <c r="G5872">
        <v>15</v>
      </c>
      <c r="Q5872" t="s">
        <v>7634</v>
      </c>
    </row>
    <row r="5873" spans="2:17" x14ac:dyDescent="0.2">
      <c r="B5873" t="s">
        <v>5378</v>
      </c>
      <c r="C5873">
        <v>2</v>
      </c>
      <c r="D5873" s="6" t="s">
        <v>5314</v>
      </c>
      <c r="E5873">
        <v>10</v>
      </c>
      <c r="F5873" t="s">
        <v>6231</v>
      </c>
      <c r="G5873">
        <v>19</v>
      </c>
      <c r="Q5873" t="s">
        <v>7635</v>
      </c>
    </row>
    <row r="5874" spans="2:17" x14ac:dyDescent="0.2">
      <c r="B5874" t="s">
        <v>5378</v>
      </c>
      <c r="C5874">
        <v>2</v>
      </c>
      <c r="D5874" s="6" t="s">
        <v>5314</v>
      </c>
      <c r="E5874">
        <v>11</v>
      </c>
      <c r="F5874" t="s">
        <v>5580</v>
      </c>
      <c r="G5874">
        <v>94</v>
      </c>
      <c r="Q5874" t="s">
        <v>7636</v>
      </c>
    </row>
    <row r="5875" spans="2:17" x14ac:dyDescent="0.2">
      <c r="B5875" t="s">
        <v>5378</v>
      </c>
      <c r="C5875">
        <v>2</v>
      </c>
      <c r="D5875" s="6" t="s">
        <v>5314</v>
      </c>
      <c r="E5875">
        <v>12</v>
      </c>
      <c r="F5875" t="s">
        <v>5869</v>
      </c>
      <c r="G5875">
        <v>40</v>
      </c>
      <c r="Q5875" t="s">
        <v>5897</v>
      </c>
    </row>
    <row r="5876" spans="2:17" x14ac:dyDescent="0.2">
      <c r="B5876" t="s">
        <v>5378</v>
      </c>
      <c r="C5876">
        <v>2</v>
      </c>
      <c r="D5876" s="6" t="s">
        <v>5314</v>
      </c>
      <c r="E5876">
        <v>13</v>
      </c>
      <c r="F5876" t="s">
        <v>7337</v>
      </c>
      <c r="G5876">
        <v>42</v>
      </c>
      <c r="Q5876" t="s">
        <v>7637</v>
      </c>
    </row>
    <row r="5877" spans="2:17" x14ac:dyDescent="0.2">
      <c r="B5877" t="s">
        <v>5378</v>
      </c>
      <c r="C5877">
        <v>2</v>
      </c>
      <c r="D5877" s="6" t="s">
        <v>5314</v>
      </c>
      <c r="E5877">
        <v>14</v>
      </c>
      <c r="F5877" t="s">
        <v>7337</v>
      </c>
      <c r="G5877">
        <v>87</v>
      </c>
      <c r="Q5877" t="s">
        <v>7638</v>
      </c>
    </row>
    <row r="5878" spans="2:17" x14ac:dyDescent="0.2">
      <c r="B5878" t="s">
        <v>5378</v>
      </c>
      <c r="C5878">
        <v>2</v>
      </c>
      <c r="D5878" s="6" t="s">
        <v>5314</v>
      </c>
      <c r="E5878">
        <v>15</v>
      </c>
      <c r="F5878" t="s">
        <v>10600</v>
      </c>
      <c r="G5878">
        <v>14</v>
      </c>
      <c r="Q5878" t="s">
        <v>7639</v>
      </c>
    </row>
    <row r="5879" spans="2:17" x14ac:dyDescent="0.2">
      <c r="B5879" t="s">
        <v>5378</v>
      </c>
      <c r="C5879">
        <v>2</v>
      </c>
      <c r="D5879" s="6" t="s">
        <v>5314</v>
      </c>
      <c r="E5879">
        <v>16</v>
      </c>
      <c r="F5879" t="s">
        <v>2657</v>
      </c>
      <c r="G5879">
        <v>3</v>
      </c>
      <c r="O5879" t="s">
        <v>5686</v>
      </c>
      <c r="Q5879" t="s">
        <v>7640</v>
      </c>
    </row>
    <row r="5880" spans="2:17" x14ac:dyDescent="0.2">
      <c r="B5880" t="s">
        <v>5378</v>
      </c>
      <c r="C5880">
        <v>2</v>
      </c>
      <c r="D5880" s="6" t="s">
        <v>5314</v>
      </c>
      <c r="E5880">
        <v>17</v>
      </c>
      <c r="F5880" t="s">
        <v>5385</v>
      </c>
      <c r="G5880">
        <v>2</v>
      </c>
      <c r="Q5880" t="s">
        <v>7645</v>
      </c>
    </row>
    <row r="5881" spans="2:17" x14ac:dyDescent="0.2">
      <c r="B5881" t="s">
        <v>5378</v>
      </c>
      <c r="C5881">
        <v>2</v>
      </c>
      <c r="D5881" s="6" t="s">
        <v>5314</v>
      </c>
      <c r="E5881">
        <v>18</v>
      </c>
      <c r="F5881" t="s">
        <v>5385</v>
      </c>
      <c r="G5881">
        <v>4</v>
      </c>
      <c r="Q5881" t="s">
        <v>7642</v>
      </c>
    </row>
    <row r="5882" spans="2:17" x14ac:dyDescent="0.2">
      <c r="B5882" t="s">
        <v>5378</v>
      </c>
      <c r="C5882">
        <v>2</v>
      </c>
      <c r="D5882" s="6" t="s">
        <v>5314</v>
      </c>
      <c r="E5882">
        <v>19</v>
      </c>
      <c r="F5882" t="s">
        <v>5385</v>
      </c>
      <c r="G5882">
        <v>5</v>
      </c>
      <c r="Q5882" t="s">
        <v>7644</v>
      </c>
    </row>
    <row r="5883" spans="2:17" x14ac:dyDescent="0.2">
      <c r="B5883" t="s">
        <v>5378</v>
      </c>
      <c r="C5883">
        <v>2</v>
      </c>
      <c r="D5883" s="6" t="s">
        <v>5314</v>
      </c>
      <c r="E5883">
        <v>20</v>
      </c>
      <c r="F5883" t="s">
        <v>5385</v>
      </c>
      <c r="G5883">
        <v>3</v>
      </c>
      <c r="Q5883" t="s">
        <v>7641</v>
      </c>
    </row>
    <row r="5884" spans="2:17" x14ac:dyDescent="0.2">
      <c r="B5884" t="s">
        <v>5378</v>
      </c>
      <c r="C5884">
        <v>2</v>
      </c>
      <c r="D5884" s="6" t="s">
        <v>5314</v>
      </c>
      <c r="E5884">
        <v>21</v>
      </c>
      <c r="F5884" t="s">
        <v>5385</v>
      </c>
      <c r="G5884">
        <v>3</v>
      </c>
      <c r="O5884" t="s">
        <v>5687</v>
      </c>
      <c r="Q5884" t="s">
        <v>7643</v>
      </c>
    </row>
    <row r="5885" spans="2:17" x14ac:dyDescent="0.2">
      <c r="B5885" t="s">
        <v>5378</v>
      </c>
      <c r="C5885">
        <v>2</v>
      </c>
      <c r="D5885" s="6" t="s">
        <v>5314</v>
      </c>
      <c r="E5885">
        <v>22</v>
      </c>
      <c r="F5885" s="6" t="s">
        <v>5385</v>
      </c>
      <c r="G5885">
        <v>17</v>
      </c>
      <c r="M5885">
        <v>5</v>
      </c>
    </row>
    <row r="5886" spans="2:17" x14ac:dyDescent="0.2">
      <c r="B5886" t="s">
        <v>5378</v>
      </c>
      <c r="C5886">
        <v>2</v>
      </c>
      <c r="D5886" s="6" t="s">
        <v>5314</v>
      </c>
      <c r="E5886" t="s">
        <v>5056</v>
      </c>
      <c r="F5886" s="6" t="s">
        <v>5385</v>
      </c>
      <c r="G5886">
        <v>523</v>
      </c>
      <c r="M5886">
        <v>148</v>
      </c>
    </row>
    <row r="5887" spans="2:17" x14ac:dyDescent="0.2">
      <c r="B5887" t="s">
        <v>5378</v>
      </c>
      <c r="C5887">
        <v>2</v>
      </c>
      <c r="D5887" s="6" t="s">
        <v>5314</v>
      </c>
      <c r="E5887">
        <v>23</v>
      </c>
      <c r="F5887" t="s">
        <v>6250</v>
      </c>
      <c r="G5887">
        <v>16</v>
      </c>
      <c r="Q5887" t="s">
        <v>7650</v>
      </c>
    </row>
    <row r="5888" spans="2:17" x14ac:dyDescent="0.2">
      <c r="B5888" t="s">
        <v>5378</v>
      </c>
      <c r="C5888">
        <v>2</v>
      </c>
      <c r="D5888" s="6" t="s">
        <v>5314</v>
      </c>
      <c r="E5888">
        <v>24</v>
      </c>
      <c r="F5888" t="s">
        <v>6250</v>
      </c>
      <c r="G5888">
        <v>14</v>
      </c>
      <c r="Q5888" t="s">
        <v>7649</v>
      </c>
    </row>
    <row r="5889" spans="2:17" x14ac:dyDescent="0.2">
      <c r="B5889" t="s">
        <v>5378</v>
      </c>
      <c r="C5889">
        <v>2</v>
      </c>
      <c r="D5889" s="6" t="s">
        <v>5314</v>
      </c>
      <c r="E5889">
        <v>25</v>
      </c>
      <c r="F5889" t="s">
        <v>6250</v>
      </c>
      <c r="G5889">
        <v>6</v>
      </c>
      <c r="Q5889" t="s">
        <v>7646</v>
      </c>
    </row>
    <row r="5890" spans="2:17" x14ac:dyDescent="0.2">
      <c r="B5890" t="s">
        <v>5378</v>
      </c>
      <c r="C5890">
        <v>2</v>
      </c>
      <c r="D5890" s="6" t="s">
        <v>5314</v>
      </c>
      <c r="E5890">
        <v>26</v>
      </c>
      <c r="F5890" t="s">
        <v>6250</v>
      </c>
      <c r="G5890">
        <v>4</v>
      </c>
      <c r="Q5890" t="s">
        <v>7648</v>
      </c>
    </row>
    <row r="5891" spans="2:17" x14ac:dyDescent="0.2">
      <c r="B5891" t="s">
        <v>5378</v>
      </c>
      <c r="C5891">
        <v>2</v>
      </c>
      <c r="D5891" s="6" t="s">
        <v>5314</v>
      </c>
      <c r="E5891">
        <v>27</v>
      </c>
      <c r="F5891" t="s">
        <v>6250</v>
      </c>
      <c r="G5891">
        <v>5</v>
      </c>
      <c r="Q5891" t="s">
        <v>7647</v>
      </c>
    </row>
    <row r="5892" spans="2:17" x14ac:dyDescent="0.2">
      <c r="B5892" t="s">
        <v>5378</v>
      </c>
      <c r="C5892">
        <v>2</v>
      </c>
      <c r="D5892" s="6" t="s">
        <v>5314</v>
      </c>
      <c r="E5892">
        <v>28</v>
      </c>
      <c r="F5892" t="s">
        <v>6250</v>
      </c>
      <c r="G5892">
        <v>34</v>
      </c>
      <c r="M5892">
        <v>5</v>
      </c>
    </row>
    <row r="5893" spans="2:17" x14ac:dyDescent="0.2">
      <c r="B5893" t="s">
        <v>5378</v>
      </c>
      <c r="C5893">
        <v>2</v>
      </c>
      <c r="D5893" s="6" t="s">
        <v>5314</v>
      </c>
      <c r="E5893" t="s">
        <v>5056</v>
      </c>
      <c r="F5893" t="s">
        <v>6250</v>
      </c>
      <c r="G5893">
        <v>46</v>
      </c>
      <c r="M5893">
        <v>7</v>
      </c>
    </row>
    <row r="5894" spans="2:17" x14ac:dyDescent="0.2">
      <c r="B5894" t="s">
        <v>5378</v>
      </c>
      <c r="C5894" s="6" t="s">
        <v>462</v>
      </c>
      <c r="D5894" s="6" t="s">
        <v>5314</v>
      </c>
      <c r="E5894" t="s">
        <v>5056</v>
      </c>
      <c r="F5894" t="s">
        <v>740</v>
      </c>
      <c r="G5894">
        <f>(719-421)*0.95</f>
        <v>283.09999999999997</v>
      </c>
    </row>
    <row r="5895" spans="2:17" x14ac:dyDescent="0.2">
      <c r="B5895" t="s">
        <v>5378</v>
      </c>
      <c r="C5895" t="s">
        <v>462</v>
      </c>
      <c r="D5895" s="6" t="s">
        <v>5314</v>
      </c>
      <c r="E5895" t="s">
        <v>5056</v>
      </c>
      <c r="F5895" t="s">
        <v>112</v>
      </c>
      <c r="G5895">
        <f>(719-421)*0.05</f>
        <v>14.9</v>
      </c>
    </row>
    <row r="5896" spans="2:17" x14ac:dyDescent="0.2">
      <c r="B5896" t="s">
        <v>5378</v>
      </c>
      <c r="C5896">
        <v>2</v>
      </c>
      <c r="D5896" s="6" t="s">
        <v>5314</v>
      </c>
      <c r="E5896">
        <v>29</v>
      </c>
      <c r="F5896" t="s">
        <v>6250</v>
      </c>
      <c r="G5896" t="s">
        <v>114</v>
      </c>
      <c r="Q5896" t="s">
        <v>7656</v>
      </c>
    </row>
    <row r="5897" spans="2:17" x14ac:dyDescent="0.2">
      <c r="B5897" t="s">
        <v>5378</v>
      </c>
      <c r="C5897">
        <v>2</v>
      </c>
      <c r="D5897" s="6" t="s">
        <v>5314</v>
      </c>
      <c r="E5897">
        <v>30</v>
      </c>
      <c r="F5897" t="s">
        <v>1389</v>
      </c>
      <c r="G5897">
        <v>1</v>
      </c>
      <c r="Q5897" t="s">
        <v>7657</v>
      </c>
    </row>
    <row r="5898" spans="2:17" x14ac:dyDescent="0.2">
      <c r="B5898" t="s">
        <v>5378</v>
      </c>
      <c r="C5898">
        <v>2</v>
      </c>
      <c r="D5898" s="6" t="s">
        <v>5314</v>
      </c>
      <c r="E5898">
        <v>31</v>
      </c>
      <c r="F5898" t="s">
        <v>6283</v>
      </c>
      <c r="G5898">
        <v>11</v>
      </c>
      <c r="Q5898" t="s">
        <v>7651</v>
      </c>
    </row>
    <row r="5899" spans="2:17" x14ac:dyDescent="0.2">
      <c r="B5899" t="s">
        <v>5378</v>
      </c>
      <c r="C5899">
        <v>2</v>
      </c>
      <c r="D5899" s="6" t="s">
        <v>5314</v>
      </c>
      <c r="E5899">
        <v>32</v>
      </c>
      <c r="F5899" t="s">
        <v>6283</v>
      </c>
      <c r="G5899">
        <v>7</v>
      </c>
      <c r="Q5899" t="s">
        <v>7652</v>
      </c>
    </row>
    <row r="5900" spans="2:17" x14ac:dyDescent="0.2">
      <c r="B5900" t="s">
        <v>5378</v>
      </c>
      <c r="C5900">
        <v>2</v>
      </c>
      <c r="D5900" s="6" t="s">
        <v>5314</v>
      </c>
      <c r="E5900">
        <v>33</v>
      </c>
      <c r="F5900" t="s">
        <v>6283</v>
      </c>
      <c r="G5900">
        <v>2</v>
      </c>
      <c r="Q5900" t="s">
        <v>7653</v>
      </c>
    </row>
    <row r="5901" spans="2:17" x14ac:dyDescent="0.2">
      <c r="B5901" t="s">
        <v>5378</v>
      </c>
      <c r="C5901">
        <v>2</v>
      </c>
      <c r="D5901" s="6" t="s">
        <v>5314</v>
      </c>
      <c r="E5901">
        <v>34</v>
      </c>
      <c r="F5901" t="s">
        <v>6283</v>
      </c>
      <c r="G5901">
        <v>3</v>
      </c>
      <c r="Q5901" t="s">
        <v>7654</v>
      </c>
    </row>
    <row r="5902" spans="2:17" x14ac:dyDescent="0.2">
      <c r="B5902" t="s">
        <v>5378</v>
      </c>
      <c r="C5902">
        <v>2</v>
      </c>
      <c r="D5902" s="6" t="s">
        <v>5314</v>
      </c>
      <c r="E5902">
        <v>35</v>
      </c>
      <c r="F5902" t="s">
        <v>6283</v>
      </c>
      <c r="G5902">
        <v>7</v>
      </c>
      <c r="Q5902" t="s">
        <v>7655</v>
      </c>
    </row>
    <row r="5903" spans="2:17" x14ac:dyDescent="0.2">
      <c r="B5903" t="s">
        <v>5378</v>
      </c>
      <c r="C5903">
        <v>2</v>
      </c>
      <c r="D5903" s="6" t="s">
        <v>5314</v>
      </c>
      <c r="E5903">
        <v>36</v>
      </c>
      <c r="F5903" t="s">
        <v>6283</v>
      </c>
      <c r="G5903">
        <v>35</v>
      </c>
      <c r="M5903">
        <v>5</v>
      </c>
    </row>
    <row r="5904" spans="2:17" x14ac:dyDescent="0.2">
      <c r="B5904" t="s">
        <v>5378</v>
      </c>
      <c r="C5904">
        <v>2</v>
      </c>
      <c r="D5904" s="6" t="s">
        <v>5314</v>
      </c>
      <c r="E5904" t="s">
        <v>5056</v>
      </c>
      <c r="F5904" t="s">
        <v>6283</v>
      </c>
      <c r="G5904">
        <v>73</v>
      </c>
      <c r="M5904">
        <v>18</v>
      </c>
    </row>
    <row r="5905" spans="2:17" x14ac:dyDescent="0.2">
      <c r="B5905" t="s">
        <v>5378</v>
      </c>
      <c r="C5905">
        <v>2</v>
      </c>
      <c r="D5905" s="6" t="s">
        <v>5314</v>
      </c>
      <c r="E5905" t="s">
        <v>5056</v>
      </c>
      <c r="F5905" t="s">
        <v>3184</v>
      </c>
      <c r="G5905">
        <v>58</v>
      </c>
      <c r="M5905" t="s">
        <v>802</v>
      </c>
    </row>
    <row r="5906" spans="2:17" x14ac:dyDescent="0.2">
      <c r="B5906" t="s">
        <v>5378</v>
      </c>
      <c r="C5906">
        <v>2</v>
      </c>
      <c r="D5906" s="6" t="s">
        <v>5314</v>
      </c>
      <c r="E5906">
        <v>37</v>
      </c>
      <c r="F5906" t="s">
        <v>106</v>
      </c>
      <c r="G5906">
        <v>5</v>
      </c>
    </row>
    <row r="5907" spans="2:17" x14ac:dyDescent="0.2">
      <c r="B5907" t="s">
        <v>5378</v>
      </c>
      <c r="C5907">
        <v>2</v>
      </c>
      <c r="D5907" s="6" t="s">
        <v>5314</v>
      </c>
      <c r="E5907">
        <v>38</v>
      </c>
      <c r="F5907" t="s">
        <v>3875</v>
      </c>
      <c r="G5907">
        <v>17</v>
      </c>
      <c r="O5907" t="s">
        <v>5688</v>
      </c>
    </row>
    <row r="5908" spans="2:17" x14ac:dyDescent="0.2">
      <c r="B5908" t="s">
        <v>5378</v>
      </c>
      <c r="C5908">
        <v>2</v>
      </c>
      <c r="D5908" s="6" t="s">
        <v>5314</v>
      </c>
      <c r="E5908">
        <v>39</v>
      </c>
      <c r="F5908" t="s">
        <v>5574</v>
      </c>
      <c r="G5908">
        <v>3</v>
      </c>
    </row>
    <row r="5909" spans="2:17" x14ac:dyDescent="0.2">
      <c r="B5909" t="s">
        <v>5378</v>
      </c>
      <c r="C5909">
        <v>2</v>
      </c>
      <c r="D5909" s="6" t="s">
        <v>5314</v>
      </c>
      <c r="E5909">
        <v>40</v>
      </c>
      <c r="F5909" t="s">
        <v>2218</v>
      </c>
      <c r="G5909">
        <v>4</v>
      </c>
      <c r="M5909">
        <v>4</v>
      </c>
    </row>
    <row r="5910" spans="2:17" x14ac:dyDescent="0.2">
      <c r="B5910" t="s">
        <v>5378</v>
      </c>
      <c r="C5910">
        <v>2</v>
      </c>
      <c r="D5910" s="6" t="s">
        <v>5314</v>
      </c>
      <c r="E5910">
        <v>41</v>
      </c>
      <c r="F5910" t="s">
        <v>3431</v>
      </c>
      <c r="G5910">
        <v>7</v>
      </c>
      <c r="M5910">
        <v>3</v>
      </c>
    </row>
    <row r="5911" spans="2:17" x14ac:dyDescent="0.2">
      <c r="B5911" t="s">
        <v>5378</v>
      </c>
      <c r="C5911">
        <v>2</v>
      </c>
      <c r="D5911" s="6" t="s">
        <v>5314</v>
      </c>
      <c r="E5911">
        <v>42</v>
      </c>
      <c r="F5911" t="s">
        <v>7140</v>
      </c>
      <c r="G5911">
        <v>28</v>
      </c>
      <c r="O5911" t="s">
        <v>7662</v>
      </c>
      <c r="Q5911" t="s">
        <v>7661</v>
      </c>
    </row>
    <row r="5912" spans="2:17" x14ac:dyDescent="0.2">
      <c r="B5912" t="s">
        <v>5378</v>
      </c>
      <c r="C5912">
        <v>2</v>
      </c>
      <c r="D5912" s="6" t="s">
        <v>5314</v>
      </c>
      <c r="E5912">
        <v>43</v>
      </c>
      <c r="F5912" t="s">
        <v>810</v>
      </c>
      <c r="G5912">
        <v>5</v>
      </c>
      <c r="M5912">
        <v>3</v>
      </c>
    </row>
    <row r="5913" spans="2:17" x14ac:dyDescent="0.2">
      <c r="B5913" t="s">
        <v>5378</v>
      </c>
      <c r="C5913">
        <v>2</v>
      </c>
      <c r="D5913" s="6" t="s">
        <v>5314</v>
      </c>
      <c r="E5913">
        <v>44</v>
      </c>
      <c r="F5913" t="s">
        <v>6862</v>
      </c>
      <c r="G5913">
        <v>2</v>
      </c>
      <c r="Q5913" t="s">
        <v>7660</v>
      </c>
    </row>
    <row r="5914" spans="2:17" x14ac:dyDescent="0.2">
      <c r="B5914" t="s">
        <v>5378</v>
      </c>
      <c r="C5914">
        <v>2</v>
      </c>
      <c r="D5914" s="6" t="s">
        <v>5314</v>
      </c>
      <c r="E5914">
        <v>45</v>
      </c>
      <c r="F5914" t="s">
        <v>6862</v>
      </c>
      <c r="G5914" t="s">
        <v>114</v>
      </c>
      <c r="Q5914" t="s">
        <v>7659</v>
      </c>
    </row>
    <row r="5915" spans="2:17" x14ac:dyDescent="0.2">
      <c r="B5915" t="s">
        <v>5378</v>
      </c>
      <c r="C5915">
        <v>2</v>
      </c>
      <c r="D5915" s="6" t="s">
        <v>5314</v>
      </c>
      <c r="E5915">
        <v>46</v>
      </c>
      <c r="F5915" t="s">
        <v>6862</v>
      </c>
      <c r="G5915">
        <v>1</v>
      </c>
      <c r="Q5915" t="s">
        <v>7658</v>
      </c>
    </row>
    <row r="5916" spans="2:17" x14ac:dyDescent="0.2">
      <c r="B5916" t="s">
        <v>5378</v>
      </c>
      <c r="C5916">
        <v>3</v>
      </c>
      <c r="D5916" s="6" t="s">
        <v>5314</v>
      </c>
      <c r="E5916" s="8" t="s">
        <v>5081</v>
      </c>
      <c r="F5916" t="s">
        <v>1389</v>
      </c>
      <c r="G5916">
        <v>14</v>
      </c>
      <c r="Q5916" t="s">
        <v>7663</v>
      </c>
    </row>
    <row r="5917" spans="2:17" x14ac:dyDescent="0.2">
      <c r="B5917" t="s">
        <v>5378</v>
      </c>
      <c r="C5917">
        <v>3</v>
      </c>
      <c r="D5917" s="6" t="s">
        <v>5314</v>
      </c>
      <c r="E5917" s="8" t="s">
        <v>5082</v>
      </c>
      <c r="F5917" t="s">
        <v>1389</v>
      </c>
      <c r="G5917" t="s">
        <v>114</v>
      </c>
      <c r="Q5917" t="s">
        <v>7665</v>
      </c>
    </row>
    <row r="5918" spans="2:17" x14ac:dyDescent="0.2">
      <c r="B5918" t="s">
        <v>5378</v>
      </c>
      <c r="C5918">
        <v>3</v>
      </c>
      <c r="D5918" s="6" t="s">
        <v>5314</v>
      </c>
      <c r="E5918" s="8" t="s">
        <v>5089</v>
      </c>
      <c r="F5918" t="s">
        <v>1389</v>
      </c>
      <c r="G5918">
        <v>5</v>
      </c>
      <c r="Q5918" t="s">
        <v>7667</v>
      </c>
    </row>
    <row r="5919" spans="2:17" x14ac:dyDescent="0.2">
      <c r="B5919" t="s">
        <v>5378</v>
      </c>
      <c r="C5919">
        <v>3</v>
      </c>
      <c r="D5919" s="6" t="s">
        <v>5314</v>
      </c>
      <c r="E5919" s="8" t="s">
        <v>5090</v>
      </c>
      <c r="F5919" t="s">
        <v>1389</v>
      </c>
      <c r="G5919">
        <v>1</v>
      </c>
      <c r="Q5919" t="s">
        <v>7666</v>
      </c>
    </row>
    <row r="5920" spans="2:17" x14ac:dyDescent="0.2">
      <c r="B5920" t="s">
        <v>5378</v>
      </c>
      <c r="C5920">
        <v>3</v>
      </c>
      <c r="D5920" s="6" t="s">
        <v>5314</v>
      </c>
      <c r="E5920" s="8" t="s">
        <v>5091</v>
      </c>
      <c r="F5920" t="s">
        <v>1389</v>
      </c>
      <c r="G5920">
        <v>5</v>
      </c>
      <c r="Q5920" t="s">
        <v>7664</v>
      </c>
    </row>
    <row r="5921" spans="2:17" x14ac:dyDescent="0.2">
      <c r="B5921" t="s">
        <v>5378</v>
      </c>
      <c r="C5921">
        <v>3</v>
      </c>
      <c r="D5921" s="6" t="s">
        <v>5314</v>
      </c>
      <c r="E5921" s="8" t="s">
        <v>5092</v>
      </c>
      <c r="F5921" t="s">
        <v>1389</v>
      </c>
      <c r="G5921">
        <v>23</v>
      </c>
      <c r="M5921">
        <v>5</v>
      </c>
    </row>
    <row r="5922" spans="2:17" x14ac:dyDescent="0.2">
      <c r="B5922" t="s">
        <v>5378</v>
      </c>
      <c r="C5922">
        <v>3</v>
      </c>
      <c r="D5922" s="6" t="s">
        <v>5314</v>
      </c>
      <c r="E5922" s="8" t="s">
        <v>5056</v>
      </c>
      <c r="F5922" t="s">
        <v>1389</v>
      </c>
      <c r="G5922">
        <v>98</v>
      </c>
      <c r="M5922">
        <v>22</v>
      </c>
    </row>
    <row r="5923" spans="2:17" x14ac:dyDescent="0.2">
      <c r="B5923" t="s">
        <v>5378</v>
      </c>
      <c r="C5923">
        <v>3</v>
      </c>
      <c r="D5923" s="6" t="s">
        <v>5314</v>
      </c>
      <c r="E5923">
        <v>15</v>
      </c>
      <c r="F5923" t="s">
        <v>1425</v>
      </c>
      <c r="G5923">
        <v>2</v>
      </c>
      <c r="Q5923" t="s">
        <v>7668</v>
      </c>
    </row>
    <row r="5924" spans="2:17" x14ac:dyDescent="0.2">
      <c r="B5924" t="s">
        <v>5378</v>
      </c>
      <c r="C5924">
        <v>3</v>
      </c>
      <c r="D5924" s="6" t="s">
        <v>5314</v>
      </c>
      <c r="E5924">
        <v>16</v>
      </c>
      <c r="F5924" t="s">
        <v>1425</v>
      </c>
      <c r="G5924">
        <v>23</v>
      </c>
      <c r="O5924" t="s">
        <v>6906</v>
      </c>
      <c r="Q5924" t="s">
        <v>7670</v>
      </c>
    </row>
    <row r="5925" spans="2:17" x14ac:dyDescent="0.2">
      <c r="B5925" t="s">
        <v>5378</v>
      </c>
      <c r="C5925">
        <v>3</v>
      </c>
      <c r="D5925" s="6" t="s">
        <v>5314</v>
      </c>
      <c r="E5925">
        <v>17</v>
      </c>
      <c r="F5925" t="s">
        <v>1425</v>
      </c>
      <c r="G5925">
        <v>6</v>
      </c>
      <c r="Q5925" t="s">
        <v>7669</v>
      </c>
    </row>
    <row r="5926" spans="2:17" x14ac:dyDescent="0.2">
      <c r="B5926" t="s">
        <v>5378</v>
      </c>
      <c r="C5926">
        <v>3</v>
      </c>
      <c r="D5926" s="6" t="s">
        <v>5314</v>
      </c>
      <c r="E5926">
        <v>18</v>
      </c>
      <c r="F5926" t="s">
        <v>1425</v>
      </c>
      <c r="G5926">
        <v>3</v>
      </c>
      <c r="Q5926" t="s">
        <v>7671</v>
      </c>
    </row>
    <row r="5927" spans="2:17" x14ac:dyDescent="0.2">
      <c r="B5927" t="s">
        <v>5378</v>
      </c>
      <c r="C5927">
        <v>3</v>
      </c>
      <c r="D5927" s="6" t="s">
        <v>5314</v>
      </c>
      <c r="E5927">
        <v>19</v>
      </c>
      <c r="F5927" t="s">
        <v>1425</v>
      </c>
      <c r="G5927">
        <v>8</v>
      </c>
      <c r="Q5927" t="s">
        <v>7672</v>
      </c>
    </row>
    <row r="5928" spans="2:17" x14ac:dyDescent="0.2">
      <c r="B5928" t="s">
        <v>5378</v>
      </c>
      <c r="C5928">
        <v>3</v>
      </c>
      <c r="D5928" s="6" t="s">
        <v>5314</v>
      </c>
      <c r="E5928">
        <v>20</v>
      </c>
      <c r="F5928" t="s">
        <v>1425</v>
      </c>
      <c r="G5928">
        <v>31</v>
      </c>
      <c r="M5928">
        <v>5</v>
      </c>
    </row>
    <row r="5929" spans="2:17" x14ac:dyDescent="0.2">
      <c r="B5929" t="s">
        <v>5378</v>
      </c>
      <c r="C5929">
        <v>3</v>
      </c>
      <c r="D5929" s="6" t="s">
        <v>5314</v>
      </c>
      <c r="E5929" t="s">
        <v>5056</v>
      </c>
      <c r="F5929" t="s">
        <v>1425</v>
      </c>
      <c r="G5929">
        <v>66</v>
      </c>
      <c r="M5929">
        <v>14</v>
      </c>
    </row>
    <row r="5930" spans="2:17" x14ac:dyDescent="0.2">
      <c r="B5930" t="s">
        <v>5378</v>
      </c>
      <c r="C5930">
        <v>3</v>
      </c>
      <c r="D5930" s="6" t="s">
        <v>5314</v>
      </c>
      <c r="E5930">
        <v>31</v>
      </c>
      <c r="F5930" t="s">
        <v>7674</v>
      </c>
      <c r="G5930">
        <v>33</v>
      </c>
      <c r="Q5930" t="s">
        <v>7675</v>
      </c>
    </row>
    <row r="5931" spans="2:17" x14ac:dyDescent="0.2">
      <c r="B5931" t="s">
        <v>5378</v>
      </c>
      <c r="C5931">
        <v>3</v>
      </c>
      <c r="D5931" s="6" t="s">
        <v>5314</v>
      </c>
      <c r="E5931">
        <v>32</v>
      </c>
      <c r="F5931" t="s">
        <v>7138</v>
      </c>
      <c r="G5931">
        <v>14</v>
      </c>
      <c r="M5931">
        <v>4</v>
      </c>
      <c r="Q5931" t="s">
        <v>7673</v>
      </c>
    </row>
    <row r="5932" spans="2:17" x14ac:dyDescent="0.2">
      <c r="B5932" t="s">
        <v>5378</v>
      </c>
      <c r="C5932">
        <v>3</v>
      </c>
      <c r="D5932" s="6" t="s">
        <v>5314</v>
      </c>
      <c r="E5932">
        <v>33</v>
      </c>
      <c r="F5932" t="s">
        <v>810</v>
      </c>
      <c r="G5932">
        <v>14</v>
      </c>
    </row>
    <row r="5933" spans="2:17" x14ac:dyDescent="0.2">
      <c r="B5933" t="s">
        <v>5378</v>
      </c>
      <c r="C5933">
        <v>3</v>
      </c>
      <c r="D5933" s="6" t="s">
        <v>5314</v>
      </c>
      <c r="E5933">
        <v>34</v>
      </c>
      <c r="F5933" t="s">
        <v>5574</v>
      </c>
      <c r="G5933">
        <v>4</v>
      </c>
    </row>
    <row r="5934" spans="2:17" x14ac:dyDescent="0.2">
      <c r="B5934" t="s">
        <v>5378</v>
      </c>
      <c r="C5934">
        <v>3</v>
      </c>
      <c r="D5934" s="6" t="s">
        <v>5314</v>
      </c>
      <c r="E5934">
        <v>35</v>
      </c>
      <c r="F5934" t="s">
        <v>3431</v>
      </c>
      <c r="G5934" t="s">
        <v>114</v>
      </c>
      <c r="M5934">
        <v>7</v>
      </c>
    </row>
    <row r="5935" spans="2:17" x14ac:dyDescent="0.2">
      <c r="B5935" t="s">
        <v>5378</v>
      </c>
      <c r="C5935">
        <v>3</v>
      </c>
      <c r="D5935" s="6" t="s">
        <v>5314</v>
      </c>
      <c r="E5935">
        <v>36</v>
      </c>
      <c r="F5935" t="s">
        <v>3875</v>
      </c>
      <c r="G5935">
        <v>2.9000000000000001E-2</v>
      </c>
    </row>
    <row r="5936" spans="2:17" x14ac:dyDescent="0.2">
      <c r="B5936" t="s">
        <v>5378</v>
      </c>
      <c r="C5936">
        <v>3</v>
      </c>
      <c r="D5936" s="6" t="s">
        <v>5314</v>
      </c>
      <c r="E5936">
        <v>37</v>
      </c>
      <c r="F5936" t="s">
        <v>106</v>
      </c>
      <c r="G5936">
        <v>5</v>
      </c>
    </row>
    <row r="5937" spans="2:17" x14ac:dyDescent="0.2">
      <c r="B5937" t="s">
        <v>5378</v>
      </c>
      <c r="C5937">
        <v>3</v>
      </c>
      <c r="D5937" s="6" t="s">
        <v>5314</v>
      </c>
      <c r="E5937">
        <v>38</v>
      </c>
      <c r="F5937" t="s">
        <v>121</v>
      </c>
      <c r="G5937">
        <v>4</v>
      </c>
    </row>
    <row r="5938" spans="2:17" x14ac:dyDescent="0.2">
      <c r="B5938" t="s">
        <v>5378</v>
      </c>
      <c r="C5938">
        <v>3</v>
      </c>
      <c r="D5938" s="6" t="s">
        <v>5314</v>
      </c>
      <c r="E5938" t="s">
        <v>5056</v>
      </c>
      <c r="F5938" t="s">
        <v>5690</v>
      </c>
      <c r="G5938">
        <v>25</v>
      </c>
      <c r="O5938" t="s">
        <v>5691</v>
      </c>
    </row>
    <row r="5939" spans="2:17" x14ac:dyDescent="0.2">
      <c r="B5939" t="s">
        <v>5378</v>
      </c>
      <c r="C5939">
        <v>3</v>
      </c>
      <c r="D5939" s="6" t="s">
        <v>5314</v>
      </c>
      <c r="E5939" s="8" t="s">
        <v>5097</v>
      </c>
      <c r="F5939" t="s">
        <v>5385</v>
      </c>
      <c r="G5939">
        <v>4</v>
      </c>
      <c r="Q5939" t="s">
        <v>7679</v>
      </c>
    </row>
    <row r="5940" spans="2:17" x14ac:dyDescent="0.2">
      <c r="B5940" t="s">
        <v>5378</v>
      </c>
      <c r="C5940">
        <v>3</v>
      </c>
      <c r="D5940" s="6" t="s">
        <v>5314</v>
      </c>
      <c r="E5940" s="8" t="s">
        <v>5098</v>
      </c>
      <c r="F5940" t="s">
        <v>5385</v>
      </c>
      <c r="G5940">
        <v>2</v>
      </c>
      <c r="Q5940" t="s">
        <v>7676</v>
      </c>
    </row>
    <row r="5941" spans="2:17" x14ac:dyDescent="0.2">
      <c r="B5941" t="s">
        <v>5378</v>
      </c>
      <c r="C5941">
        <v>3</v>
      </c>
      <c r="D5941" s="6" t="s">
        <v>5314</v>
      </c>
      <c r="E5941">
        <v>10</v>
      </c>
      <c r="F5941" t="s">
        <v>5385</v>
      </c>
      <c r="G5941">
        <v>2</v>
      </c>
      <c r="Q5941" t="s">
        <v>7677</v>
      </c>
    </row>
    <row r="5942" spans="2:17" x14ac:dyDescent="0.2">
      <c r="B5942" t="s">
        <v>5378</v>
      </c>
      <c r="C5942">
        <v>3</v>
      </c>
      <c r="D5942" s="6" t="s">
        <v>5314</v>
      </c>
      <c r="E5942">
        <v>11</v>
      </c>
      <c r="F5942" t="s">
        <v>5385</v>
      </c>
      <c r="G5942">
        <v>5</v>
      </c>
      <c r="Q5942" t="s">
        <v>7678</v>
      </c>
    </row>
    <row r="5943" spans="2:17" x14ac:dyDescent="0.2">
      <c r="B5943" t="s">
        <v>5378</v>
      </c>
      <c r="C5943">
        <v>3</v>
      </c>
      <c r="D5943" s="6" t="s">
        <v>5314</v>
      </c>
      <c r="E5943">
        <v>12</v>
      </c>
      <c r="F5943" t="s">
        <v>5385</v>
      </c>
      <c r="G5943">
        <v>2</v>
      </c>
      <c r="Q5943" t="s">
        <v>7680</v>
      </c>
    </row>
    <row r="5944" spans="2:17" x14ac:dyDescent="0.2">
      <c r="B5944" t="s">
        <v>5378</v>
      </c>
      <c r="C5944">
        <v>3</v>
      </c>
      <c r="D5944" s="6" t="s">
        <v>5314</v>
      </c>
      <c r="E5944">
        <v>13</v>
      </c>
      <c r="F5944" t="s">
        <v>5385</v>
      </c>
      <c r="G5944">
        <v>12</v>
      </c>
      <c r="M5944">
        <v>5</v>
      </c>
    </row>
    <row r="5945" spans="2:17" x14ac:dyDescent="0.2">
      <c r="B5945" t="s">
        <v>5378</v>
      </c>
      <c r="C5945">
        <v>3</v>
      </c>
      <c r="D5945" s="6" t="s">
        <v>5314</v>
      </c>
      <c r="E5945">
        <v>14</v>
      </c>
      <c r="F5945" t="s">
        <v>1559</v>
      </c>
      <c r="G5945">
        <v>2</v>
      </c>
      <c r="Q5945" t="s">
        <v>7681</v>
      </c>
    </row>
    <row r="5946" spans="2:17" x14ac:dyDescent="0.2">
      <c r="B5946" t="s">
        <v>5378</v>
      </c>
      <c r="C5946">
        <v>3</v>
      </c>
      <c r="D5946" s="6" t="s">
        <v>5314</v>
      </c>
      <c r="E5946" t="s">
        <v>5056</v>
      </c>
      <c r="F5946" t="s">
        <v>5385</v>
      </c>
      <c r="G5946">
        <v>68</v>
      </c>
      <c r="M5946">
        <v>23</v>
      </c>
    </row>
    <row r="5947" spans="2:17" x14ac:dyDescent="0.2">
      <c r="B5947" t="s">
        <v>5378</v>
      </c>
      <c r="C5947">
        <v>3</v>
      </c>
      <c r="D5947" s="6" t="s">
        <v>5314</v>
      </c>
      <c r="E5947" t="s">
        <v>5056</v>
      </c>
      <c r="F5947" t="s">
        <v>1264</v>
      </c>
      <c r="H5947">
        <f>8.2-0.47+3.5-0.285</f>
        <v>10.945</v>
      </c>
    </row>
    <row r="5948" spans="2:17" x14ac:dyDescent="0.2">
      <c r="B5948" t="s">
        <v>5378</v>
      </c>
      <c r="C5948">
        <v>3</v>
      </c>
      <c r="D5948" s="6" t="s">
        <v>5314</v>
      </c>
      <c r="E5948">
        <v>21</v>
      </c>
      <c r="F5948" t="s">
        <v>1538</v>
      </c>
      <c r="G5948">
        <v>25</v>
      </c>
      <c r="O5948" t="s">
        <v>5692</v>
      </c>
      <c r="Q5948" t="s">
        <v>7688</v>
      </c>
    </row>
    <row r="5949" spans="2:17" x14ac:dyDescent="0.2">
      <c r="B5949" t="s">
        <v>5378</v>
      </c>
      <c r="C5949">
        <v>3</v>
      </c>
      <c r="D5949" s="6" t="s">
        <v>5314</v>
      </c>
      <c r="E5949">
        <v>22</v>
      </c>
      <c r="F5949" t="s">
        <v>1538</v>
      </c>
      <c r="G5949">
        <v>16</v>
      </c>
      <c r="Q5949" t="s">
        <v>7686</v>
      </c>
    </row>
    <row r="5950" spans="2:17" x14ac:dyDescent="0.2">
      <c r="B5950" t="s">
        <v>5378</v>
      </c>
      <c r="C5950">
        <v>3</v>
      </c>
      <c r="D5950" s="6" t="s">
        <v>5314</v>
      </c>
      <c r="E5950">
        <v>23</v>
      </c>
      <c r="F5950" t="s">
        <v>1538</v>
      </c>
      <c r="G5950">
        <v>7</v>
      </c>
      <c r="Q5950" t="s">
        <v>7687</v>
      </c>
    </row>
    <row r="5951" spans="2:17" x14ac:dyDescent="0.2">
      <c r="B5951" t="s">
        <v>5378</v>
      </c>
      <c r="C5951">
        <v>3</v>
      </c>
      <c r="D5951" s="6" t="s">
        <v>5314</v>
      </c>
      <c r="E5951">
        <v>24</v>
      </c>
      <c r="F5951" t="s">
        <v>6978</v>
      </c>
      <c r="G5951">
        <v>1</v>
      </c>
      <c r="Q5951" t="s">
        <v>7685</v>
      </c>
    </row>
    <row r="5952" spans="2:17" x14ac:dyDescent="0.2">
      <c r="B5952" t="s">
        <v>5378</v>
      </c>
      <c r="C5952">
        <v>3</v>
      </c>
      <c r="D5952" s="6" t="s">
        <v>5314</v>
      </c>
      <c r="E5952">
        <v>25</v>
      </c>
      <c r="F5952" t="s">
        <v>6978</v>
      </c>
      <c r="G5952">
        <v>1</v>
      </c>
      <c r="Q5952" t="s">
        <v>7684</v>
      </c>
    </row>
    <row r="5953" spans="2:17" x14ac:dyDescent="0.2">
      <c r="B5953" t="s">
        <v>5378</v>
      </c>
      <c r="C5953">
        <v>3</v>
      </c>
      <c r="D5953" s="6" t="s">
        <v>5314</v>
      </c>
      <c r="E5953">
        <v>26</v>
      </c>
      <c r="F5953" t="s">
        <v>6978</v>
      </c>
      <c r="G5953" t="s">
        <v>114</v>
      </c>
      <c r="Q5953" t="s">
        <v>7683</v>
      </c>
    </row>
    <row r="5954" spans="2:17" x14ac:dyDescent="0.2">
      <c r="B5954" t="s">
        <v>5378</v>
      </c>
      <c r="C5954">
        <v>3</v>
      </c>
      <c r="D5954" s="6" t="s">
        <v>5314</v>
      </c>
      <c r="E5954">
        <v>27</v>
      </c>
      <c r="F5954" t="s">
        <v>5620</v>
      </c>
      <c r="G5954">
        <v>42</v>
      </c>
      <c r="Q5954" t="s">
        <v>7682</v>
      </c>
    </row>
    <row r="5955" spans="2:17" x14ac:dyDescent="0.2">
      <c r="B5955" t="s">
        <v>5378</v>
      </c>
      <c r="C5955">
        <v>3</v>
      </c>
      <c r="D5955" s="6" t="s">
        <v>5314</v>
      </c>
      <c r="E5955">
        <v>28</v>
      </c>
      <c r="F5955" t="s">
        <v>6239</v>
      </c>
      <c r="G5955" t="s">
        <v>114</v>
      </c>
      <c r="Q5955" t="s">
        <v>7691</v>
      </c>
    </row>
    <row r="5956" spans="2:17" x14ac:dyDescent="0.2">
      <c r="B5956" t="s">
        <v>5378</v>
      </c>
      <c r="C5956">
        <v>3</v>
      </c>
      <c r="D5956" s="6" t="s">
        <v>5314</v>
      </c>
      <c r="E5956">
        <v>29</v>
      </c>
      <c r="F5956" t="s">
        <v>1538</v>
      </c>
      <c r="G5956">
        <v>1</v>
      </c>
      <c r="Q5956" t="s">
        <v>7690</v>
      </c>
    </row>
    <row r="5957" spans="2:17" x14ac:dyDescent="0.2">
      <c r="B5957" t="s">
        <v>5378</v>
      </c>
      <c r="C5957">
        <v>3</v>
      </c>
      <c r="D5957" s="6" t="s">
        <v>5314</v>
      </c>
      <c r="E5957">
        <v>30</v>
      </c>
      <c r="F5957" t="s">
        <v>1538</v>
      </c>
      <c r="G5957" t="s">
        <v>114</v>
      </c>
      <c r="Q5957" t="s">
        <v>7689</v>
      </c>
    </row>
    <row r="5958" spans="2:17" x14ac:dyDescent="0.2">
      <c r="B5958" t="s">
        <v>5378</v>
      </c>
      <c r="C5958">
        <v>3</v>
      </c>
      <c r="D5958" s="6" t="s">
        <v>5314</v>
      </c>
      <c r="E5958">
        <v>39</v>
      </c>
      <c r="F5958" t="s">
        <v>1538</v>
      </c>
      <c r="G5958" t="s">
        <v>114</v>
      </c>
      <c r="O5958" t="s">
        <v>3898</v>
      </c>
    </row>
    <row r="5959" spans="2:17" x14ac:dyDescent="0.2">
      <c r="B5959" t="s">
        <v>5378</v>
      </c>
      <c r="C5959">
        <v>3</v>
      </c>
      <c r="D5959" s="6" t="s">
        <v>5314</v>
      </c>
      <c r="E5959">
        <v>40</v>
      </c>
      <c r="F5959" t="s">
        <v>1538</v>
      </c>
      <c r="G5959" t="s">
        <v>114</v>
      </c>
      <c r="O5959" t="s">
        <v>3898</v>
      </c>
    </row>
    <row r="5960" spans="2:17" x14ac:dyDescent="0.2">
      <c r="B5960" t="s">
        <v>5378</v>
      </c>
      <c r="C5960">
        <v>4</v>
      </c>
      <c r="D5960" s="6" t="s">
        <v>5314</v>
      </c>
      <c r="E5960" s="8" t="s">
        <v>5081</v>
      </c>
      <c r="F5960" t="s">
        <v>3875</v>
      </c>
      <c r="G5960">
        <v>172</v>
      </c>
    </row>
    <row r="5961" spans="2:17" x14ac:dyDescent="0.2">
      <c r="B5961" t="s">
        <v>5378</v>
      </c>
      <c r="C5961">
        <v>4</v>
      </c>
      <c r="D5961" s="6" t="s">
        <v>5314</v>
      </c>
      <c r="E5961" s="8" t="s">
        <v>5082</v>
      </c>
      <c r="F5961" t="s">
        <v>5678</v>
      </c>
      <c r="G5961">
        <v>3</v>
      </c>
    </row>
    <row r="5962" spans="2:17" x14ac:dyDescent="0.2">
      <c r="B5962" t="s">
        <v>5378</v>
      </c>
      <c r="C5962">
        <v>4</v>
      </c>
      <c r="D5962" s="6" t="s">
        <v>5314</v>
      </c>
      <c r="E5962" s="8" t="s">
        <v>5089</v>
      </c>
      <c r="F5962" t="s">
        <v>7363</v>
      </c>
      <c r="G5962">
        <v>16</v>
      </c>
    </row>
    <row r="5963" spans="2:17" x14ac:dyDescent="0.2">
      <c r="B5963" t="s">
        <v>5378</v>
      </c>
      <c r="C5963">
        <v>4</v>
      </c>
      <c r="D5963" s="6" t="s">
        <v>5314</v>
      </c>
      <c r="E5963" s="8" t="s">
        <v>5090</v>
      </c>
      <c r="F5963" t="s">
        <v>3431</v>
      </c>
      <c r="G5963">
        <v>1</v>
      </c>
    </row>
    <row r="5964" spans="2:17" x14ac:dyDescent="0.2">
      <c r="B5964" t="s">
        <v>5378</v>
      </c>
      <c r="C5964">
        <v>4</v>
      </c>
      <c r="D5964" s="6" t="s">
        <v>5314</v>
      </c>
      <c r="E5964" s="8" t="s">
        <v>5091</v>
      </c>
      <c r="F5964" t="s">
        <v>7692</v>
      </c>
      <c r="G5964">
        <v>14</v>
      </c>
      <c r="Q5964" t="s">
        <v>7683</v>
      </c>
    </row>
    <row r="5965" spans="2:17" x14ac:dyDescent="0.2">
      <c r="B5965" t="s">
        <v>5378</v>
      </c>
      <c r="C5965">
        <v>4</v>
      </c>
      <c r="D5965" s="6" t="s">
        <v>5314</v>
      </c>
      <c r="E5965" s="8" t="s">
        <v>5092</v>
      </c>
      <c r="F5965" t="s">
        <v>7693</v>
      </c>
      <c r="G5965">
        <v>2</v>
      </c>
    </row>
    <row r="5966" spans="2:17" x14ac:dyDescent="0.2">
      <c r="B5966" t="s">
        <v>5378</v>
      </c>
      <c r="C5966">
        <v>4</v>
      </c>
      <c r="D5966" s="6" t="s">
        <v>5314</v>
      </c>
      <c r="E5966" s="8" t="s">
        <v>5094</v>
      </c>
      <c r="F5966" t="s">
        <v>106</v>
      </c>
      <c r="G5966">
        <v>4</v>
      </c>
    </row>
    <row r="5967" spans="2:17" x14ac:dyDescent="0.2">
      <c r="B5967" t="s">
        <v>5378</v>
      </c>
      <c r="C5967">
        <v>4</v>
      </c>
      <c r="D5967" s="6" t="s">
        <v>5314</v>
      </c>
      <c r="E5967" s="8" t="s">
        <v>5097</v>
      </c>
      <c r="F5967" t="s">
        <v>2553</v>
      </c>
      <c r="G5967">
        <v>1</v>
      </c>
    </row>
    <row r="5968" spans="2:17" x14ac:dyDescent="0.2">
      <c r="B5968" t="s">
        <v>5378</v>
      </c>
      <c r="C5968">
        <v>4</v>
      </c>
      <c r="D5968" s="6" t="s">
        <v>5314</v>
      </c>
      <c r="E5968" s="8" t="s">
        <v>5098</v>
      </c>
      <c r="F5968" t="s">
        <v>5208</v>
      </c>
      <c r="G5968">
        <v>1</v>
      </c>
    </row>
    <row r="5969" spans="2:17" x14ac:dyDescent="0.2">
      <c r="B5969" t="s">
        <v>5378</v>
      </c>
      <c r="C5969">
        <v>4</v>
      </c>
      <c r="D5969" s="6" t="s">
        <v>5314</v>
      </c>
      <c r="E5969">
        <v>33</v>
      </c>
      <c r="F5969" t="s">
        <v>698</v>
      </c>
      <c r="G5969" t="s">
        <v>114</v>
      </c>
    </row>
    <row r="5970" spans="2:17" x14ac:dyDescent="0.2">
      <c r="B5970" t="s">
        <v>5378</v>
      </c>
      <c r="C5970">
        <v>4</v>
      </c>
      <c r="D5970" s="6" t="s">
        <v>5314</v>
      </c>
      <c r="E5970">
        <v>10</v>
      </c>
      <c r="F5970" t="s">
        <v>6282</v>
      </c>
      <c r="G5970">
        <v>2.5000000000000001E-2</v>
      </c>
      <c r="Q5970" t="s">
        <v>7703</v>
      </c>
    </row>
    <row r="5971" spans="2:17" x14ac:dyDescent="0.2">
      <c r="B5971" t="s">
        <v>5378</v>
      </c>
      <c r="C5971">
        <v>4</v>
      </c>
      <c r="D5971" s="6" t="s">
        <v>5314</v>
      </c>
      <c r="E5971">
        <v>11</v>
      </c>
      <c r="F5971" t="s">
        <v>6282</v>
      </c>
      <c r="G5971">
        <v>2.5000000000000001E-2</v>
      </c>
      <c r="Q5971" t="s">
        <v>7702</v>
      </c>
    </row>
    <row r="5972" spans="2:17" x14ac:dyDescent="0.2">
      <c r="B5972" t="s">
        <v>5378</v>
      </c>
      <c r="C5972">
        <v>4</v>
      </c>
      <c r="D5972" s="6" t="s">
        <v>5314</v>
      </c>
      <c r="E5972">
        <v>12</v>
      </c>
      <c r="F5972" t="s">
        <v>1425</v>
      </c>
      <c r="G5972">
        <v>7.0000000000000001E-3</v>
      </c>
      <c r="Q5972" t="s">
        <v>7701</v>
      </c>
    </row>
    <row r="5973" spans="2:17" x14ac:dyDescent="0.2">
      <c r="B5973" t="s">
        <v>5378</v>
      </c>
      <c r="C5973">
        <v>4</v>
      </c>
      <c r="D5973" s="6" t="s">
        <v>5314</v>
      </c>
      <c r="E5973">
        <v>13</v>
      </c>
      <c r="F5973" t="s">
        <v>1425</v>
      </c>
      <c r="G5973">
        <v>1.4E-2</v>
      </c>
      <c r="Q5973" t="s">
        <v>7700</v>
      </c>
    </row>
    <row r="5974" spans="2:17" x14ac:dyDescent="0.2">
      <c r="B5974" t="s">
        <v>5378</v>
      </c>
      <c r="C5974">
        <v>4</v>
      </c>
      <c r="D5974" s="6" t="s">
        <v>5314</v>
      </c>
      <c r="E5974">
        <v>14</v>
      </c>
      <c r="F5974" t="s">
        <v>1425</v>
      </c>
      <c r="G5974">
        <v>5.0000000000000001E-3</v>
      </c>
      <c r="Q5974" t="s">
        <v>7700</v>
      </c>
    </row>
    <row r="5975" spans="2:17" x14ac:dyDescent="0.2">
      <c r="B5975" t="s">
        <v>5378</v>
      </c>
      <c r="C5975">
        <v>4</v>
      </c>
      <c r="D5975" s="6" t="s">
        <v>5314</v>
      </c>
      <c r="E5975">
        <v>15</v>
      </c>
      <c r="F5975" t="s">
        <v>5385</v>
      </c>
      <c r="G5975">
        <v>5</v>
      </c>
      <c r="Q5975" t="s">
        <v>7699</v>
      </c>
    </row>
    <row r="5976" spans="2:17" x14ac:dyDescent="0.2">
      <c r="B5976" t="s">
        <v>5378</v>
      </c>
      <c r="C5976">
        <v>4</v>
      </c>
      <c r="D5976" s="6" t="s">
        <v>5314</v>
      </c>
      <c r="E5976">
        <v>16</v>
      </c>
      <c r="F5976" t="s">
        <v>5385</v>
      </c>
      <c r="G5976">
        <v>3</v>
      </c>
      <c r="Q5976" t="s">
        <v>7698</v>
      </c>
    </row>
    <row r="5977" spans="2:17" x14ac:dyDescent="0.2">
      <c r="B5977" t="s">
        <v>5378</v>
      </c>
      <c r="C5977">
        <v>4</v>
      </c>
      <c r="D5977" s="6" t="s">
        <v>5314</v>
      </c>
      <c r="E5977">
        <v>17</v>
      </c>
      <c r="F5977" t="s">
        <v>5385</v>
      </c>
      <c r="G5977">
        <v>3</v>
      </c>
      <c r="Q5977" t="s">
        <v>7697</v>
      </c>
    </row>
    <row r="5978" spans="2:17" x14ac:dyDescent="0.2">
      <c r="B5978" t="s">
        <v>5378</v>
      </c>
      <c r="C5978">
        <v>4</v>
      </c>
      <c r="D5978" s="6" t="s">
        <v>5314</v>
      </c>
      <c r="E5978">
        <v>18</v>
      </c>
      <c r="F5978" t="s">
        <v>5385</v>
      </c>
      <c r="G5978">
        <v>5</v>
      </c>
      <c r="Q5978" t="s">
        <v>7696</v>
      </c>
    </row>
    <row r="5979" spans="2:17" x14ac:dyDescent="0.2">
      <c r="B5979" t="s">
        <v>5378</v>
      </c>
      <c r="C5979">
        <v>4</v>
      </c>
      <c r="D5979" s="6" t="s">
        <v>5314</v>
      </c>
      <c r="E5979">
        <v>19</v>
      </c>
      <c r="F5979" t="s">
        <v>5385</v>
      </c>
      <c r="G5979">
        <v>2</v>
      </c>
      <c r="Q5979" t="s">
        <v>7695</v>
      </c>
    </row>
    <row r="5980" spans="2:17" x14ac:dyDescent="0.2">
      <c r="B5980" t="s">
        <v>5378</v>
      </c>
      <c r="C5980">
        <v>4</v>
      </c>
      <c r="D5980" s="6" t="s">
        <v>5314</v>
      </c>
      <c r="E5980">
        <v>20</v>
      </c>
      <c r="F5980" t="s">
        <v>5385</v>
      </c>
      <c r="G5980">
        <v>3</v>
      </c>
      <c r="Q5980" t="s">
        <v>7694</v>
      </c>
    </row>
    <row r="5981" spans="2:17" x14ac:dyDescent="0.2">
      <c r="B5981" t="s">
        <v>5378</v>
      </c>
      <c r="C5981">
        <v>4</v>
      </c>
      <c r="D5981" s="6" t="s">
        <v>5314</v>
      </c>
      <c r="E5981">
        <v>21</v>
      </c>
      <c r="F5981" t="s">
        <v>1389</v>
      </c>
      <c r="G5981">
        <v>3</v>
      </c>
      <c r="Q5981" t="s">
        <v>7709</v>
      </c>
    </row>
    <row r="5982" spans="2:17" x14ac:dyDescent="0.2">
      <c r="B5982" t="s">
        <v>5378</v>
      </c>
      <c r="C5982">
        <v>4</v>
      </c>
      <c r="D5982" s="6" t="s">
        <v>5314</v>
      </c>
      <c r="E5982">
        <v>22</v>
      </c>
      <c r="F5982" t="s">
        <v>1389</v>
      </c>
      <c r="G5982">
        <v>6</v>
      </c>
      <c r="Q5982" t="s">
        <v>7710</v>
      </c>
    </row>
    <row r="5983" spans="2:17" x14ac:dyDescent="0.2">
      <c r="B5983" t="s">
        <v>5378</v>
      </c>
      <c r="C5983">
        <v>4</v>
      </c>
      <c r="D5983" s="6" t="s">
        <v>5314</v>
      </c>
      <c r="E5983">
        <v>23</v>
      </c>
      <c r="F5983" t="s">
        <v>1389</v>
      </c>
      <c r="G5983">
        <v>9</v>
      </c>
      <c r="Q5983" t="s">
        <v>7711</v>
      </c>
    </row>
    <row r="5984" spans="2:17" x14ac:dyDescent="0.2">
      <c r="B5984" t="s">
        <v>5378</v>
      </c>
      <c r="C5984">
        <v>4</v>
      </c>
      <c r="D5984" s="6" t="s">
        <v>5314</v>
      </c>
      <c r="E5984">
        <v>24</v>
      </c>
      <c r="F5984" t="s">
        <v>1389</v>
      </c>
      <c r="G5984">
        <v>8</v>
      </c>
      <c r="Q5984" t="s">
        <v>7713</v>
      </c>
    </row>
    <row r="5985" spans="2:17" x14ac:dyDescent="0.2">
      <c r="B5985" t="s">
        <v>5378</v>
      </c>
      <c r="C5985">
        <v>4</v>
      </c>
      <c r="D5985" s="6" t="s">
        <v>5314</v>
      </c>
      <c r="E5985">
        <v>25</v>
      </c>
      <c r="F5985" t="s">
        <v>1389</v>
      </c>
      <c r="G5985" t="s">
        <v>114</v>
      </c>
      <c r="Q5985" t="s">
        <v>7712</v>
      </c>
    </row>
    <row r="5986" spans="2:17" x14ac:dyDescent="0.2">
      <c r="B5986" t="s">
        <v>5378</v>
      </c>
      <c r="C5986">
        <v>4</v>
      </c>
      <c r="D5986" s="6" t="s">
        <v>5314</v>
      </c>
      <c r="E5986">
        <v>26</v>
      </c>
      <c r="F5986" t="s">
        <v>1389</v>
      </c>
      <c r="G5986" t="s">
        <v>114</v>
      </c>
      <c r="M5986">
        <v>5</v>
      </c>
    </row>
    <row r="5987" spans="2:17" x14ac:dyDescent="0.2">
      <c r="B5987" t="s">
        <v>5378</v>
      </c>
      <c r="C5987">
        <v>4</v>
      </c>
      <c r="D5987" s="6" t="s">
        <v>5314</v>
      </c>
      <c r="E5987" t="s">
        <v>5056</v>
      </c>
      <c r="F5987" t="s">
        <v>1389</v>
      </c>
      <c r="G5987">
        <v>3</v>
      </c>
      <c r="M5987">
        <v>12</v>
      </c>
    </row>
    <row r="5988" spans="2:17" x14ac:dyDescent="0.2">
      <c r="B5988" t="s">
        <v>5378</v>
      </c>
      <c r="C5988">
        <v>4</v>
      </c>
      <c r="D5988" s="6" t="s">
        <v>5314</v>
      </c>
      <c r="E5988">
        <v>27</v>
      </c>
      <c r="F5988" t="s">
        <v>6978</v>
      </c>
      <c r="G5988" t="s">
        <v>114</v>
      </c>
      <c r="Q5988" t="s">
        <v>7707</v>
      </c>
    </row>
    <row r="5989" spans="2:17" x14ac:dyDescent="0.2">
      <c r="B5989" t="s">
        <v>5378</v>
      </c>
      <c r="C5989">
        <v>4</v>
      </c>
      <c r="D5989" s="6" t="s">
        <v>5314</v>
      </c>
      <c r="E5989">
        <v>28</v>
      </c>
      <c r="F5989" t="s">
        <v>6978</v>
      </c>
      <c r="G5989" t="s">
        <v>114</v>
      </c>
      <c r="Q5989" t="s">
        <v>7708</v>
      </c>
    </row>
    <row r="5990" spans="2:17" x14ac:dyDescent="0.2">
      <c r="B5990" t="s">
        <v>5378</v>
      </c>
      <c r="C5990">
        <v>4</v>
      </c>
      <c r="D5990" s="6" t="s">
        <v>5314</v>
      </c>
      <c r="E5990">
        <v>29</v>
      </c>
      <c r="F5990" t="s">
        <v>6359</v>
      </c>
      <c r="G5990">
        <v>1</v>
      </c>
      <c r="Q5990" t="s">
        <v>7706</v>
      </c>
    </row>
    <row r="5991" spans="2:17" x14ac:dyDescent="0.2">
      <c r="B5991" t="s">
        <v>5378</v>
      </c>
      <c r="C5991">
        <v>4</v>
      </c>
      <c r="D5991" s="6" t="s">
        <v>5314</v>
      </c>
      <c r="E5991">
        <v>30</v>
      </c>
      <c r="F5991" t="s">
        <v>6359</v>
      </c>
      <c r="G5991">
        <v>2</v>
      </c>
      <c r="Q5991" t="s">
        <v>7705</v>
      </c>
    </row>
    <row r="5992" spans="2:17" x14ac:dyDescent="0.2">
      <c r="B5992" t="s">
        <v>5378</v>
      </c>
      <c r="C5992">
        <v>4</v>
      </c>
      <c r="D5992" s="6" t="s">
        <v>5314</v>
      </c>
      <c r="E5992">
        <v>31</v>
      </c>
      <c r="F5992" t="s">
        <v>6359</v>
      </c>
      <c r="G5992">
        <v>2</v>
      </c>
      <c r="Q5992" t="s">
        <v>7704</v>
      </c>
    </row>
    <row r="5993" spans="2:17" x14ac:dyDescent="0.2">
      <c r="B5993" t="s">
        <v>5378</v>
      </c>
      <c r="C5993">
        <v>4</v>
      </c>
      <c r="D5993" s="6" t="s">
        <v>5314</v>
      </c>
      <c r="E5993" t="s">
        <v>5056</v>
      </c>
      <c r="F5993" t="s">
        <v>5695</v>
      </c>
      <c r="G5993">
        <v>11</v>
      </c>
    </row>
    <row r="5994" spans="2:17" x14ac:dyDescent="0.2">
      <c r="B5994" t="s">
        <v>5378</v>
      </c>
      <c r="C5994">
        <v>4</v>
      </c>
      <c r="D5994" s="6" t="s">
        <v>5314</v>
      </c>
      <c r="E5994">
        <v>32</v>
      </c>
      <c r="F5994" t="s">
        <v>1264</v>
      </c>
      <c r="G5994">
        <v>182</v>
      </c>
    </row>
    <row r="5995" spans="2:17" x14ac:dyDescent="0.2">
      <c r="B5995" t="s">
        <v>5378</v>
      </c>
      <c r="C5995">
        <v>5</v>
      </c>
      <c r="D5995" s="6" t="s">
        <v>5314</v>
      </c>
      <c r="E5995">
        <v>12</v>
      </c>
      <c r="F5995" t="s">
        <v>3875</v>
      </c>
      <c r="G5995">
        <f>754-590</f>
        <v>164</v>
      </c>
    </row>
    <row r="5996" spans="2:17" x14ac:dyDescent="0.2">
      <c r="B5996" t="s">
        <v>5378</v>
      </c>
      <c r="C5996">
        <v>5</v>
      </c>
      <c r="D5996" s="6" t="s">
        <v>5314</v>
      </c>
      <c r="E5996" s="8" t="s">
        <v>5082</v>
      </c>
      <c r="F5996" t="s">
        <v>3431</v>
      </c>
      <c r="G5996">
        <v>3</v>
      </c>
    </row>
    <row r="5997" spans="2:17" x14ac:dyDescent="0.2">
      <c r="B5997" t="s">
        <v>5378</v>
      </c>
      <c r="C5997">
        <v>5</v>
      </c>
      <c r="D5997" s="6" t="s">
        <v>5314</v>
      </c>
      <c r="E5997" s="8" t="s">
        <v>5081</v>
      </c>
      <c r="F5997" t="s">
        <v>5678</v>
      </c>
      <c r="G5997">
        <v>4</v>
      </c>
    </row>
    <row r="5998" spans="2:17" x14ac:dyDescent="0.2">
      <c r="B5998" t="s">
        <v>5378</v>
      </c>
      <c r="C5998">
        <v>5</v>
      </c>
      <c r="D5998" s="6" t="s">
        <v>5314</v>
      </c>
      <c r="E5998" s="8" t="s">
        <v>5089</v>
      </c>
      <c r="F5998" t="s">
        <v>5208</v>
      </c>
      <c r="G5998" t="s">
        <v>114</v>
      </c>
    </row>
    <row r="5999" spans="2:17" x14ac:dyDescent="0.2">
      <c r="B5999" t="s">
        <v>5378</v>
      </c>
      <c r="C5999">
        <v>5</v>
      </c>
      <c r="D5999" s="6" t="s">
        <v>5314</v>
      </c>
      <c r="E5999" s="8" t="s">
        <v>5090</v>
      </c>
      <c r="F5999" t="s">
        <v>7363</v>
      </c>
      <c r="G5999">
        <v>20</v>
      </c>
      <c r="M5999">
        <v>2</v>
      </c>
    </row>
    <row r="6000" spans="2:17" x14ac:dyDescent="0.2">
      <c r="B6000" t="s">
        <v>5378</v>
      </c>
      <c r="C6000">
        <v>5</v>
      </c>
      <c r="D6000" s="6" t="s">
        <v>5314</v>
      </c>
      <c r="E6000" s="8" t="s">
        <v>5091</v>
      </c>
      <c r="F6000" t="s">
        <v>7138</v>
      </c>
      <c r="G6000">
        <v>6</v>
      </c>
      <c r="M6000">
        <v>2</v>
      </c>
      <c r="Q6000" t="s">
        <v>7714</v>
      </c>
    </row>
    <row r="6001" spans="2:17" x14ac:dyDescent="0.2">
      <c r="B6001" t="s">
        <v>5378</v>
      </c>
      <c r="C6001">
        <v>5</v>
      </c>
      <c r="D6001" s="6" t="s">
        <v>5314</v>
      </c>
      <c r="E6001" s="8" t="s">
        <v>5092</v>
      </c>
      <c r="F6001" t="s">
        <v>106</v>
      </c>
      <c r="G6001">
        <v>2</v>
      </c>
    </row>
    <row r="6002" spans="2:17" x14ac:dyDescent="0.2">
      <c r="B6002" t="s">
        <v>5378</v>
      </c>
      <c r="C6002">
        <v>5</v>
      </c>
      <c r="D6002" s="6" t="s">
        <v>5314</v>
      </c>
      <c r="E6002" s="8" t="s">
        <v>5094</v>
      </c>
      <c r="F6002" t="s">
        <v>3875</v>
      </c>
      <c r="G6002">
        <v>12</v>
      </c>
    </row>
    <row r="6003" spans="2:17" x14ac:dyDescent="0.2">
      <c r="B6003" t="s">
        <v>5378</v>
      </c>
      <c r="C6003">
        <v>5</v>
      </c>
      <c r="D6003" s="6" t="s">
        <v>5314</v>
      </c>
      <c r="E6003" s="8" t="s">
        <v>5097</v>
      </c>
      <c r="F6003" t="s">
        <v>5656</v>
      </c>
      <c r="G6003">
        <v>5</v>
      </c>
      <c r="Q6003" t="s">
        <v>7715</v>
      </c>
    </row>
    <row r="6004" spans="2:17" x14ac:dyDescent="0.2">
      <c r="B6004" t="s">
        <v>5378</v>
      </c>
      <c r="C6004">
        <v>5</v>
      </c>
      <c r="D6004" s="6" t="s">
        <v>5314</v>
      </c>
      <c r="E6004" s="8" t="s">
        <v>5098</v>
      </c>
      <c r="F6004" t="s">
        <v>5385</v>
      </c>
      <c r="G6004">
        <v>4</v>
      </c>
      <c r="Q6004" t="s">
        <v>7716</v>
      </c>
    </row>
    <row r="6005" spans="2:17" x14ac:dyDescent="0.2">
      <c r="B6005" t="s">
        <v>5378</v>
      </c>
      <c r="C6005">
        <v>5</v>
      </c>
      <c r="D6005" s="6" t="s">
        <v>5314</v>
      </c>
      <c r="E6005" s="8" t="s">
        <v>5166</v>
      </c>
      <c r="F6005" t="s">
        <v>5385</v>
      </c>
      <c r="G6005">
        <v>2</v>
      </c>
      <c r="Q6005" t="s">
        <v>7717</v>
      </c>
    </row>
    <row r="6006" spans="2:17" x14ac:dyDescent="0.2">
      <c r="B6006" t="s">
        <v>5378</v>
      </c>
      <c r="C6006">
        <v>5</v>
      </c>
      <c r="D6006" s="6" t="s">
        <v>5314</v>
      </c>
      <c r="E6006" s="8" t="s">
        <v>5167</v>
      </c>
      <c r="F6006" t="s">
        <v>1559</v>
      </c>
      <c r="G6006">
        <v>1</v>
      </c>
      <c r="O6006" t="s">
        <v>5392</v>
      </c>
      <c r="Q6006" t="s">
        <v>7718</v>
      </c>
    </row>
    <row r="6007" spans="2:17" x14ac:dyDescent="0.2">
      <c r="B6007" t="s">
        <v>5378</v>
      </c>
      <c r="C6007">
        <v>6</v>
      </c>
      <c r="D6007" s="6" t="s">
        <v>5314</v>
      </c>
      <c r="E6007">
        <v>26</v>
      </c>
      <c r="F6007" t="s">
        <v>504</v>
      </c>
      <c r="G6007">
        <f>958-590</f>
        <v>368</v>
      </c>
      <c r="O6007" t="s">
        <v>5696</v>
      </c>
    </row>
    <row r="6008" spans="2:17" x14ac:dyDescent="0.2">
      <c r="B6008" t="s">
        <v>5378</v>
      </c>
      <c r="C6008">
        <v>6</v>
      </c>
      <c r="D6008" s="6" t="s">
        <v>5314</v>
      </c>
      <c r="E6008">
        <v>27</v>
      </c>
      <c r="F6008" t="s">
        <v>1264</v>
      </c>
      <c r="G6008">
        <f>1951-0.295</f>
        <v>1950.7049999999999</v>
      </c>
    </row>
    <row r="6009" spans="2:17" x14ac:dyDescent="0.2">
      <c r="B6009" t="s">
        <v>5378</v>
      </c>
      <c r="C6009">
        <v>6</v>
      </c>
      <c r="D6009" s="6" t="s">
        <v>5314</v>
      </c>
      <c r="E6009" s="8" t="s">
        <v>5081</v>
      </c>
      <c r="F6009" t="s">
        <v>5385</v>
      </c>
      <c r="G6009">
        <v>4</v>
      </c>
      <c r="Q6009" t="s">
        <v>7719</v>
      </c>
    </row>
    <row r="6010" spans="2:17" x14ac:dyDescent="0.2">
      <c r="B6010" t="s">
        <v>5378</v>
      </c>
      <c r="C6010">
        <v>6</v>
      </c>
      <c r="D6010" s="6" t="s">
        <v>5314</v>
      </c>
      <c r="E6010" s="8" t="s">
        <v>5082</v>
      </c>
      <c r="F6010" t="s">
        <v>5385</v>
      </c>
      <c r="G6010">
        <v>1</v>
      </c>
      <c r="Q6010" t="s">
        <v>7721</v>
      </c>
    </row>
    <row r="6011" spans="2:17" x14ac:dyDescent="0.2">
      <c r="B6011" t="s">
        <v>5378</v>
      </c>
      <c r="C6011">
        <v>6</v>
      </c>
      <c r="D6011" s="6" t="s">
        <v>5314</v>
      </c>
      <c r="E6011" s="8" t="s">
        <v>5089</v>
      </c>
      <c r="F6011" t="s">
        <v>5385</v>
      </c>
      <c r="G6011">
        <v>4</v>
      </c>
      <c r="Q6011" t="s">
        <v>7720</v>
      </c>
    </row>
    <row r="6012" spans="2:17" x14ac:dyDescent="0.2">
      <c r="B6012" t="s">
        <v>5378</v>
      </c>
      <c r="C6012">
        <v>6</v>
      </c>
      <c r="D6012" s="6" t="s">
        <v>5314</v>
      </c>
      <c r="E6012" s="8" t="s">
        <v>5090</v>
      </c>
      <c r="F6012" t="s">
        <v>5385</v>
      </c>
      <c r="G6012">
        <v>2</v>
      </c>
    </row>
    <row r="6013" spans="2:17" x14ac:dyDescent="0.2">
      <c r="B6013" t="s">
        <v>5378</v>
      </c>
      <c r="C6013">
        <v>6</v>
      </c>
      <c r="D6013" s="6" t="s">
        <v>5314</v>
      </c>
      <c r="E6013" s="8" t="s">
        <v>5091</v>
      </c>
      <c r="F6013" t="s">
        <v>5385</v>
      </c>
      <c r="G6013">
        <v>3</v>
      </c>
      <c r="Q6013" t="s">
        <v>7722</v>
      </c>
    </row>
    <row r="6014" spans="2:17" x14ac:dyDescent="0.2">
      <c r="B6014" t="s">
        <v>5378</v>
      </c>
      <c r="C6014">
        <v>6</v>
      </c>
      <c r="D6014" s="6" t="s">
        <v>5314</v>
      </c>
      <c r="E6014" s="8" t="s">
        <v>5092</v>
      </c>
      <c r="F6014" t="s">
        <v>5385</v>
      </c>
      <c r="G6014">
        <v>15</v>
      </c>
      <c r="M6014">
        <v>5</v>
      </c>
    </row>
    <row r="6015" spans="2:17" x14ac:dyDescent="0.2">
      <c r="B6015" t="s">
        <v>5378</v>
      </c>
      <c r="C6015">
        <v>6</v>
      </c>
      <c r="D6015" s="6" t="s">
        <v>5314</v>
      </c>
      <c r="E6015" s="8" t="s">
        <v>5094</v>
      </c>
      <c r="F6015" t="s">
        <v>1559</v>
      </c>
      <c r="G6015">
        <v>1</v>
      </c>
      <c r="Q6015" t="s">
        <v>7723</v>
      </c>
    </row>
    <row r="6016" spans="2:17" x14ac:dyDescent="0.2">
      <c r="B6016" t="s">
        <v>5378</v>
      </c>
      <c r="C6016">
        <v>6</v>
      </c>
      <c r="D6016" s="6" t="s">
        <v>5314</v>
      </c>
      <c r="E6016" s="8" t="s">
        <v>5097</v>
      </c>
      <c r="F6016" t="s">
        <v>1389</v>
      </c>
      <c r="G6016">
        <v>1</v>
      </c>
      <c r="Q6016" t="s">
        <v>7724</v>
      </c>
    </row>
    <row r="6017" spans="2:17" x14ac:dyDescent="0.2">
      <c r="B6017" t="s">
        <v>5378</v>
      </c>
      <c r="C6017">
        <v>6</v>
      </c>
      <c r="D6017" s="6" t="s">
        <v>5314</v>
      </c>
      <c r="E6017" s="8" t="s">
        <v>5098</v>
      </c>
      <c r="F6017" t="s">
        <v>1389</v>
      </c>
      <c r="G6017">
        <v>1</v>
      </c>
      <c r="Q6017" t="s">
        <v>7725</v>
      </c>
    </row>
    <row r="6018" spans="2:17" x14ac:dyDescent="0.2">
      <c r="B6018" t="s">
        <v>5378</v>
      </c>
      <c r="C6018">
        <v>6</v>
      </c>
      <c r="D6018" s="6" t="s">
        <v>5314</v>
      </c>
      <c r="E6018" s="8" t="s">
        <v>5166</v>
      </c>
      <c r="F6018" t="s">
        <v>1389</v>
      </c>
      <c r="G6018" t="s">
        <v>114</v>
      </c>
      <c r="Q6018" t="s">
        <v>7728</v>
      </c>
    </row>
    <row r="6019" spans="2:17" x14ac:dyDescent="0.2">
      <c r="B6019" t="s">
        <v>5378</v>
      </c>
      <c r="C6019">
        <v>6</v>
      </c>
      <c r="D6019" s="6" t="s">
        <v>5314</v>
      </c>
      <c r="E6019" s="8" t="s">
        <v>5167</v>
      </c>
      <c r="F6019" t="s">
        <v>1389</v>
      </c>
      <c r="G6019" t="s">
        <v>114</v>
      </c>
      <c r="Q6019" t="s">
        <v>7727</v>
      </c>
    </row>
    <row r="6020" spans="2:17" x14ac:dyDescent="0.2">
      <c r="B6020" t="s">
        <v>5378</v>
      </c>
      <c r="C6020">
        <v>6</v>
      </c>
      <c r="D6020" s="6" t="s">
        <v>5314</v>
      </c>
      <c r="E6020" s="8" t="s">
        <v>5168</v>
      </c>
      <c r="F6020" t="s">
        <v>1389</v>
      </c>
      <c r="G6020" t="s">
        <v>114</v>
      </c>
      <c r="Q6020" t="s">
        <v>7726</v>
      </c>
    </row>
    <row r="6021" spans="2:17" x14ac:dyDescent="0.2">
      <c r="B6021" t="s">
        <v>5378</v>
      </c>
      <c r="C6021">
        <v>6</v>
      </c>
      <c r="D6021" s="6" t="s">
        <v>5314</v>
      </c>
      <c r="E6021" s="8" t="s">
        <v>5169</v>
      </c>
      <c r="F6021" t="s">
        <v>1389</v>
      </c>
      <c r="G6021">
        <v>2</v>
      </c>
      <c r="M6021">
        <v>5</v>
      </c>
    </row>
    <row r="6022" spans="2:17" x14ac:dyDescent="0.2">
      <c r="B6022" t="s">
        <v>5378</v>
      </c>
      <c r="C6022">
        <v>6</v>
      </c>
      <c r="D6022" s="6" t="s">
        <v>5314</v>
      </c>
      <c r="E6022" t="s">
        <v>5056</v>
      </c>
      <c r="F6022" t="s">
        <v>1389</v>
      </c>
      <c r="G6022">
        <v>3</v>
      </c>
      <c r="M6022">
        <v>16</v>
      </c>
    </row>
    <row r="6023" spans="2:17" x14ac:dyDescent="0.2">
      <c r="B6023" t="s">
        <v>5378</v>
      </c>
      <c r="C6023">
        <v>6</v>
      </c>
      <c r="D6023" s="6" t="s">
        <v>5314</v>
      </c>
      <c r="E6023" t="s">
        <v>5056</v>
      </c>
      <c r="F6023" t="s">
        <v>5385</v>
      </c>
      <c r="G6023">
        <v>139</v>
      </c>
      <c r="M6023">
        <v>44</v>
      </c>
    </row>
    <row r="6024" spans="2:17" x14ac:dyDescent="0.2">
      <c r="B6024" t="s">
        <v>5378</v>
      </c>
      <c r="C6024">
        <v>6</v>
      </c>
      <c r="D6024" s="6" t="s">
        <v>5314</v>
      </c>
      <c r="E6024">
        <v>14</v>
      </c>
      <c r="F6024" t="s">
        <v>1538</v>
      </c>
      <c r="G6024">
        <v>24</v>
      </c>
      <c r="Q6024" t="s">
        <v>7734</v>
      </c>
    </row>
    <row r="6025" spans="2:17" x14ac:dyDescent="0.2">
      <c r="B6025" t="s">
        <v>5378</v>
      </c>
      <c r="C6025">
        <v>6</v>
      </c>
      <c r="D6025" s="6" t="s">
        <v>5314</v>
      </c>
      <c r="E6025">
        <v>15</v>
      </c>
      <c r="F6025" t="s">
        <v>1538</v>
      </c>
      <c r="G6025">
        <v>1</v>
      </c>
      <c r="Q6025" t="s">
        <v>7733</v>
      </c>
    </row>
    <row r="6026" spans="2:17" x14ac:dyDescent="0.2">
      <c r="B6026" t="s">
        <v>5378</v>
      </c>
      <c r="C6026">
        <v>6</v>
      </c>
      <c r="D6026" s="6" t="s">
        <v>5314</v>
      </c>
      <c r="E6026">
        <v>16</v>
      </c>
      <c r="F6026" t="s">
        <v>1538</v>
      </c>
      <c r="G6026">
        <v>1</v>
      </c>
      <c r="Q6026" t="s">
        <v>7732</v>
      </c>
    </row>
    <row r="6027" spans="2:17" x14ac:dyDescent="0.2">
      <c r="B6027" t="s">
        <v>5378</v>
      </c>
      <c r="C6027">
        <v>6</v>
      </c>
      <c r="D6027" s="6" t="s">
        <v>5314</v>
      </c>
      <c r="E6027">
        <v>17</v>
      </c>
      <c r="F6027" t="s">
        <v>1538</v>
      </c>
      <c r="G6027">
        <v>4</v>
      </c>
      <c r="Q6027" t="s">
        <v>7731</v>
      </c>
    </row>
    <row r="6028" spans="2:17" x14ac:dyDescent="0.2">
      <c r="B6028" t="s">
        <v>5378</v>
      </c>
      <c r="C6028">
        <v>6</v>
      </c>
      <c r="D6028" s="6" t="s">
        <v>5314</v>
      </c>
      <c r="E6028">
        <v>18</v>
      </c>
      <c r="F6028" t="s">
        <v>1538</v>
      </c>
      <c r="G6028">
        <v>8</v>
      </c>
      <c r="Q6028" t="s">
        <v>7730</v>
      </c>
    </row>
    <row r="6029" spans="2:17" x14ac:dyDescent="0.2">
      <c r="B6029" t="s">
        <v>5378</v>
      </c>
      <c r="C6029">
        <v>6</v>
      </c>
      <c r="D6029" s="6" t="s">
        <v>5314</v>
      </c>
      <c r="E6029">
        <v>19</v>
      </c>
      <c r="F6029" t="s">
        <v>1538</v>
      </c>
      <c r="G6029">
        <v>15</v>
      </c>
      <c r="Q6029" t="s">
        <v>7729</v>
      </c>
    </row>
    <row r="6030" spans="2:17" x14ac:dyDescent="0.2">
      <c r="B6030" t="s">
        <v>5378</v>
      </c>
      <c r="C6030">
        <v>6</v>
      </c>
      <c r="D6030" s="6" t="s">
        <v>5314</v>
      </c>
      <c r="E6030">
        <v>20</v>
      </c>
      <c r="F6030" t="s">
        <v>7337</v>
      </c>
      <c r="G6030">
        <v>4</v>
      </c>
      <c r="Q6030" t="s">
        <v>7747</v>
      </c>
    </row>
    <row r="6031" spans="2:17" x14ac:dyDescent="0.2">
      <c r="B6031" t="s">
        <v>5378</v>
      </c>
      <c r="C6031">
        <v>6</v>
      </c>
      <c r="D6031" s="6" t="s">
        <v>5314</v>
      </c>
      <c r="E6031">
        <v>21</v>
      </c>
      <c r="F6031" t="s">
        <v>6978</v>
      </c>
      <c r="G6031" t="s">
        <v>114</v>
      </c>
      <c r="Q6031" t="s">
        <v>7748</v>
      </c>
    </row>
    <row r="6032" spans="2:17" x14ac:dyDescent="0.2">
      <c r="B6032" t="s">
        <v>5378</v>
      </c>
      <c r="C6032">
        <v>6</v>
      </c>
      <c r="D6032" s="6" t="s">
        <v>5314</v>
      </c>
      <c r="E6032">
        <v>22</v>
      </c>
      <c r="F6032" t="s">
        <v>6978</v>
      </c>
      <c r="G6032" t="s">
        <v>114</v>
      </c>
      <c r="Q6032" t="s">
        <v>7749</v>
      </c>
    </row>
    <row r="6033" spans="2:17" x14ac:dyDescent="0.2">
      <c r="B6033" t="s">
        <v>5378</v>
      </c>
      <c r="C6033">
        <v>6</v>
      </c>
      <c r="D6033" s="6" t="s">
        <v>5314</v>
      </c>
      <c r="E6033">
        <v>23</v>
      </c>
      <c r="F6033" t="s">
        <v>6978</v>
      </c>
      <c r="G6033">
        <v>1</v>
      </c>
      <c r="Q6033" t="s">
        <v>7750</v>
      </c>
    </row>
    <row r="6034" spans="2:17" x14ac:dyDescent="0.2">
      <c r="B6034" t="s">
        <v>5378</v>
      </c>
      <c r="C6034">
        <v>6</v>
      </c>
      <c r="D6034" s="6" t="s">
        <v>5314</v>
      </c>
      <c r="E6034">
        <v>24</v>
      </c>
      <c r="F6034" t="s">
        <v>6978</v>
      </c>
      <c r="G6034">
        <v>1</v>
      </c>
      <c r="Q6034" t="s">
        <v>7752</v>
      </c>
    </row>
    <row r="6035" spans="2:17" x14ac:dyDescent="0.2">
      <c r="B6035" t="s">
        <v>5378</v>
      </c>
      <c r="C6035">
        <v>6</v>
      </c>
      <c r="D6035" s="6" t="s">
        <v>5314</v>
      </c>
      <c r="E6035">
        <v>25</v>
      </c>
      <c r="F6035" t="s">
        <v>6978</v>
      </c>
      <c r="G6035" t="s">
        <v>114</v>
      </c>
      <c r="Q6035" t="s">
        <v>7751</v>
      </c>
    </row>
    <row r="6036" spans="2:17" x14ac:dyDescent="0.2">
      <c r="B6036" t="s">
        <v>5378</v>
      </c>
      <c r="C6036">
        <v>6</v>
      </c>
      <c r="D6036" s="6" t="s">
        <v>5314</v>
      </c>
      <c r="E6036">
        <v>26</v>
      </c>
      <c r="F6036" t="s">
        <v>6978</v>
      </c>
      <c r="G6036">
        <v>1</v>
      </c>
      <c r="M6036">
        <v>3</v>
      </c>
    </row>
    <row r="6037" spans="2:17" x14ac:dyDescent="0.2">
      <c r="B6037" t="s">
        <v>5378</v>
      </c>
      <c r="C6037">
        <v>6</v>
      </c>
      <c r="D6037" s="6" t="s">
        <v>5314</v>
      </c>
      <c r="E6037">
        <v>40</v>
      </c>
      <c r="F6037" t="s">
        <v>1538</v>
      </c>
      <c r="G6037" t="s">
        <v>114</v>
      </c>
      <c r="Q6037" t="s">
        <v>7735</v>
      </c>
    </row>
    <row r="6038" spans="2:17" x14ac:dyDescent="0.2">
      <c r="B6038" t="s">
        <v>5378</v>
      </c>
      <c r="C6038">
        <v>6</v>
      </c>
      <c r="D6038" s="6" t="s">
        <v>5314</v>
      </c>
      <c r="E6038">
        <v>38</v>
      </c>
      <c r="F6038" t="s">
        <v>1538</v>
      </c>
      <c r="G6038" t="s">
        <v>114</v>
      </c>
      <c r="P6038" t="s">
        <v>5697</v>
      </c>
      <c r="Q6038" t="s">
        <v>7736</v>
      </c>
    </row>
    <row r="6039" spans="2:17" x14ac:dyDescent="0.2">
      <c r="B6039" t="s">
        <v>5378</v>
      </c>
      <c r="C6039">
        <v>6</v>
      </c>
      <c r="D6039" s="6" t="s">
        <v>5314</v>
      </c>
      <c r="E6039">
        <v>39</v>
      </c>
      <c r="F6039" t="s">
        <v>1538</v>
      </c>
      <c r="G6039" t="s">
        <v>114</v>
      </c>
      <c r="Q6039" t="s">
        <v>7737</v>
      </c>
    </row>
    <row r="6040" spans="2:17" x14ac:dyDescent="0.2">
      <c r="B6040" t="s">
        <v>5378</v>
      </c>
      <c r="C6040">
        <v>6</v>
      </c>
      <c r="D6040" s="6" t="s">
        <v>5314</v>
      </c>
      <c r="E6040">
        <v>38</v>
      </c>
      <c r="F6040" t="s">
        <v>1538</v>
      </c>
      <c r="G6040" t="s">
        <v>114</v>
      </c>
      <c r="P6040" t="s">
        <v>5697</v>
      </c>
      <c r="Q6040" t="s">
        <v>7736</v>
      </c>
    </row>
    <row r="6041" spans="2:17" x14ac:dyDescent="0.2">
      <c r="B6041" t="s">
        <v>5378</v>
      </c>
      <c r="C6041">
        <v>6</v>
      </c>
      <c r="D6041" s="6" t="s">
        <v>5314</v>
      </c>
      <c r="E6041">
        <v>37</v>
      </c>
      <c r="F6041" t="s">
        <v>1538</v>
      </c>
      <c r="G6041">
        <v>1</v>
      </c>
      <c r="Q6041" t="s">
        <v>7738</v>
      </c>
    </row>
    <row r="6042" spans="2:17" x14ac:dyDescent="0.2">
      <c r="B6042" t="s">
        <v>5378</v>
      </c>
      <c r="C6042">
        <v>6</v>
      </c>
      <c r="D6042" s="6" t="s">
        <v>5314</v>
      </c>
      <c r="E6042">
        <v>36</v>
      </c>
      <c r="F6042" t="s">
        <v>1538</v>
      </c>
      <c r="G6042" t="s">
        <v>114</v>
      </c>
      <c r="Q6042" t="s">
        <v>7739</v>
      </c>
    </row>
    <row r="6043" spans="2:17" x14ac:dyDescent="0.2">
      <c r="B6043" t="s">
        <v>5378</v>
      </c>
      <c r="C6043">
        <v>6</v>
      </c>
      <c r="D6043" s="6" t="s">
        <v>5314</v>
      </c>
      <c r="E6043">
        <v>29</v>
      </c>
      <c r="F6043" t="s">
        <v>1425</v>
      </c>
      <c r="G6043">
        <v>9</v>
      </c>
      <c r="Q6043" t="s">
        <v>7746</v>
      </c>
    </row>
    <row r="6044" spans="2:17" x14ac:dyDescent="0.2">
      <c r="B6044" t="s">
        <v>5378</v>
      </c>
      <c r="C6044">
        <v>6</v>
      </c>
      <c r="D6044" s="6" t="s">
        <v>5314</v>
      </c>
      <c r="E6044">
        <v>30</v>
      </c>
      <c r="F6044" t="s">
        <v>1425</v>
      </c>
      <c r="G6044">
        <v>6</v>
      </c>
      <c r="Q6044" t="s">
        <v>7745</v>
      </c>
    </row>
    <row r="6045" spans="2:17" x14ac:dyDescent="0.2">
      <c r="B6045" t="s">
        <v>5378</v>
      </c>
      <c r="C6045">
        <v>6</v>
      </c>
      <c r="D6045" s="6" t="s">
        <v>5314</v>
      </c>
      <c r="E6045">
        <v>31</v>
      </c>
      <c r="F6045" t="s">
        <v>1425</v>
      </c>
      <c r="G6045">
        <v>3</v>
      </c>
      <c r="Q6045" t="s">
        <v>7744</v>
      </c>
    </row>
    <row r="6046" spans="2:17" x14ac:dyDescent="0.2">
      <c r="B6046" t="s">
        <v>5378</v>
      </c>
      <c r="C6046">
        <v>6</v>
      </c>
      <c r="D6046" s="6" t="s">
        <v>5314</v>
      </c>
      <c r="E6046">
        <v>32</v>
      </c>
      <c r="F6046" t="s">
        <v>1425</v>
      </c>
      <c r="G6046">
        <v>4</v>
      </c>
      <c r="Q6046" t="s">
        <v>7743</v>
      </c>
    </row>
    <row r="6047" spans="2:17" x14ac:dyDescent="0.2">
      <c r="B6047" t="s">
        <v>5378</v>
      </c>
      <c r="C6047">
        <v>6</v>
      </c>
      <c r="D6047" s="6" t="s">
        <v>5314</v>
      </c>
      <c r="E6047">
        <v>33</v>
      </c>
      <c r="F6047" t="s">
        <v>1425</v>
      </c>
      <c r="G6047">
        <v>7</v>
      </c>
      <c r="Q6047" t="s">
        <v>7742</v>
      </c>
    </row>
    <row r="6048" spans="2:17" x14ac:dyDescent="0.2">
      <c r="B6048" t="s">
        <v>5378</v>
      </c>
      <c r="C6048">
        <v>6</v>
      </c>
      <c r="D6048" s="6" t="s">
        <v>5314</v>
      </c>
      <c r="E6048">
        <v>34</v>
      </c>
      <c r="F6048" t="s">
        <v>6239</v>
      </c>
      <c r="G6048">
        <v>1</v>
      </c>
      <c r="Q6048" t="s">
        <v>7740</v>
      </c>
    </row>
    <row r="6049" spans="2:17" x14ac:dyDescent="0.2">
      <c r="B6049" t="s">
        <v>5378</v>
      </c>
      <c r="C6049">
        <v>6</v>
      </c>
      <c r="D6049" s="6" t="s">
        <v>5314</v>
      </c>
      <c r="E6049">
        <v>35</v>
      </c>
      <c r="F6049" t="s">
        <v>6239</v>
      </c>
      <c r="G6049">
        <v>1</v>
      </c>
      <c r="Q6049" t="s">
        <v>7741</v>
      </c>
    </row>
    <row r="6050" spans="2:17" x14ac:dyDescent="0.2">
      <c r="B6050" t="s">
        <v>5378</v>
      </c>
      <c r="C6050">
        <v>6</v>
      </c>
      <c r="D6050" s="6" t="s">
        <v>5314</v>
      </c>
      <c r="E6050">
        <v>50</v>
      </c>
      <c r="F6050" t="s">
        <v>1538</v>
      </c>
      <c r="G6050">
        <v>1</v>
      </c>
      <c r="M6050">
        <v>4</v>
      </c>
    </row>
    <row r="6051" spans="2:17" x14ac:dyDescent="0.2">
      <c r="B6051" t="s">
        <v>5378</v>
      </c>
      <c r="C6051">
        <v>6</v>
      </c>
      <c r="D6051" s="6" t="s">
        <v>5314</v>
      </c>
      <c r="E6051" t="s">
        <v>5056</v>
      </c>
      <c r="F6051" t="s">
        <v>740</v>
      </c>
      <c r="G6051">
        <v>6</v>
      </c>
      <c r="M6051">
        <v>3</v>
      </c>
      <c r="O6051" t="s">
        <v>5392</v>
      </c>
    </row>
    <row r="6052" spans="2:17" x14ac:dyDescent="0.2">
      <c r="B6052" t="s">
        <v>5378</v>
      </c>
      <c r="C6052">
        <v>6</v>
      </c>
      <c r="D6052" s="6" t="s">
        <v>5314</v>
      </c>
      <c r="E6052">
        <v>47</v>
      </c>
      <c r="F6052" t="s">
        <v>7674</v>
      </c>
      <c r="G6052">
        <v>72</v>
      </c>
      <c r="M6052">
        <v>1.5</v>
      </c>
      <c r="Q6052" t="s">
        <v>7753</v>
      </c>
    </row>
    <row r="6053" spans="2:17" x14ac:dyDescent="0.2">
      <c r="B6053" t="s">
        <v>5378</v>
      </c>
      <c r="C6053">
        <v>6</v>
      </c>
      <c r="D6053" s="6" t="s">
        <v>5314</v>
      </c>
      <c r="E6053">
        <v>48</v>
      </c>
      <c r="F6053" t="s">
        <v>7138</v>
      </c>
      <c r="G6053">
        <v>10</v>
      </c>
      <c r="M6053">
        <v>5</v>
      </c>
      <c r="Q6053" t="s">
        <v>7753</v>
      </c>
    </row>
    <row r="6054" spans="2:17" x14ac:dyDescent="0.2">
      <c r="B6054" t="s">
        <v>5378</v>
      </c>
      <c r="C6054">
        <v>6</v>
      </c>
      <c r="D6054" s="6" t="s">
        <v>5314</v>
      </c>
      <c r="E6054">
        <v>49</v>
      </c>
      <c r="F6054" t="s">
        <v>7138</v>
      </c>
      <c r="G6054">
        <v>63</v>
      </c>
      <c r="Q6054" t="s">
        <v>7754</v>
      </c>
    </row>
    <row r="6055" spans="2:17" x14ac:dyDescent="0.2">
      <c r="B6055" t="s">
        <v>5378</v>
      </c>
      <c r="C6055">
        <v>6</v>
      </c>
      <c r="D6055" s="6" t="s">
        <v>5314</v>
      </c>
      <c r="E6055">
        <v>41</v>
      </c>
      <c r="F6055" t="s">
        <v>7363</v>
      </c>
      <c r="G6055">
        <v>31</v>
      </c>
    </row>
    <row r="6056" spans="2:17" x14ac:dyDescent="0.2">
      <c r="B6056" t="s">
        <v>5378</v>
      </c>
      <c r="C6056">
        <v>6</v>
      </c>
      <c r="D6056" s="6" t="s">
        <v>5314</v>
      </c>
      <c r="E6056">
        <v>42</v>
      </c>
      <c r="F6056" t="s">
        <v>5208</v>
      </c>
      <c r="G6056">
        <v>7</v>
      </c>
    </row>
    <row r="6057" spans="2:17" x14ac:dyDescent="0.2">
      <c r="B6057" t="s">
        <v>5378</v>
      </c>
      <c r="C6057">
        <v>6</v>
      </c>
      <c r="D6057" s="6" t="s">
        <v>5314</v>
      </c>
      <c r="E6057">
        <v>43</v>
      </c>
      <c r="F6057" t="s">
        <v>3431</v>
      </c>
      <c r="G6057">
        <v>3</v>
      </c>
    </row>
    <row r="6058" spans="2:17" x14ac:dyDescent="0.2">
      <c r="B6058" t="s">
        <v>5378</v>
      </c>
      <c r="C6058">
        <v>6</v>
      </c>
      <c r="D6058" s="6" t="s">
        <v>5314</v>
      </c>
      <c r="E6058">
        <v>44</v>
      </c>
      <c r="F6058" t="s">
        <v>5339</v>
      </c>
      <c r="G6058">
        <v>6</v>
      </c>
    </row>
    <row r="6059" spans="2:17" x14ac:dyDescent="0.2">
      <c r="B6059" t="s">
        <v>5378</v>
      </c>
      <c r="C6059">
        <v>6</v>
      </c>
      <c r="D6059" s="6" t="s">
        <v>5314</v>
      </c>
      <c r="E6059">
        <v>45</v>
      </c>
      <c r="F6059" t="s">
        <v>121</v>
      </c>
      <c r="G6059">
        <v>16</v>
      </c>
    </row>
    <row r="6060" spans="2:17" x14ac:dyDescent="0.2">
      <c r="B6060" t="s">
        <v>5378</v>
      </c>
      <c r="C6060">
        <v>6</v>
      </c>
      <c r="D6060" s="6" t="s">
        <v>5314</v>
      </c>
      <c r="E6060">
        <v>46</v>
      </c>
      <c r="F6060" t="s">
        <v>3875</v>
      </c>
      <c r="G6060">
        <v>18</v>
      </c>
    </row>
    <row r="6061" spans="2:17" x14ac:dyDescent="0.2">
      <c r="B6061" t="s">
        <v>5378</v>
      </c>
      <c r="C6061">
        <v>1</v>
      </c>
      <c r="D6061" s="6" t="s">
        <v>5314</v>
      </c>
      <c r="E6061" s="8" t="s">
        <v>5081</v>
      </c>
      <c r="F6061" t="s">
        <v>740</v>
      </c>
      <c r="H6061">
        <v>3.3</v>
      </c>
      <c r="P6061" t="s">
        <v>5698</v>
      </c>
    </row>
    <row r="6062" spans="2:17" x14ac:dyDescent="0.2">
      <c r="B6062" t="s">
        <v>5378</v>
      </c>
      <c r="C6062">
        <v>1</v>
      </c>
      <c r="D6062" s="6" t="s">
        <v>5314</v>
      </c>
      <c r="E6062" s="8" t="s">
        <v>5082</v>
      </c>
      <c r="F6062" t="s">
        <v>112</v>
      </c>
      <c r="G6062">
        <v>96</v>
      </c>
      <c r="M6062">
        <v>26</v>
      </c>
    </row>
    <row r="6063" spans="2:17" x14ac:dyDescent="0.2">
      <c r="B6063" t="s">
        <v>5378</v>
      </c>
      <c r="C6063">
        <v>1</v>
      </c>
      <c r="D6063" s="6" t="s">
        <v>5314</v>
      </c>
      <c r="E6063" t="s">
        <v>5056</v>
      </c>
      <c r="F6063" t="s">
        <v>1264</v>
      </c>
      <c r="H6063">
        <f>9.4-0.408</f>
        <v>8.9920000000000009</v>
      </c>
    </row>
    <row r="6064" spans="2:17" x14ac:dyDescent="0.2">
      <c r="B6064" t="s">
        <v>5378</v>
      </c>
      <c r="C6064">
        <v>1</v>
      </c>
      <c r="D6064" s="6" t="s">
        <v>5314</v>
      </c>
      <c r="E6064" s="8" t="s">
        <v>5089</v>
      </c>
      <c r="F6064" t="s">
        <v>3429</v>
      </c>
      <c r="G6064">
        <f>502-308</f>
        <v>194</v>
      </c>
    </row>
    <row r="6065" spans="1:17" x14ac:dyDescent="0.2">
      <c r="B6065" t="s">
        <v>5374</v>
      </c>
      <c r="C6065">
        <v>1</v>
      </c>
      <c r="D6065" s="6" t="s">
        <v>5314</v>
      </c>
      <c r="E6065" s="8" t="s">
        <v>5056</v>
      </c>
      <c r="F6065" t="s">
        <v>1264</v>
      </c>
      <c r="G6065">
        <f>1836-345</f>
        <v>1491</v>
      </c>
    </row>
    <row r="6066" spans="1:17" x14ac:dyDescent="0.2">
      <c r="B6066" t="s">
        <v>5374</v>
      </c>
      <c r="C6066">
        <v>1</v>
      </c>
      <c r="D6066" s="6" t="s">
        <v>5314</v>
      </c>
      <c r="E6066" s="8" t="s">
        <v>5092</v>
      </c>
      <c r="F6066" t="s">
        <v>7622</v>
      </c>
      <c r="G6066">
        <v>3</v>
      </c>
      <c r="M6066">
        <v>2</v>
      </c>
      <c r="Q6066" t="s">
        <v>7621</v>
      </c>
    </row>
    <row r="6067" spans="1:17" x14ac:dyDescent="0.2">
      <c r="B6067" t="s">
        <v>5374</v>
      </c>
      <c r="C6067">
        <v>1</v>
      </c>
      <c r="D6067" s="6" t="s">
        <v>5314</v>
      </c>
      <c r="E6067" s="8" t="s">
        <v>5090</v>
      </c>
      <c r="F6067" t="s">
        <v>5671</v>
      </c>
      <c r="G6067">
        <v>5</v>
      </c>
    </row>
    <row r="6068" spans="1:17" x14ac:dyDescent="0.2">
      <c r="B6068" t="s">
        <v>5374</v>
      </c>
      <c r="C6068">
        <v>1</v>
      </c>
      <c r="D6068" s="6" t="s">
        <v>5314</v>
      </c>
      <c r="E6068" s="8" t="s">
        <v>5091</v>
      </c>
      <c r="F6068" t="s">
        <v>106</v>
      </c>
      <c r="G6068">
        <v>1</v>
      </c>
    </row>
    <row r="6069" spans="1:17" x14ac:dyDescent="0.2">
      <c r="B6069" t="s">
        <v>5374</v>
      </c>
      <c r="C6069">
        <v>1</v>
      </c>
      <c r="D6069" s="6" t="s">
        <v>5314</v>
      </c>
      <c r="E6069" s="8" t="s">
        <v>5081</v>
      </c>
      <c r="F6069" t="s">
        <v>5699</v>
      </c>
      <c r="G6069" t="s">
        <v>114</v>
      </c>
      <c r="Q6069" t="s">
        <v>7618</v>
      </c>
    </row>
    <row r="6070" spans="1:17" x14ac:dyDescent="0.2">
      <c r="B6070" t="s">
        <v>5374</v>
      </c>
      <c r="C6070">
        <v>1</v>
      </c>
      <c r="D6070" s="6" t="s">
        <v>5314</v>
      </c>
      <c r="E6070" s="8" t="s">
        <v>5082</v>
      </c>
      <c r="F6070" t="s">
        <v>5699</v>
      </c>
      <c r="G6070" t="s">
        <v>114</v>
      </c>
      <c r="Q6070" t="s">
        <v>7619</v>
      </c>
    </row>
    <row r="6071" spans="1:17" x14ac:dyDescent="0.2">
      <c r="B6071" t="s">
        <v>5374</v>
      </c>
      <c r="C6071">
        <v>1</v>
      </c>
      <c r="D6071" s="6" t="s">
        <v>5314</v>
      </c>
      <c r="E6071" s="8" t="s">
        <v>5089</v>
      </c>
      <c r="F6071" t="s">
        <v>5699</v>
      </c>
      <c r="G6071" t="s">
        <v>114</v>
      </c>
      <c r="Q6071" t="s">
        <v>7620</v>
      </c>
    </row>
    <row r="6072" spans="1:17" x14ac:dyDescent="0.2">
      <c r="B6072" t="s">
        <v>5374</v>
      </c>
      <c r="C6072">
        <v>1</v>
      </c>
      <c r="D6072" s="6" t="s">
        <v>5314</v>
      </c>
      <c r="E6072" s="8" t="s">
        <v>5094</v>
      </c>
      <c r="F6072" t="s">
        <v>6674</v>
      </c>
      <c r="G6072">
        <v>25</v>
      </c>
      <c r="Q6072" t="s">
        <v>7623</v>
      </c>
    </row>
    <row r="6073" spans="1:17" x14ac:dyDescent="0.2">
      <c r="B6073" t="s">
        <v>5374</v>
      </c>
      <c r="C6073">
        <v>1</v>
      </c>
      <c r="D6073" s="6" t="s">
        <v>5314</v>
      </c>
      <c r="E6073" s="8" t="s">
        <v>5097</v>
      </c>
      <c r="F6073" t="s">
        <v>1389</v>
      </c>
      <c r="G6073">
        <v>12</v>
      </c>
      <c r="Q6073" t="s">
        <v>7624</v>
      </c>
    </row>
    <row r="6074" spans="1:17" x14ac:dyDescent="0.2">
      <c r="B6074" t="s">
        <v>5374</v>
      </c>
      <c r="C6074">
        <v>1</v>
      </c>
      <c r="D6074" s="6" t="s">
        <v>5314</v>
      </c>
      <c r="E6074" s="8" t="s">
        <v>5098</v>
      </c>
      <c r="F6074" t="s">
        <v>5385</v>
      </c>
      <c r="G6074">
        <v>4</v>
      </c>
      <c r="Q6074" t="s">
        <v>7625</v>
      </c>
    </row>
    <row r="6075" spans="1:17" x14ac:dyDescent="0.2">
      <c r="B6075" t="s">
        <v>5374</v>
      </c>
      <c r="C6075">
        <v>1</v>
      </c>
      <c r="D6075" s="6" t="s">
        <v>5314</v>
      </c>
      <c r="E6075">
        <v>10</v>
      </c>
      <c r="F6075" t="s">
        <v>6862</v>
      </c>
      <c r="G6075">
        <v>8</v>
      </c>
      <c r="M6075">
        <v>6</v>
      </c>
      <c r="Q6075" t="s">
        <v>7626</v>
      </c>
    </row>
    <row r="6076" spans="1:17" x14ac:dyDescent="0.2">
      <c r="B6076" t="s">
        <v>5374</v>
      </c>
      <c r="C6076">
        <v>1</v>
      </c>
      <c r="D6076" s="6" t="s">
        <v>5314</v>
      </c>
      <c r="E6076">
        <v>11</v>
      </c>
      <c r="F6076" t="s">
        <v>740</v>
      </c>
      <c r="G6076">
        <v>25</v>
      </c>
      <c r="M6076">
        <v>17</v>
      </c>
      <c r="O6076" t="s">
        <v>5701</v>
      </c>
      <c r="Q6076" t="s">
        <v>7626</v>
      </c>
    </row>
    <row r="6077" spans="1:17" x14ac:dyDescent="0.2">
      <c r="B6077" t="s">
        <v>5374</v>
      </c>
      <c r="C6077">
        <v>1</v>
      </c>
      <c r="D6077" s="6" t="s">
        <v>5314</v>
      </c>
      <c r="E6077" t="s">
        <v>5056</v>
      </c>
      <c r="F6077" t="s">
        <v>7627</v>
      </c>
      <c r="G6077">
        <f>764-590</f>
        <v>174</v>
      </c>
      <c r="O6077" t="s">
        <v>5703</v>
      </c>
    </row>
    <row r="6078" spans="1:17" x14ac:dyDescent="0.2">
      <c r="B6078" t="s">
        <v>5374</v>
      </c>
      <c r="C6078">
        <v>1</v>
      </c>
      <c r="D6078" s="6" t="s">
        <v>5314</v>
      </c>
      <c r="E6078" s="8" t="s">
        <v>5168</v>
      </c>
      <c r="F6078" t="s">
        <v>5641</v>
      </c>
      <c r="G6078">
        <v>75</v>
      </c>
      <c r="O6078" t="s">
        <v>7403</v>
      </c>
      <c r="Q6078" t="s">
        <v>7628</v>
      </c>
    </row>
    <row r="6079" spans="1:17" x14ac:dyDescent="0.2">
      <c r="A6079" t="s">
        <v>5588</v>
      </c>
      <c r="B6079" t="s">
        <v>5589</v>
      </c>
      <c r="C6079">
        <v>2</v>
      </c>
      <c r="D6079" t="s">
        <v>5375</v>
      </c>
      <c r="E6079" s="8" t="s">
        <v>5082</v>
      </c>
      <c r="F6079" t="s">
        <v>7337</v>
      </c>
      <c r="G6079">
        <v>119</v>
      </c>
      <c r="I6079">
        <v>324</v>
      </c>
      <c r="O6079" t="s">
        <v>5591</v>
      </c>
      <c r="Q6079" t="s">
        <v>7755</v>
      </c>
    </row>
    <row r="6080" spans="1:17" x14ac:dyDescent="0.2">
      <c r="A6080" t="s">
        <v>5588</v>
      </c>
      <c r="B6080" t="s">
        <v>5589</v>
      </c>
      <c r="C6080">
        <v>2</v>
      </c>
      <c r="D6080" t="s">
        <v>5375</v>
      </c>
      <c r="E6080" s="8" t="s">
        <v>5089</v>
      </c>
      <c r="F6080" t="s">
        <v>7337</v>
      </c>
      <c r="G6080">
        <v>72</v>
      </c>
      <c r="I6080">
        <v>275</v>
      </c>
      <c r="O6080" t="s">
        <v>5590</v>
      </c>
      <c r="Q6080" t="s">
        <v>7756</v>
      </c>
    </row>
    <row r="6081" spans="1:17" x14ac:dyDescent="0.2">
      <c r="A6081" t="s">
        <v>5588</v>
      </c>
      <c r="B6081" t="s">
        <v>5589</v>
      </c>
      <c r="C6081">
        <v>2</v>
      </c>
      <c r="D6081" t="s">
        <v>5375</v>
      </c>
      <c r="E6081" s="8" t="s">
        <v>5090</v>
      </c>
      <c r="F6081" t="s">
        <v>7337</v>
      </c>
      <c r="G6081">
        <v>119</v>
      </c>
      <c r="I6081">
        <v>332</v>
      </c>
      <c r="O6081" t="s">
        <v>5592</v>
      </c>
      <c r="Q6081" t="s">
        <v>7757</v>
      </c>
    </row>
    <row r="6082" spans="1:17" x14ac:dyDescent="0.2">
      <c r="A6082" t="s">
        <v>5588</v>
      </c>
      <c r="B6082" t="s">
        <v>5589</v>
      </c>
      <c r="C6082">
        <v>2</v>
      </c>
      <c r="D6082" t="s">
        <v>5375</v>
      </c>
      <c r="E6082" s="8" t="s">
        <v>5091</v>
      </c>
      <c r="F6082" t="s">
        <v>7337</v>
      </c>
      <c r="G6082">
        <v>44</v>
      </c>
      <c r="I6082">
        <v>231</v>
      </c>
      <c r="O6082" t="s">
        <v>5593</v>
      </c>
      <c r="Q6082" t="s">
        <v>7758</v>
      </c>
    </row>
    <row r="6083" spans="1:17" x14ac:dyDescent="0.2">
      <c r="A6083" t="s">
        <v>5588</v>
      </c>
      <c r="B6083" t="s">
        <v>5589</v>
      </c>
      <c r="C6083">
        <v>2</v>
      </c>
      <c r="D6083" t="s">
        <v>5375</v>
      </c>
      <c r="E6083" s="8" t="s">
        <v>5081</v>
      </c>
      <c r="F6083" t="s">
        <v>1264</v>
      </c>
      <c r="H6083">
        <f>1.895-0.295</f>
        <v>1.6</v>
      </c>
      <c r="O6083" t="s">
        <v>5594</v>
      </c>
    </row>
    <row r="6084" spans="1:17" x14ac:dyDescent="0.2">
      <c r="A6084" t="s">
        <v>5588</v>
      </c>
      <c r="B6084" t="s">
        <v>5589</v>
      </c>
      <c r="C6084">
        <v>2</v>
      </c>
      <c r="D6084" t="s">
        <v>5375</v>
      </c>
      <c r="E6084" t="s">
        <v>5056</v>
      </c>
      <c r="F6084" t="s">
        <v>3251</v>
      </c>
      <c r="G6084">
        <f>390-344</f>
        <v>46</v>
      </c>
    </row>
    <row r="6085" spans="1:17" x14ac:dyDescent="0.2">
      <c r="A6085" t="s">
        <v>5588</v>
      </c>
      <c r="B6085" t="s">
        <v>5589</v>
      </c>
      <c r="C6085">
        <v>2</v>
      </c>
      <c r="D6085" t="s">
        <v>5375</v>
      </c>
      <c r="E6085" s="8" t="s">
        <v>5092</v>
      </c>
      <c r="F6085" t="s">
        <v>7148</v>
      </c>
      <c r="G6085">
        <v>84</v>
      </c>
      <c r="Q6085" t="s">
        <v>7767</v>
      </c>
    </row>
    <row r="6086" spans="1:17" x14ac:dyDescent="0.2">
      <c r="A6086" t="s">
        <v>5588</v>
      </c>
      <c r="B6086" t="s">
        <v>5589</v>
      </c>
      <c r="C6086">
        <v>2</v>
      </c>
      <c r="D6086" t="s">
        <v>5375</v>
      </c>
      <c r="E6086" s="8" t="s">
        <v>5094</v>
      </c>
      <c r="F6086" t="s">
        <v>7148</v>
      </c>
      <c r="G6086">
        <v>54</v>
      </c>
      <c r="Q6086" t="s">
        <v>7766</v>
      </c>
    </row>
    <row r="6087" spans="1:17" x14ac:dyDescent="0.2">
      <c r="A6087" t="s">
        <v>5588</v>
      </c>
      <c r="B6087" t="s">
        <v>5589</v>
      </c>
      <c r="C6087">
        <v>2</v>
      </c>
      <c r="D6087" t="s">
        <v>5375</v>
      </c>
      <c r="E6087" s="8" t="s">
        <v>5097</v>
      </c>
      <c r="F6087" t="s">
        <v>7148</v>
      </c>
      <c r="G6087">
        <v>30</v>
      </c>
      <c r="Q6087" t="s">
        <v>7765</v>
      </c>
    </row>
    <row r="6088" spans="1:17" x14ac:dyDescent="0.2">
      <c r="A6088" t="s">
        <v>5588</v>
      </c>
      <c r="B6088" t="s">
        <v>5589</v>
      </c>
      <c r="C6088">
        <v>2</v>
      </c>
      <c r="D6088" t="s">
        <v>5375</v>
      </c>
      <c r="E6088" s="8" t="s">
        <v>5166</v>
      </c>
      <c r="F6088" t="s">
        <v>6261</v>
      </c>
      <c r="G6088">
        <v>23</v>
      </c>
      <c r="Q6088" t="s">
        <v>7763</v>
      </c>
    </row>
    <row r="6089" spans="1:17" x14ac:dyDescent="0.2">
      <c r="A6089" t="s">
        <v>5588</v>
      </c>
      <c r="B6089" t="s">
        <v>5589</v>
      </c>
      <c r="C6089">
        <v>2</v>
      </c>
      <c r="D6089" t="s">
        <v>5375</v>
      </c>
      <c r="E6089" s="8" t="s">
        <v>5098</v>
      </c>
      <c r="F6089" t="s">
        <v>1425</v>
      </c>
      <c r="G6089">
        <v>37</v>
      </c>
      <c r="Q6089" t="s">
        <v>7764</v>
      </c>
    </row>
    <row r="6090" spans="1:17" x14ac:dyDescent="0.2">
      <c r="A6090" t="s">
        <v>5588</v>
      </c>
      <c r="B6090" t="s">
        <v>5589</v>
      </c>
      <c r="C6090">
        <v>2</v>
      </c>
      <c r="D6090" t="s">
        <v>5375</v>
      </c>
      <c r="E6090" s="8" t="s">
        <v>5167</v>
      </c>
      <c r="F6090" t="s">
        <v>6283</v>
      </c>
      <c r="G6090">
        <v>6</v>
      </c>
      <c r="Q6090" t="s">
        <v>7762</v>
      </c>
    </row>
    <row r="6091" spans="1:17" x14ac:dyDescent="0.2">
      <c r="A6091" t="s">
        <v>5588</v>
      </c>
      <c r="B6091" t="s">
        <v>5589</v>
      </c>
      <c r="C6091">
        <v>2</v>
      </c>
      <c r="D6091" t="s">
        <v>5375</v>
      </c>
      <c r="E6091" s="8" t="s">
        <v>5168</v>
      </c>
      <c r="F6091" t="s">
        <v>6283</v>
      </c>
      <c r="G6091">
        <v>4</v>
      </c>
      <c r="Q6091" t="s">
        <v>7761</v>
      </c>
    </row>
    <row r="6092" spans="1:17" x14ac:dyDescent="0.2">
      <c r="A6092" t="s">
        <v>5588</v>
      </c>
      <c r="B6092" t="s">
        <v>5589</v>
      </c>
      <c r="C6092">
        <v>2</v>
      </c>
      <c r="D6092" t="s">
        <v>5375</v>
      </c>
      <c r="E6092" s="8" t="s">
        <v>5169</v>
      </c>
      <c r="F6092" t="s">
        <v>6283</v>
      </c>
      <c r="G6092">
        <v>3</v>
      </c>
      <c r="Q6092" t="s">
        <v>7759</v>
      </c>
    </row>
    <row r="6093" spans="1:17" x14ac:dyDescent="0.2">
      <c r="A6093" t="s">
        <v>5588</v>
      </c>
      <c r="B6093" t="s">
        <v>5589</v>
      </c>
      <c r="C6093">
        <v>2</v>
      </c>
      <c r="D6093" t="s">
        <v>5375</v>
      </c>
      <c r="E6093" s="8" t="s">
        <v>5170</v>
      </c>
      <c r="F6093" t="s">
        <v>6283</v>
      </c>
      <c r="G6093">
        <v>3</v>
      </c>
      <c r="Q6093" t="s">
        <v>7760</v>
      </c>
    </row>
    <row r="6094" spans="1:17" x14ac:dyDescent="0.2">
      <c r="A6094" t="s">
        <v>5588</v>
      </c>
      <c r="B6094" t="s">
        <v>5589</v>
      </c>
      <c r="C6094">
        <v>2</v>
      </c>
      <c r="D6094" t="s">
        <v>5375</v>
      </c>
      <c r="E6094" s="8" t="s">
        <v>5171</v>
      </c>
      <c r="F6094" t="s">
        <v>6231</v>
      </c>
      <c r="G6094">
        <v>23</v>
      </c>
      <c r="Q6094" t="s">
        <v>7768</v>
      </c>
    </row>
    <row r="6095" spans="1:17" x14ac:dyDescent="0.2">
      <c r="A6095" t="s">
        <v>5588</v>
      </c>
      <c r="B6095" t="s">
        <v>5589</v>
      </c>
      <c r="C6095">
        <v>2</v>
      </c>
      <c r="D6095" t="s">
        <v>5375</v>
      </c>
      <c r="E6095" s="8" t="s">
        <v>5140</v>
      </c>
      <c r="F6095" t="s">
        <v>1389</v>
      </c>
      <c r="G6095">
        <v>5</v>
      </c>
      <c r="Q6095" t="s">
        <v>7776</v>
      </c>
    </row>
    <row r="6096" spans="1:17" x14ac:dyDescent="0.2">
      <c r="A6096" t="s">
        <v>5588</v>
      </c>
      <c r="B6096" t="s">
        <v>5589</v>
      </c>
      <c r="C6096">
        <v>2</v>
      </c>
      <c r="D6096" t="s">
        <v>5375</v>
      </c>
      <c r="E6096" s="8" t="s">
        <v>5141</v>
      </c>
      <c r="F6096" t="s">
        <v>1389</v>
      </c>
      <c r="G6096">
        <v>5</v>
      </c>
      <c r="Q6096" t="s">
        <v>7775</v>
      </c>
    </row>
    <row r="6097" spans="1:17" x14ac:dyDescent="0.2">
      <c r="A6097" t="s">
        <v>5588</v>
      </c>
      <c r="B6097" t="s">
        <v>5589</v>
      </c>
      <c r="C6097">
        <v>2</v>
      </c>
      <c r="D6097" t="s">
        <v>5375</v>
      </c>
      <c r="E6097" s="8" t="s">
        <v>5142</v>
      </c>
      <c r="F6097" t="s">
        <v>1389</v>
      </c>
      <c r="G6097">
        <v>3</v>
      </c>
      <c r="Q6097" t="s">
        <v>7774</v>
      </c>
    </row>
    <row r="6098" spans="1:17" x14ac:dyDescent="0.2">
      <c r="A6098" t="s">
        <v>5588</v>
      </c>
      <c r="B6098" t="s">
        <v>5589</v>
      </c>
      <c r="C6098">
        <v>2</v>
      </c>
      <c r="D6098" t="s">
        <v>5375</v>
      </c>
      <c r="E6098" s="8" t="s">
        <v>5186</v>
      </c>
      <c r="F6098" t="s">
        <v>1389</v>
      </c>
      <c r="G6098" t="s">
        <v>114</v>
      </c>
      <c r="Q6098" t="s">
        <v>7773</v>
      </c>
    </row>
    <row r="6099" spans="1:17" x14ac:dyDescent="0.2">
      <c r="A6099" t="s">
        <v>5588</v>
      </c>
      <c r="B6099" t="s">
        <v>5589</v>
      </c>
      <c r="C6099">
        <v>2</v>
      </c>
      <c r="D6099" t="s">
        <v>5375</v>
      </c>
      <c r="E6099" s="8" t="s">
        <v>5143</v>
      </c>
      <c r="F6099" t="s">
        <v>5385</v>
      </c>
      <c r="G6099">
        <v>1</v>
      </c>
    </row>
    <row r="6100" spans="1:17" x14ac:dyDescent="0.2">
      <c r="A6100" t="s">
        <v>5588</v>
      </c>
      <c r="B6100" t="s">
        <v>5589</v>
      </c>
      <c r="C6100">
        <v>2</v>
      </c>
      <c r="D6100" t="s">
        <v>5375</v>
      </c>
      <c r="E6100" s="8" t="s">
        <v>5144</v>
      </c>
      <c r="F6100" t="s">
        <v>5385</v>
      </c>
      <c r="G6100">
        <v>3</v>
      </c>
      <c r="O6100" t="s">
        <v>5598</v>
      </c>
      <c r="Q6100" t="s">
        <v>7772</v>
      </c>
    </row>
    <row r="6101" spans="1:17" x14ac:dyDescent="0.2">
      <c r="A6101" t="s">
        <v>5588</v>
      </c>
      <c r="B6101" t="s">
        <v>5589</v>
      </c>
      <c r="C6101">
        <v>2</v>
      </c>
      <c r="D6101" t="s">
        <v>5375</v>
      </c>
      <c r="E6101" s="8" t="s">
        <v>5145</v>
      </c>
      <c r="F6101" t="s">
        <v>5385</v>
      </c>
      <c r="G6101">
        <v>2</v>
      </c>
      <c r="Q6101" t="s">
        <v>7771</v>
      </c>
    </row>
    <row r="6102" spans="1:17" x14ac:dyDescent="0.2">
      <c r="A6102" t="s">
        <v>5588</v>
      </c>
      <c r="B6102" t="s">
        <v>5589</v>
      </c>
      <c r="C6102">
        <v>2</v>
      </c>
      <c r="D6102" t="s">
        <v>5375</v>
      </c>
      <c r="E6102" s="8" t="s">
        <v>5146</v>
      </c>
      <c r="F6102" t="s">
        <v>5385</v>
      </c>
      <c r="G6102">
        <v>3</v>
      </c>
      <c r="Q6102" t="s">
        <v>7770</v>
      </c>
    </row>
    <row r="6103" spans="1:17" x14ac:dyDescent="0.2">
      <c r="A6103" t="s">
        <v>5588</v>
      </c>
      <c r="B6103" t="s">
        <v>5589</v>
      </c>
      <c r="C6103">
        <v>2</v>
      </c>
      <c r="D6103" t="s">
        <v>5375</v>
      </c>
      <c r="E6103" s="8" t="s">
        <v>5147</v>
      </c>
      <c r="F6103" t="s">
        <v>5385</v>
      </c>
      <c r="G6103">
        <v>4</v>
      </c>
      <c r="Q6103" t="s">
        <v>7769</v>
      </c>
    </row>
    <row r="6104" spans="1:17" x14ac:dyDescent="0.2">
      <c r="A6104" t="s">
        <v>5588</v>
      </c>
      <c r="B6104" t="s">
        <v>5589</v>
      </c>
      <c r="C6104">
        <v>2</v>
      </c>
      <c r="D6104" t="s">
        <v>5375</v>
      </c>
      <c r="E6104" s="8" t="s">
        <v>5148</v>
      </c>
      <c r="F6104" t="s">
        <v>5385</v>
      </c>
      <c r="G6104">
        <v>15</v>
      </c>
      <c r="M6104">
        <v>6</v>
      </c>
    </row>
    <row r="6105" spans="1:17" x14ac:dyDescent="0.2">
      <c r="A6105" t="s">
        <v>5588</v>
      </c>
      <c r="B6105" t="s">
        <v>5589</v>
      </c>
      <c r="C6105">
        <v>2</v>
      </c>
      <c r="D6105" t="s">
        <v>5375</v>
      </c>
      <c r="E6105" s="8" t="s">
        <v>5149</v>
      </c>
      <c r="F6105" t="s">
        <v>1538</v>
      </c>
      <c r="G6105">
        <v>77</v>
      </c>
      <c r="Q6105" t="s">
        <v>7777</v>
      </c>
    </row>
    <row r="6106" spans="1:17" x14ac:dyDescent="0.2">
      <c r="A6106" t="s">
        <v>5588</v>
      </c>
      <c r="B6106" t="s">
        <v>5589</v>
      </c>
      <c r="C6106">
        <v>2</v>
      </c>
      <c r="D6106" t="s">
        <v>5375</v>
      </c>
      <c r="E6106" s="8" t="s">
        <v>5150</v>
      </c>
      <c r="F6106" t="s">
        <v>1538</v>
      </c>
      <c r="G6106">
        <v>25</v>
      </c>
      <c r="Q6106" t="s">
        <v>7778</v>
      </c>
    </row>
    <row r="6107" spans="1:17" x14ac:dyDescent="0.2">
      <c r="A6107" t="s">
        <v>5588</v>
      </c>
      <c r="B6107" t="s">
        <v>5589</v>
      </c>
      <c r="C6107">
        <v>2</v>
      </c>
      <c r="D6107" t="s">
        <v>5375</v>
      </c>
      <c r="E6107" s="8" t="s">
        <v>5151</v>
      </c>
      <c r="F6107" t="s">
        <v>1538</v>
      </c>
      <c r="G6107">
        <v>14</v>
      </c>
      <c r="Q6107" t="s">
        <v>7779</v>
      </c>
    </row>
    <row r="6108" spans="1:17" x14ac:dyDescent="0.2">
      <c r="A6108" t="s">
        <v>5588</v>
      </c>
      <c r="B6108" t="s">
        <v>5589</v>
      </c>
      <c r="C6108">
        <v>2</v>
      </c>
      <c r="D6108" t="s">
        <v>5375</v>
      </c>
      <c r="E6108" s="8" t="s">
        <v>5152</v>
      </c>
      <c r="F6108" t="s">
        <v>1538</v>
      </c>
      <c r="G6108">
        <v>8</v>
      </c>
      <c r="Q6108" t="s">
        <v>7780</v>
      </c>
    </row>
    <row r="6109" spans="1:17" x14ac:dyDescent="0.2">
      <c r="A6109" t="s">
        <v>5588</v>
      </c>
      <c r="B6109" t="s">
        <v>5589</v>
      </c>
      <c r="C6109">
        <v>2</v>
      </c>
      <c r="D6109" t="s">
        <v>5375</v>
      </c>
      <c r="E6109" s="8" t="s">
        <v>5153</v>
      </c>
      <c r="F6109" t="s">
        <v>1538</v>
      </c>
      <c r="G6109">
        <v>3</v>
      </c>
      <c r="Q6109" t="s">
        <v>7781</v>
      </c>
    </row>
    <row r="6110" spans="1:17" x14ac:dyDescent="0.2">
      <c r="A6110" t="s">
        <v>5588</v>
      </c>
      <c r="B6110" t="s">
        <v>5589</v>
      </c>
      <c r="C6110">
        <v>2</v>
      </c>
      <c r="D6110" t="s">
        <v>5375</v>
      </c>
      <c r="E6110" s="8" t="s">
        <v>5154</v>
      </c>
      <c r="F6110" t="s">
        <v>1538</v>
      </c>
      <c r="G6110">
        <v>78</v>
      </c>
      <c r="M6110">
        <v>5</v>
      </c>
    </row>
    <row r="6111" spans="1:17" x14ac:dyDescent="0.2">
      <c r="A6111" t="s">
        <v>5588</v>
      </c>
      <c r="B6111" t="s">
        <v>5589</v>
      </c>
      <c r="C6111">
        <v>2</v>
      </c>
      <c r="D6111" t="s">
        <v>5375</v>
      </c>
      <c r="E6111" t="s">
        <v>5056</v>
      </c>
      <c r="F6111" t="s">
        <v>1538</v>
      </c>
      <c r="G6111">
        <v>21</v>
      </c>
      <c r="M6111">
        <v>2</v>
      </c>
    </row>
    <row r="6112" spans="1:17" x14ac:dyDescent="0.2">
      <c r="A6112" t="s">
        <v>5588</v>
      </c>
      <c r="B6112" t="s">
        <v>5589</v>
      </c>
      <c r="C6112">
        <v>2</v>
      </c>
      <c r="D6112" t="s">
        <v>5375</v>
      </c>
      <c r="E6112" s="8" t="s">
        <v>5155</v>
      </c>
      <c r="F6112" t="s">
        <v>6239</v>
      </c>
      <c r="G6112">
        <v>1</v>
      </c>
      <c r="Q6112" t="s">
        <v>7788</v>
      </c>
    </row>
    <row r="6113" spans="1:17" x14ac:dyDescent="0.2">
      <c r="A6113" t="s">
        <v>5588</v>
      </c>
      <c r="B6113" t="s">
        <v>5589</v>
      </c>
      <c r="C6113">
        <v>2</v>
      </c>
      <c r="D6113" t="s">
        <v>5375</v>
      </c>
      <c r="E6113" s="8" t="s">
        <v>5156</v>
      </c>
      <c r="F6113" t="s">
        <v>1538</v>
      </c>
      <c r="G6113">
        <v>2</v>
      </c>
      <c r="Q6113" t="s">
        <v>7786</v>
      </c>
    </row>
    <row r="6114" spans="1:17" x14ac:dyDescent="0.2">
      <c r="A6114" t="s">
        <v>5588</v>
      </c>
      <c r="B6114" t="s">
        <v>5589</v>
      </c>
      <c r="C6114">
        <v>2</v>
      </c>
      <c r="D6114" t="s">
        <v>5375</v>
      </c>
      <c r="E6114" s="8" t="s">
        <v>5157</v>
      </c>
      <c r="F6114" t="s">
        <v>1538</v>
      </c>
      <c r="G6114">
        <v>6</v>
      </c>
      <c r="Q6114" t="s">
        <v>7785</v>
      </c>
    </row>
    <row r="6115" spans="1:17" x14ac:dyDescent="0.2">
      <c r="A6115" t="s">
        <v>5588</v>
      </c>
      <c r="B6115" t="s">
        <v>5589</v>
      </c>
      <c r="C6115">
        <v>2</v>
      </c>
      <c r="D6115" t="s">
        <v>5375</v>
      </c>
      <c r="E6115" s="8" t="s">
        <v>5158</v>
      </c>
      <c r="F6115" t="s">
        <v>1538</v>
      </c>
      <c r="G6115">
        <v>5</v>
      </c>
      <c r="Q6115" t="s">
        <v>7782</v>
      </c>
    </row>
    <row r="6116" spans="1:17" x14ac:dyDescent="0.2">
      <c r="A6116" t="s">
        <v>5588</v>
      </c>
      <c r="B6116" t="s">
        <v>5589</v>
      </c>
      <c r="C6116">
        <v>2</v>
      </c>
      <c r="D6116" t="s">
        <v>5375</v>
      </c>
      <c r="E6116" s="8" t="s">
        <v>5172</v>
      </c>
      <c r="F6116" t="s">
        <v>1538</v>
      </c>
      <c r="G6116">
        <v>2</v>
      </c>
      <c r="Q6116" t="s">
        <v>7783</v>
      </c>
    </row>
    <row r="6117" spans="1:17" x14ac:dyDescent="0.2">
      <c r="A6117" t="s">
        <v>5588</v>
      </c>
      <c r="B6117" t="s">
        <v>5589</v>
      </c>
      <c r="C6117">
        <v>2</v>
      </c>
      <c r="D6117" t="s">
        <v>5375</v>
      </c>
      <c r="E6117" s="8" t="s">
        <v>5173</v>
      </c>
      <c r="F6117" t="s">
        <v>1538</v>
      </c>
      <c r="G6117">
        <v>3</v>
      </c>
      <c r="Q6117" t="s">
        <v>7784</v>
      </c>
    </row>
    <row r="6118" spans="1:17" x14ac:dyDescent="0.2">
      <c r="A6118" t="s">
        <v>5588</v>
      </c>
      <c r="B6118" t="s">
        <v>5589</v>
      </c>
      <c r="C6118">
        <v>2</v>
      </c>
      <c r="D6118" t="s">
        <v>5375</v>
      </c>
      <c r="E6118" s="8" t="s">
        <v>5174</v>
      </c>
      <c r="F6118" t="s">
        <v>1538</v>
      </c>
      <c r="G6118">
        <v>5</v>
      </c>
      <c r="M6118">
        <v>2</v>
      </c>
    </row>
    <row r="6119" spans="1:17" x14ac:dyDescent="0.2">
      <c r="A6119" t="s">
        <v>5588</v>
      </c>
      <c r="B6119" t="s">
        <v>5589</v>
      </c>
      <c r="C6119">
        <v>2</v>
      </c>
      <c r="D6119" t="s">
        <v>5375</v>
      </c>
      <c r="E6119" s="8" t="s">
        <v>5185</v>
      </c>
      <c r="F6119" t="s">
        <v>1538</v>
      </c>
      <c r="G6119" t="s">
        <v>114</v>
      </c>
      <c r="Q6119" t="s">
        <v>7787</v>
      </c>
    </row>
    <row r="6120" spans="1:17" x14ac:dyDescent="0.2">
      <c r="A6120" t="s">
        <v>5588</v>
      </c>
      <c r="B6120" t="s">
        <v>5589</v>
      </c>
      <c r="C6120">
        <v>2</v>
      </c>
      <c r="D6120" t="s">
        <v>5375</v>
      </c>
      <c r="E6120" s="8" t="s">
        <v>5175</v>
      </c>
      <c r="F6120" t="s">
        <v>113</v>
      </c>
      <c r="G6120">
        <v>15</v>
      </c>
      <c r="M6120">
        <v>3</v>
      </c>
    </row>
    <row r="6121" spans="1:17" x14ac:dyDescent="0.2">
      <c r="A6121" t="s">
        <v>5588</v>
      </c>
      <c r="B6121" t="s">
        <v>5589</v>
      </c>
      <c r="C6121">
        <v>2</v>
      </c>
      <c r="D6121" t="s">
        <v>5375</v>
      </c>
      <c r="E6121" s="8" t="s">
        <v>5139</v>
      </c>
      <c r="F6121" t="s">
        <v>121</v>
      </c>
      <c r="G6121">
        <v>14</v>
      </c>
    </row>
    <row r="6122" spans="1:17" x14ac:dyDescent="0.2">
      <c r="A6122" t="s">
        <v>5588</v>
      </c>
      <c r="B6122" t="s">
        <v>5589</v>
      </c>
      <c r="C6122">
        <v>2</v>
      </c>
      <c r="D6122" t="s">
        <v>5375</v>
      </c>
      <c r="E6122" s="8" t="s">
        <v>5162</v>
      </c>
      <c r="F6122" t="s">
        <v>106</v>
      </c>
      <c r="G6122">
        <v>4</v>
      </c>
    </row>
    <row r="6123" spans="1:17" x14ac:dyDescent="0.2">
      <c r="A6123" t="s">
        <v>5588</v>
      </c>
      <c r="B6123" t="s">
        <v>5589</v>
      </c>
      <c r="C6123">
        <v>2</v>
      </c>
      <c r="D6123" t="s">
        <v>5375</v>
      </c>
      <c r="E6123" s="8" t="s">
        <v>5159</v>
      </c>
      <c r="F6123" t="s">
        <v>5255</v>
      </c>
      <c r="G6123" t="s">
        <v>114</v>
      </c>
      <c r="O6123" t="s">
        <v>5601</v>
      </c>
    </row>
    <row r="6124" spans="1:17" x14ac:dyDescent="0.2">
      <c r="A6124" t="s">
        <v>5588</v>
      </c>
      <c r="B6124" t="s">
        <v>5589</v>
      </c>
      <c r="C6124">
        <v>2</v>
      </c>
      <c r="D6124" t="s">
        <v>5375</v>
      </c>
      <c r="E6124" s="8" t="s">
        <v>5160</v>
      </c>
      <c r="F6124" t="s">
        <v>3875</v>
      </c>
      <c r="G6124">
        <v>16</v>
      </c>
    </row>
    <row r="6125" spans="1:17" x14ac:dyDescent="0.2">
      <c r="A6125" t="s">
        <v>5588</v>
      </c>
      <c r="B6125" t="s">
        <v>5589</v>
      </c>
      <c r="C6125">
        <v>2</v>
      </c>
      <c r="D6125" t="s">
        <v>5375</v>
      </c>
      <c r="E6125" s="8" t="s">
        <v>5161</v>
      </c>
      <c r="F6125" t="s">
        <v>5600</v>
      </c>
      <c r="G6125">
        <v>26</v>
      </c>
    </row>
    <row r="6126" spans="1:17" x14ac:dyDescent="0.2">
      <c r="A6126" t="s">
        <v>5588</v>
      </c>
      <c r="B6126" t="s">
        <v>5589</v>
      </c>
      <c r="C6126">
        <v>2</v>
      </c>
      <c r="D6126" t="s">
        <v>5375</v>
      </c>
      <c r="E6126" s="8" t="s">
        <v>5184</v>
      </c>
      <c r="F6126" t="s">
        <v>3431</v>
      </c>
      <c r="G6126" t="s">
        <v>114</v>
      </c>
    </row>
    <row r="6127" spans="1:17" x14ac:dyDescent="0.2">
      <c r="A6127" t="s">
        <v>5588</v>
      </c>
      <c r="B6127" t="s">
        <v>5589</v>
      </c>
      <c r="C6127">
        <v>2</v>
      </c>
      <c r="D6127" t="s">
        <v>5375</v>
      </c>
      <c r="E6127" s="8" t="s">
        <v>5185</v>
      </c>
      <c r="F6127" t="s">
        <v>810</v>
      </c>
      <c r="G6127">
        <v>17</v>
      </c>
      <c r="M6127">
        <v>11</v>
      </c>
    </row>
    <row r="6128" spans="1:17" x14ac:dyDescent="0.2">
      <c r="A6128" t="s">
        <v>5588</v>
      </c>
      <c r="B6128" t="s">
        <v>5589</v>
      </c>
      <c r="C6128">
        <v>3</v>
      </c>
      <c r="D6128" t="s">
        <v>5375</v>
      </c>
      <c r="E6128" s="8" t="s">
        <v>5081</v>
      </c>
      <c r="F6128" t="s">
        <v>6261</v>
      </c>
      <c r="G6128">
        <v>40</v>
      </c>
      <c r="O6128" t="s">
        <v>7795</v>
      </c>
      <c r="Q6128" t="s">
        <v>7794</v>
      </c>
    </row>
    <row r="6129" spans="1:17" x14ac:dyDescent="0.2">
      <c r="A6129" t="s">
        <v>5588</v>
      </c>
      <c r="B6129" t="s">
        <v>5589</v>
      </c>
      <c r="C6129">
        <v>3</v>
      </c>
      <c r="D6129" t="s">
        <v>5375</v>
      </c>
      <c r="E6129" s="8" t="s">
        <v>5082</v>
      </c>
      <c r="F6129" t="s">
        <v>10602</v>
      </c>
      <c r="G6129">
        <v>23</v>
      </c>
      <c r="O6129" t="s">
        <v>7795</v>
      </c>
      <c r="Q6129" t="s">
        <v>7796</v>
      </c>
    </row>
    <row r="6130" spans="1:17" x14ac:dyDescent="0.2">
      <c r="A6130" t="s">
        <v>5588</v>
      </c>
      <c r="B6130" t="s">
        <v>5589</v>
      </c>
      <c r="C6130">
        <v>3</v>
      </c>
      <c r="D6130" t="s">
        <v>5375</v>
      </c>
      <c r="E6130" s="8" t="s">
        <v>5089</v>
      </c>
      <c r="F6130" t="s">
        <v>6283</v>
      </c>
      <c r="G6130">
        <v>11</v>
      </c>
      <c r="Q6130" t="s">
        <v>7791</v>
      </c>
    </row>
    <row r="6131" spans="1:17" x14ac:dyDescent="0.2">
      <c r="A6131" t="s">
        <v>5588</v>
      </c>
      <c r="B6131" t="s">
        <v>5589</v>
      </c>
      <c r="C6131">
        <v>3</v>
      </c>
      <c r="D6131" t="s">
        <v>5375</v>
      </c>
      <c r="E6131" s="8" t="s">
        <v>5090</v>
      </c>
      <c r="F6131" t="s">
        <v>6283</v>
      </c>
      <c r="G6131">
        <v>7</v>
      </c>
      <c r="Q6131" t="s">
        <v>7790</v>
      </c>
    </row>
    <row r="6132" spans="1:17" x14ac:dyDescent="0.2">
      <c r="A6132" t="s">
        <v>5588</v>
      </c>
      <c r="B6132" t="s">
        <v>5589</v>
      </c>
      <c r="C6132">
        <v>3</v>
      </c>
      <c r="D6132" t="s">
        <v>5375</v>
      </c>
      <c r="E6132" s="8" t="s">
        <v>5091</v>
      </c>
      <c r="F6132" t="s">
        <v>1425</v>
      </c>
      <c r="G6132">
        <v>5</v>
      </c>
      <c r="Q6132" t="s">
        <v>7789</v>
      </c>
    </row>
    <row r="6133" spans="1:17" x14ac:dyDescent="0.2">
      <c r="A6133" t="s">
        <v>5588</v>
      </c>
      <c r="B6133" t="s">
        <v>5589</v>
      </c>
      <c r="C6133">
        <v>3</v>
      </c>
      <c r="D6133" t="s">
        <v>5375</v>
      </c>
      <c r="E6133" s="8" t="s">
        <v>5092</v>
      </c>
      <c r="F6133" t="s">
        <v>1425</v>
      </c>
      <c r="G6133">
        <v>2</v>
      </c>
      <c r="Q6133" t="s">
        <v>7792</v>
      </c>
    </row>
    <row r="6134" spans="1:17" x14ac:dyDescent="0.2">
      <c r="A6134" t="s">
        <v>5588</v>
      </c>
      <c r="B6134" t="s">
        <v>5589</v>
      </c>
      <c r="C6134">
        <v>3</v>
      </c>
      <c r="D6134" t="s">
        <v>5375</v>
      </c>
      <c r="E6134" s="8" t="s">
        <v>5094</v>
      </c>
      <c r="F6134" t="s">
        <v>1425</v>
      </c>
      <c r="G6134">
        <v>3</v>
      </c>
      <c r="Q6134" t="s">
        <v>7793</v>
      </c>
    </row>
    <row r="6135" spans="1:17" x14ac:dyDescent="0.2">
      <c r="A6135" t="s">
        <v>5588</v>
      </c>
      <c r="B6135" t="s">
        <v>5589</v>
      </c>
      <c r="C6135">
        <v>3</v>
      </c>
      <c r="D6135" t="s">
        <v>5375</v>
      </c>
      <c r="E6135" s="8" t="s">
        <v>5097</v>
      </c>
      <c r="F6135" t="s">
        <v>1425</v>
      </c>
      <c r="G6135">
        <v>30</v>
      </c>
      <c r="M6135">
        <v>5</v>
      </c>
    </row>
    <row r="6136" spans="1:17" x14ac:dyDescent="0.2">
      <c r="A6136" t="s">
        <v>5588</v>
      </c>
      <c r="B6136" t="s">
        <v>5589</v>
      </c>
      <c r="C6136">
        <v>3</v>
      </c>
      <c r="D6136" t="s">
        <v>5375</v>
      </c>
      <c r="E6136" t="s">
        <v>5056</v>
      </c>
      <c r="F6136" t="s">
        <v>1425</v>
      </c>
      <c r="G6136">
        <v>99</v>
      </c>
      <c r="M6136">
        <v>20</v>
      </c>
    </row>
    <row r="6137" spans="1:17" x14ac:dyDescent="0.2">
      <c r="A6137" t="s">
        <v>5588</v>
      </c>
      <c r="B6137" t="s">
        <v>5589</v>
      </c>
      <c r="C6137">
        <v>3</v>
      </c>
      <c r="D6137" t="s">
        <v>5375</v>
      </c>
      <c r="E6137" s="8" t="s">
        <v>5152</v>
      </c>
      <c r="F6137" t="s">
        <v>1264</v>
      </c>
      <c r="H6137">
        <f>7.5-0.261+4.5-0.345</f>
        <v>11.394</v>
      </c>
      <c r="O6137" t="s">
        <v>5602</v>
      </c>
    </row>
    <row r="6138" spans="1:17" x14ac:dyDescent="0.2">
      <c r="A6138" t="s">
        <v>5588</v>
      </c>
      <c r="B6138" t="s">
        <v>5589</v>
      </c>
      <c r="C6138">
        <v>3</v>
      </c>
      <c r="D6138" t="s">
        <v>5375</v>
      </c>
      <c r="E6138" s="8" t="s">
        <v>5098</v>
      </c>
      <c r="F6138" t="s">
        <v>1538</v>
      </c>
      <c r="G6138">
        <v>53</v>
      </c>
      <c r="Q6138" t="s">
        <v>7799</v>
      </c>
    </row>
    <row r="6139" spans="1:17" x14ac:dyDescent="0.2">
      <c r="A6139" t="s">
        <v>5588</v>
      </c>
      <c r="B6139" t="s">
        <v>5589</v>
      </c>
      <c r="C6139">
        <v>3</v>
      </c>
      <c r="D6139" t="s">
        <v>5375</v>
      </c>
      <c r="E6139" s="8" t="s">
        <v>5166</v>
      </c>
      <c r="F6139" t="s">
        <v>1538</v>
      </c>
      <c r="G6139">
        <v>15</v>
      </c>
      <c r="Q6139" t="s">
        <v>7798</v>
      </c>
    </row>
    <row r="6140" spans="1:17" x14ac:dyDescent="0.2">
      <c r="A6140" t="s">
        <v>5588</v>
      </c>
      <c r="B6140" t="s">
        <v>5589</v>
      </c>
      <c r="C6140">
        <v>3</v>
      </c>
      <c r="D6140" t="s">
        <v>5375</v>
      </c>
      <c r="E6140" s="8" t="s">
        <v>5167</v>
      </c>
      <c r="F6140" t="s">
        <v>1538</v>
      </c>
      <c r="G6140">
        <v>23</v>
      </c>
      <c r="Q6140" t="s">
        <v>7797</v>
      </c>
    </row>
    <row r="6141" spans="1:17" x14ac:dyDescent="0.2">
      <c r="A6141" t="s">
        <v>5588</v>
      </c>
      <c r="B6141" t="s">
        <v>5589</v>
      </c>
      <c r="C6141">
        <v>3</v>
      </c>
      <c r="D6141" t="s">
        <v>5375</v>
      </c>
      <c r="E6141" s="8" t="s">
        <v>5168</v>
      </c>
      <c r="F6141" t="s">
        <v>1538</v>
      </c>
      <c r="G6141">
        <v>5</v>
      </c>
      <c r="Q6141" t="s">
        <v>7801</v>
      </c>
    </row>
    <row r="6142" spans="1:17" x14ac:dyDescent="0.2">
      <c r="A6142" t="s">
        <v>5588</v>
      </c>
      <c r="B6142" t="s">
        <v>5589</v>
      </c>
      <c r="C6142">
        <v>3</v>
      </c>
      <c r="D6142" t="s">
        <v>5375</v>
      </c>
      <c r="E6142" s="8" t="s">
        <v>5169</v>
      </c>
      <c r="F6142" t="s">
        <v>1538</v>
      </c>
      <c r="G6142">
        <v>3</v>
      </c>
      <c r="Q6142" t="s">
        <v>7800</v>
      </c>
    </row>
    <row r="6143" spans="1:17" x14ac:dyDescent="0.2">
      <c r="A6143" t="s">
        <v>5588</v>
      </c>
      <c r="B6143" t="s">
        <v>5589</v>
      </c>
      <c r="C6143">
        <v>3</v>
      </c>
      <c r="D6143" t="s">
        <v>5375</v>
      </c>
      <c r="E6143" s="8" t="s">
        <v>5170</v>
      </c>
      <c r="F6143" t="s">
        <v>1538</v>
      </c>
      <c r="G6143">
        <v>125</v>
      </c>
      <c r="M6143">
        <v>5</v>
      </c>
    </row>
    <row r="6144" spans="1:17" x14ac:dyDescent="0.2">
      <c r="A6144" t="s">
        <v>5588</v>
      </c>
      <c r="B6144" t="s">
        <v>5589</v>
      </c>
      <c r="C6144">
        <v>3</v>
      </c>
      <c r="D6144" t="s">
        <v>5375</v>
      </c>
      <c r="E6144" t="s">
        <v>5056</v>
      </c>
      <c r="F6144" t="s">
        <v>1538</v>
      </c>
      <c r="G6144">
        <v>209</v>
      </c>
      <c r="M6144">
        <v>22</v>
      </c>
    </row>
    <row r="6145" spans="1:17" x14ac:dyDescent="0.2">
      <c r="A6145" t="s">
        <v>5588</v>
      </c>
      <c r="B6145" t="s">
        <v>5589</v>
      </c>
      <c r="C6145">
        <v>3</v>
      </c>
      <c r="D6145" t="s">
        <v>5375</v>
      </c>
      <c r="E6145" s="8" t="s">
        <v>5171</v>
      </c>
      <c r="F6145" t="s">
        <v>1538</v>
      </c>
      <c r="G6145">
        <v>2</v>
      </c>
      <c r="Q6145" t="s">
        <v>7802</v>
      </c>
    </row>
    <row r="6146" spans="1:17" x14ac:dyDescent="0.2">
      <c r="A6146" t="s">
        <v>5588</v>
      </c>
      <c r="B6146" t="s">
        <v>5589</v>
      </c>
      <c r="C6146">
        <v>3</v>
      </c>
      <c r="D6146" t="s">
        <v>5375</v>
      </c>
      <c r="E6146" s="8" t="s">
        <v>5140</v>
      </c>
      <c r="F6146" t="s">
        <v>1538</v>
      </c>
      <c r="G6146">
        <v>3</v>
      </c>
      <c r="Q6146" t="s">
        <v>7804</v>
      </c>
    </row>
    <row r="6147" spans="1:17" x14ac:dyDescent="0.2">
      <c r="A6147" t="s">
        <v>5588</v>
      </c>
      <c r="B6147" t="s">
        <v>5589</v>
      </c>
      <c r="C6147">
        <v>3</v>
      </c>
      <c r="D6147" t="s">
        <v>5375</v>
      </c>
      <c r="E6147" s="8" t="s">
        <v>5141</v>
      </c>
      <c r="F6147" t="s">
        <v>1538</v>
      </c>
      <c r="G6147">
        <v>1</v>
      </c>
      <c r="Q6147" t="s">
        <v>7805</v>
      </c>
    </row>
    <row r="6148" spans="1:17" x14ac:dyDescent="0.2">
      <c r="A6148" t="s">
        <v>5588</v>
      </c>
      <c r="B6148" t="s">
        <v>5589</v>
      </c>
      <c r="C6148">
        <v>3</v>
      </c>
      <c r="D6148" t="s">
        <v>5375</v>
      </c>
      <c r="E6148" s="8" t="s">
        <v>5142</v>
      </c>
      <c r="F6148" t="s">
        <v>1538</v>
      </c>
      <c r="G6148">
        <v>1</v>
      </c>
      <c r="Q6148" t="s">
        <v>7806</v>
      </c>
    </row>
    <row r="6149" spans="1:17" x14ac:dyDescent="0.2">
      <c r="A6149" t="s">
        <v>5588</v>
      </c>
      <c r="B6149" t="s">
        <v>5589</v>
      </c>
      <c r="C6149">
        <v>3</v>
      </c>
      <c r="D6149" t="s">
        <v>5375</v>
      </c>
      <c r="E6149" s="8" t="s">
        <v>5143</v>
      </c>
      <c r="F6149" t="s">
        <v>1538</v>
      </c>
      <c r="G6149">
        <v>3</v>
      </c>
      <c r="Q6149" t="s">
        <v>7803</v>
      </c>
    </row>
    <row r="6150" spans="1:17" x14ac:dyDescent="0.2">
      <c r="A6150" t="s">
        <v>5588</v>
      </c>
      <c r="B6150" t="s">
        <v>5589</v>
      </c>
      <c r="C6150">
        <v>3</v>
      </c>
      <c r="D6150" t="s">
        <v>5375</v>
      </c>
      <c r="E6150" s="8" t="s">
        <v>5144</v>
      </c>
      <c r="F6150" t="s">
        <v>1538</v>
      </c>
      <c r="G6150">
        <v>5</v>
      </c>
      <c r="M6150">
        <v>2</v>
      </c>
    </row>
    <row r="6151" spans="1:17" x14ac:dyDescent="0.2">
      <c r="A6151" t="s">
        <v>5588</v>
      </c>
      <c r="B6151" t="s">
        <v>5589</v>
      </c>
      <c r="C6151">
        <v>3</v>
      </c>
      <c r="D6151" t="s">
        <v>5375</v>
      </c>
      <c r="E6151" s="8" t="s">
        <v>5145</v>
      </c>
      <c r="F6151" t="s">
        <v>5385</v>
      </c>
      <c r="G6151">
        <v>4</v>
      </c>
      <c r="Q6151" t="s">
        <v>7811</v>
      </c>
    </row>
    <row r="6152" spans="1:17" x14ac:dyDescent="0.2">
      <c r="A6152" t="s">
        <v>5588</v>
      </c>
      <c r="B6152" t="s">
        <v>5589</v>
      </c>
      <c r="C6152">
        <v>3</v>
      </c>
      <c r="D6152" t="s">
        <v>5375</v>
      </c>
      <c r="E6152" s="8" t="s">
        <v>5146</v>
      </c>
      <c r="F6152" t="s">
        <v>5385</v>
      </c>
      <c r="G6152">
        <v>1</v>
      </c>
      <c r="Q6152" t="s">
        <v>7810</v>
      </c>
    </row>
    <row r="6153" spans="1:17" x14ac:dyDescent="0.2">
      <c r="A6153" t="s">
        <v>5588</v>
      </c>
      <c r="B6153" t="s">
        <v>5589</v>
      </c>
      <c r="C6153">
        <v>3</v>
      </c>
      <c r="D6153" t="s">
        <v>5375</v>
      </c>
      <c r="E6153" s="8" t="s">
        <v>5147</v>
      </c>
      <c r="F6153" t="s">
        <v>5385</v>
      </c>
      <c r="G6153">
        <v>3</v>
      </c>
      <c r="Q6153" t="s">
        <v>7809</v>
      </c>
    </row>
    <row r="6154" spans="1:17" x14ac:dyDescent="0.2">
      <c r="A6154" t="s">
        <v>5588</v>
      </c>
      <c r="B6154" t="s">
        <v>5589</v>
      </c>
      <c r="C6154">
        <v>3</v>
      </c>
      <c r="D6154" t="s">
        <v>5375</v>
      </c>
      <c r="E6154" s="8" t="s">
        <v>5148</v>
      </c>
      <c r="F6154" t="s">
        <v>5385</v>
      </c>
      <c r="G6154">
        <v>4</v>
      </c>
      <c r="Q6154" t="s">
        <v>7807</v>
      </c>
    </row>
    <row r="6155" spans="1:17" x14ac:dyDescent="0.2">
      <c r="A6155" t="s">
        <v>5588</v>
      </c>
      <c r="B6155" t="s">
        <v>5589</v>
      </c>
      <c r="C6155">
        <v>3</v>
      </c>
      <c r="D6155" t="s">
        <v>5375</v>
      </c>
      <c r="E6155" s="8" t="s">
        <v>5149</v>
      </c>
      <c r="F6155" t="s">
        <v>5385</v>
      </c>
      <c r="G6155">
        <v>2</v>
      </c>
      <c r="Q6155" t="s">
        <v>7808</v>
      </c>
    </row>
    <row r="6156" spans="1:17" x14ac:dyDescent="0.2">
      <c r="A6156" t="s">
        <v>5588</v>
      </c>
      <c r="B6156" t="s">
        <v>5589</v>
      </c>
      <c r="C6156">
        <v>3</v>
      </c>
      <c r="D6156" t="s">
        <v>5375</v>
      </c>
      <c r="E6156" s="8" t="s">
        <v>5150</v>
      </c>
      <c r="F6156" t="s">
        <v>5385</v>
      </c>
      <c r="G6156">
        <v>12</v>
      </c>
      <c r="M6156">
        <v>5</v>
      </c>
    </row>
    <row r="6157" spans="1:17" x14ac:dyDescent="0.2">
      <c r="A6157" t="s">
        <v>5588</v>
      </c>
      <c r="B6157" t="s">
        <v>5589</v>
      </c>
      <c r="C6157">
        <v>3</v>
      </c>
      <c r="D6157" t="s">
        <v>5375</v>
      </c>
      <c r="E6157" s="8" t="s">
        <v>5151</v>
      </c>
      <c r="F6157" t="s">
        <v>7337</v>
      </c>
      <c r="G6157">
        <v>8</v>
      </c>
      <c r="Q6157" t="s">
        <v>7812</v>
      </c>
    </row>
    <row r="6158" spans="1:17" x14ac:dyDescent="0.2">
      <c r="A6158" t="s">
        <v>5588</v>
      </c>
      <c r="B6158" t="s">
        <v>5589</v>
      </c>
      <c r="C6158">
        <v>3</v>
      </c>
      <c r="D6158" t="s">
        <v>5375</v>
      </c>
      <c r="E6158" t="s">
        <v>5056</v>
      </c>
      <c r="F6158" t="s">
        <v>5385</v>
      </c>
      <c r="G6158">
        <v>42</v>
      </c>
      <c r="M6158">
        <v>15</v>
      </c>
    </row>
    <row r="6159" spans="1:17" x14ac:dyDescent="0.2">
      <c r="A6159" t="s">
        <v>5588</v>
      </c>
      <c r="B6159" t="s">
        <v>5589</v>
      </c>
      <c r="C6159">
        <v>3</v>
      </c>
      <c r="D6159" t="s">
        <v>5375</v>
      </c>
      <c r="E6159" s="8" t="s">
        <v>5175</v>
      </c>
      <c r="F6159" t="s">
        <v>6250</v>
      </c>
      <c r="G6159">
        <v>16</v>
      </c>
      <c r="Q6159" t="s">
        <v>7824</v>
      </c>
    </row>
    <row r="6160" spans="1:17" x14ac:dyDescent="0.2">
      <c r="A6160" t="s">
        <v>5588</v>
      </c>
      <c r="B6160" t="s">
        <v>5589</v>
      </c>
      <c r="C6160">
        <v>3</v>
      </c>
      <c r="D6160" t="s">
        <v>5375</v>
      </c>
      <c r="E6160" s="8" t="s">
        <v>5139</v>
      </c>
      <c r="F6160" t="s">
        <v>6250</v>
      </c>
      <c r="G6160">
        <v>3</v>
      </c>
      <c r="Q6160" t="s">
        <v>7813</v>
      </c>
    </row>
    <row r="6161" spans="1:17" x14ac:dyDescent="0.2">
      <c r="A6161" t="s">
        <v>5588</v>
      </c>
      <c r="B6161" t="s">
        <v>5589</v>
      </c>
      <c r="C6161">
        <v>3</v>
      </c>
      <c r="D6161" t="s">
        <v>5375</v>
      </c>
      <c r="E6161" s="8" t="s">
        <v>5162</v>
      </c>
      <c r="F6161" t="s">
        <v>6250</v>
      </c>
      <c r="G6161">
        <v>7</v>
      </c>
      <c r="Q6161" t="s">
        <v>7815</v>
      </c>
    </row>
    <row r="6162" spans="1:17" x14ac:dyDescent="0.2">
      <c r="A6162" t="s">
        <v>5588</v>
      </c>
      <c r="B6162" t="s">
        <v>5589</v>
      </c>
      <c r="C6162">
        <v>3</v>
      </c>
      <c r="D6162" t="s">
        <v>5375</v>
      </c>
      <c r="E6162" s="8" t="s">
        <v>5159</v>
      </c>
      <c r="F6162" t="s">
        <v>6250</v>
      </c>
      <c r="G6162">
        <v>5</v>
      </c>
      <c r="Q6162" t="s">
        <v>7814</v>
      </c>
    </row>
    <row r="6163" spans="1:17" x14ac:dyDescent="0.2">
      <c r="A6163" t="s">
        <v>5588</v>
      </c>
      <c r="B6163" t="s">
        <v>5589</v>
      </c>
      <c r="C6163">
        <v>3</v>
      </c>
      <c r="D6163" t="s">
        <v>5375</v>
      </c>
      <c r="E6163" s="8" t="s">
        <v>5160</v>
      </c>
      <c r="F6163" t="s">
        <v>6250</v>
      </c>
      <c r="G6163">
        <v>3</v>
      </c>
      <c r="Q6163" t="s">
        <v>7816</v>
      </c>
    </row>
    <row r="6164" spans="1:17" x14ac:dyDescent="0.2">
      <c r="A6164" t="s">
        <v>5588</v>
      </c>
      <c r="B6164" t="s">
        <v>5589</v>
      </c>
      <c r="C6164">
        <v>3</v>
      </c>
      <c r="D6164" t="s">
        <v>5375</v>
      </c>
      <c r="E6164" s="8" t="s">
        <v>5161</v>
      </c>
      <c r="F6164" t="s">
        <v>6250</v>
      </c>
      <c r="G6164">
        <v>34</v>
      </c>
      <c r="M6164">
        <v>5</v>
      </c>
    </row>
    <row r="6165" spans="1:17" x14ac:dyDescent="0.2">
      <c r="A6165" t="s">
        <v>5588</v>
      </c>
      <c r="B6165" t="s">
        <v>5589</v>
      </c>
      <c r="C6165">
        <v>3</v>
      </c>
      <c r="D6165" t="s">
        <v>5375</v>
      </c>
      <c r="E6165" t="s">
        <v>5056</v>
      </c>
      <c r="F6165" t="s">
        <v>6250</v>
      </c>
      <c r="G6165">
        <v>34</v>
      </c>
      <c r="M6165">
        <v>5</v>
      </c>
    </row>
    <row r="6166" spans="1:17" x14ac:dyDescent="0.2">
      <c r="A6166" t="s">
        <v>5588</v>
      </c>
      <c r="B6166" t="s">
        <v>5589</v>
      </c>
      <c r="C6166">
        <v>3</v>
      </c>
      <c r="D6166" t="s">
        <v>5375</v>
      </c>
      <c r="E6166" s="8" t="s">
        <v>5189</v>
      </c>
      <c r="F6166" t="s">
        <v>6231</v>
      </c>
      <c r="G6166">
        <v>27</v>
      </c>
      <c r="Q6166" t="s">
        <v>7820</v>
      </c>
    </row>
    <row r="6167" spans="1:17" x14ac:dyDescent="0.2">
      <c r="A6167" t="s">
        <v>5588</v>
      </c>
      <c r="B6167" t="s">
        <v>5589</v>
      </c>
      <c r="C6167">
        <v>3</v>
      </c>
      <c r="D6167" t="s">
        <v>5375</v>
      </c>
      <c r="E6167" s="8" t="s">
        <v>5184</v>
      </c>
      <c r="F6167" t="s">
        <v>6231</v>
      </c>
      <c r="G6167">
        <v>18</v>
      </c>
      <c r="Q6167" t="s">
        <v>7821</v>
      </c>
    </row>
    <row r="6168" spans="1:17" x14ac:dyDescent="0.2">
      <c r="A6168" t="s">
        <v>5588</v>
      </c>
      <c r="B6168" t="s">
        <v>5589</v>
      </c>
      <c r="C6168">
        <v>3</v>
      </c>
      <c r="D6168" t="s">
        <v>5375</v>
      </c>
      <c r="E6168" s="8" t="s">
        <v>5185</v>
      </c>
      <c r="F6168" t="s">
        <v>6231</v>
      </c>
      <c r="G6168">
        <v>23</v>
      </c>
      <c r="Q6168" t="s">
        <v>7822</v>
      </c>
    </row>
    <row r="6169" spans="1:17" x14ac:dyDescent="0.2">
      <c r="A6169" t="s">
        <v>5588</v>
      </c>
      <c r="B6169" t="s">
        <v>5589</v>
      </c>
      <c r="C6169">
        <v>3</v>
      </c>
      <c r="D6169" t="s">
        <v>5375</v>
      </c>
      <c r="E6169" s="8" t="s">
        <v>5186</v>
      </c>
      <c r="F6169" t="s">
        <v>6231</v>
      </c>
      <c r="G6169">
        <v>20</v>
      </c>
      <c r="Q6169" t="s">
        <v>7823</v>
      </c>
    </row>
    <row r="6170" spans="1:17" x14ac:dyDescent="0.2">
      <c r="A6170" t="s">
        <v>5588</v>
      </c>
      <c r="B6170" t="s">
        <v>5589</v>
      </c>
      <c r="C6170">
        <v>3</v>
      </c>
      <c r="D6170" t="s">
        <v>5375</v>
      </c>
      <c r="E6170" s="8" t="s">
        <v>5182</v>
      </c>
      <c r="F6170" t="s">
        <v>6978</v>
      </c>
      <c r="G6170">
        <v>1</v>
      </c>
      <c r="Q6170" t="s">
        <v>7819</v>
      </c>
    </row>
    <row r="6171" spans="1:17" x14ac:dyDescent="0.2">
      <c r="A6171" t="s">
        <v>5588</v>
      </c>
      <c r="B6171" t="s">
        <v>5589</v>
      </c>
      <c r="C6171">
        <v>3</v>
      </c>
      <c r="D6171" t="s">
        <v>5375</v>
      </c>
      <c r="E6171" s="8" t="s">
        <v>5187</v>
      </c>
      <c r="F6171" t="s">
        <v>6978</v>
      </c>
      <c r="G6171" t="s">
        <v>114</v>
      </c>
      <c r="Q6171" t="s">
        <v>7818</v>
      </c>
    </row>
    <row r="6172" spans="1:17" x14ac:dyDescent="0.2">
      <c r="A6172" t="s">
        <v>5588</v>
      </c>
      <c r="B6172" t="s">
        <v>5589</v>
      </c>
      <c r="C6172">
        <v>3</v>
      </c>
      <c r="D6172" t="s">
        <v>5375</v>
      </c>
      <c r="E6172" s="8" t="s">
        <v>5188</v>
      </c>
      <c r="F6172" t="s">
        <v>6978</v>
      </c>
      <c r="G6172">
        <v>3</v>
      </c>
      <c r="Q6172" t="s">
        <v>7817</v>
      </c>
    </row>
    <row r="6173" spans="1:17" x14ac:dyDescent="0.2">
      <c r="A6173" t="s">
        <v>5588</v>
      </c>
      <c r="B6173" t="s">
        <v>5589</v>
      </c>
      <c r="C6173">
        <v>3</v>
      </c>
      <c r="D6173" t="s">
        <v>5375</v>
      </c>
      <c r="E6173" t="s">
        <v>5056</v>
      </c>
      <c r="F6173" t="s">
        <v>5603</v>
      </c>
      <c r="G6173">
        <f>375-308</f>
        <v>67</v>
      </c>
    </row>
    <row r="6174" spans="1:17" x14ac:dyDescent="0.2">
      <c r="A6174" t="s">
        <v>5588</v>
      </c>
      <c r="B6174" t="s">
        <v>5589</v>
      </c>
      <c r="C6174">
        <v>3</v>
      </c>
      <c r="D6174" t="s">
        <v>5375</v>
      </c>
      <c r="E6174" s="8" t="s">
        <v>5156</v>
      </c>
      <c r="F6174" t="s">
        <v>810</v>
      </c>
      <c r="G6174">
        <v>52</v>
      </c>
    </row>
    <row r="6175" spans="1:17" x14ac:dyDescent="0.2">
      <c r="A6175" t="s">
        <v>5588</v>
      </c>
      <c r="B6175" t="s">
        <v>5589</v>
      </c>
      <c r="C6175">
        <v>3</v>
      </c>
      <c r="D6175" t="s">
        <v>5375</v>
      </c>
      <c r="E6175" s="8" t="s">
        <v>5157</v>
      </c>
      <c r="F6175" t="s">
        <v>121</v>
      </c>
      <c r="G6175">
        <v>2</v>
      </c>
      <c r="M6175">
        <v>4</v>
      </c>
    </row>
    <row r="6176" spans="1:17" x14ac:dyDescent="0.2">
      <c r="A6176" t="s">
        <v>5588</v>
      </c>
      <c r="B6176" t="s">
        <v>5589</v>
      </c>
      <c r="C6176">
        <v>3</v>
      </c>
      <c r="D6176" t="s">
        <v>5375</v>
      </c>
      <c r="E6176" s="8" t="s">
        <v>5158</v>
      </c>
      <c r="F6176" t="s">
        <v>3431</v>
      </c>
      <c r="G6176">
        <v>4</v>
      </c>
      <c r="M6176">
        <v>6</v>
      </c>
    </row>
    <row r="6177" spans="1:17" x14ac:dyDescent="0.2">
      <c r="A6177" t="s">
        <v>5588</v>
      </c>
      <c r="B6177" t="s">
        <v>5589</v>
      </c>
      <c r="C6177">
        <v>3</v>
      </c>
      <c r="D6177" t="s">
        <v>5375</v>
      </c>
      <c r="E6177" s="8" t="s">
        <v>5172</v>
      </c>
      <c r="F6177" t="s">
        <v>5255</v>
      </c>
      <c r="G6177">
        <v>3</v>
      </c>
    </row>
    <row r="6178" spans="1:17" x14ac:dyDescent="0.2">
      <c r="A6178" t="s">
        <v>5588</v>
      </c>
      <c r="B6178" t="s">
        <v>5589</v>
      </c>
      <c r="C6178">
        <v>3</v>
      </c>
      <c r="D6178" t="s">
        <v>5375</v>
      </c>
      <c r="E6178" s="8" t="s">
        <v>5173</v>
      </c>
      <c r="F6178" t="s">
        <v>3875</v>
      </c>
      <c r="G6178">
        <v>2</v>
      </c>
      <c r="M6178">
        <v>3</v>
      </c>
    </row>
    <row r="6179" spans="1:17" x14ac:dyDescent="0.2">
      <c r="A6179" t="s">
        <v>5588</v>
      </c>
      <c r="B6179" t="s">
        <v>5589</v>
      </c>
      <c r="C6179">
        <v>3</v>
      </c>
      <c r="D6179" t="s">
        <v>5375</v>
      </c>
      <c r="E6179" s="8" t="s">
        <v>5174</v>
      </c>
      <c r="F6179" t="s">
        <v>106</v>
      </c>
      <c r="G6179">
        <v>1</v>
      </c>
    </row>
    <row r="6180" spans="1:17" x14ac:dyDescent="0.2">
      <c r="A6180" t="s">
        <v>5588</v>
      </c>
      <c r="B6180" t="s">
        <v>5589</v>
      </c>
      <c r="C6180">
        <v>3</v>
      </c>
      <c r="D6180" t="s">
        <v>5375</v>
      </c>
      <c r="E6180" s="8" t="s">
        <v>5155</v>
      </c>
      <c r="F6180" t="s">
        <v>7138</v>
      </c>
      <c r="G6180">
        <v>5</v>
      </c>
      <c r="M6180">
        <v>2</v>
      </c>
      <c r="Q6180" t="s">
        <v>7827</v>
      </c>
    </row>
    <row r="6181" spans="1:17" x14ac:dyDescent="0.2">
      <c r="A6181" t="s">
        <v>5588</v>
      </c>
      <c r="B6181" t="s">
        <v>5589</v>
      </c>
      <c r="C6181">
        <v>3</v>
      </c>
      <c r="D6181" t="s">
        <v>5375</v>
      </c>
      <c r="E6181" s="8" t="s">
        <v>5153</v>
      </c>
      <c r="F6181" t="s">
        <v>7138</v>
      </c>
      <c r="G6181">
        <v>577</v>
      </c>
      <c r="I6181">
        <v>633</v>
      </c>
      <c r="O6181" t="s">
        <v>5607</v>
      </c>
      <c r="Q6181" t="s">
        <v>7825</v>
      </c>
    </row>
    <row r="6182" spans="1:17" x14ac:dyDescent="0.2">
      <c r="A6182" t="s">
        <v>5588</v>
      </c>
      <c r="B6182" t="s">
        <v>5589</v>
      </c>
      <c r="C6182">
        <v>3</v>
      </c>
      <c r="D6182" t="s">
        <v>5375</v>
      </c>
      <c r="E6182" s="8" t="s">
        <v>5154</v>
      </c>
      <c r="F6182" t="s">
        <v>7138</v>
      </c>
      <c r="G6182">
        <v>234</v>
      </c>
      <c r="I6182">
        <v>436</v>
      </c>
      <c r="O6182" t="s">
        <v>5608</v>
      </c>
      <c r="Q6182" t="s">
        <v>7826</v>
      </c>
    </row>
    <row r="6183" spans="1:17" x14ac:dyDescent="0.2">
      <c r="A6183" t="s">
        <v>5588</v>
      </c>
      <c r="B6183" t="s">
        <v>5589</v>
      </c>
      <c r="C6183">
        <v>4</v>
      </c>
      <c r="D6183" t="s">
        <v>5375</v>
      </c>
      <c r="E6183" s="8" t="s">
        <v>5081</v>
      </c>
      <c r="F6183" t="s">
        <v>1264</v>
      </c>
      <c r="H6183">
        <f>5.2-0.345+6.9-0.285</f>
        <v>11.47</v>
      </c>
      <c r="O6183" t="s">
        <v>5606</v>
      </c>
    </row>
    <row r="6184" spans="1:17" x14ac:dyDescent="0.2">
      <c r="A6184" t="s">
        <v>5588</v>
      </c>
      <c r="B6184" t="s">
        <v>5589</v>
      </c>
      <c r="C6184">
        <v>4</v>
      </c>
      <c r="D6184" t="s">
        <v>5375</v>
      </c>
      <c r="E6184" s="8" t="s">
        <v>5082</v>
      </c>
      <c r="F6184" t="s">
        <v>1425</v>
      </c>
      <c r="G6184">
        <v>7</v>
      </c>
      <c r="Q6184" t="s">
        <v>7832</v>
      </c>
    </row>
    <row r="6185" spans="1:17" x14ac:dyDescent="0.2">
      <c r="A6185" t="s">
        <v>5588</v>
      </c>
      <c r="B6185" t="s">
        <v>5589</v>
      </c>
      <c r="C6185">
        <v>4</v>
      </c>
      <c r="D6185" t="s">
        <v>5375</v>
      </c>
      <c r="E6185" s="8" t="s">
        <v>5089</v>
      </c>
      <c r="F6185" t="s">
        <v>1425</v>
      </c>
      <c r="G6185">
        <v>2</v>
      </c>
      <c r="Q6185" t="s">
        <v>7828</v>
      </c>
    </row>
    <row r="6186" spans="1:17" x14ac:dyDescent="0.2">
      <c r="A6186" t="s">
        <v>5588</v>
      </c>
      <c r="B6186" t="s">
        <v>5589</v>
      </c>
      <c r="C6186">
        <v>4</v>
      </c>
      <c r="D6186" t="s">
        <v>5375</v>
      </c>
      <c r="E6186" s="8" t="s">
        <v>5090</v>
      </c>
      <c r="F6186" t="s">
        <v>1425</v>
      </c>
      <c r="G6186">
        <v>2</v>
      </c>
      <c r="Q6186" t="s">
        <v>7829</v>
      </c>
    </row>
    <row r="6187" spans="1:17" x14ac:dyDescent="0.2">
      <c r="A6187" t="s">
        <v>5588</v>
      </c>
      <c r="B6187" t="s">
        <v>5589</v>
      </c>
      <c r="C6187">
        <v>4</v>
      </c>
      <c r="D6187" t="s">
        <v>5375</v>
      </c>
      <c r="E6187" s="8" t="s">
        <v>5091</v>
      </c>
      <c r="F6187" t="s">
        <v>1425</v>
      </c>
      <c r="G6187">
        <v>4</v>
      </c>
      <c r="Q6187" t="s">
        <v>7830</v>
      </c>
    </row>
    <row r="6188" spans="1:17" x14ac:dyDescent="0.2">
      <c r="A6188" t="s">
        <v>5588</v>
      </c>
      <c r="B6188" t="s">
        <v>5589</v>
      </c>
      <c r="C6188">
        <v>4</v>
      </c>
      <c r="D6188" t="s">
        <v>5375</v>
      </c>
      <c r="E6188" s="8" t="s">
        <v>5092</v>
      </c>
      <c r="F6188" t="s">
        <v>1425</v>
      </c>
      <c r="G6188">
        <v>6</v>
      </c>
      <c r="Q6188" t="s">
        <v>7831</v>
      </c>
    </row>
    <row r="6189" spans="1:17" x14ac:dyDescent="0.2">
      <c r="A6189" t="s">
        <v>5588</v>
      </c>
      <c r="B6189" t="s">
        <v>5589</v>
      </c>
      <c r="C6189">
        <v>4</v>
      </c>
      <c r="D6189" t="s">
        <v>5375</v>
      </c>
      <c r="E6189" s="8" t="s">
        <v>5094</v>
      </c>
      <c r="F6189" t="s">
        <v>1425</v>
      </c>
      <c r="G6189">
        <v>20</v>
      </c>
      <c r="M6189">
        <v>5</v>
      </c>
    </row>
    <row r="6190" spans="1:17" x14ac:dyDescent="0.2">
      <c r="A6190" t="s">
        <v>5588</v>
      </c>
      <c r="B6190" t="s">
        <v>5589</v>
      </c>
      <c r="C6190">
        <v>4</v>
      </c>
      <c r="D6190" t="s">
        <v>5375</v>
      </c>
      <c r="E6190" t="s">
        <v>5056</v>
      </c>
      <c r="F6190" t="s">
        <v>1425</v>
      </c>
      <c r="G6190">
        <v>24</v>
      </c>
      <c r="M6190">
        <v>6</v>
      </c>
    </row>
    <row r="6191" spans="1:17" x14ac:dyDescent="0.2">
      <c r="A6191" t="s">
        <v>5588</v>
      </c>
      <c r="B6191" t="s">
        <v>5589</v>
      </c>
      <c r="C6191">
        <v>4</v>
      </c>
      <c r="D6191" t="s">
        <v>5375</v>
      </c>
      <c r="E6191" s="8" t="s">
        <v>5097</v>
      </c>
      <c r="F6191" t="s">
        <v>5385</v>
      </c>
      <c r="G6191">
        <v>3</v>
      </c>
      <c r="Q6191" t="s">
        <v>7838</v>
      </c>
    </row>
    <row r="6192" spans="1:17" x14ac:dyDescent="0.2">
      <c r="A6192" t="s">
        <v>5588</v>
      </c>
      <c r="B6192" t="s">
        <v>5589</v>
      </c>
      <c r="C6192">
        <v>4</v>
      </c>
      <c r="D6192" t="s">
        <v>5375</v>
      </c>
      <c r="E6192" s="8" t="s">
        <v>5098</v>
      </c>
      <c r="F6192" t="s">
        <v>5385</v>
      </c>
      <c r="G6192">
        <v>3</v>
      </c>
      <c r="Q6192" t="s">
        <v>7837</v>
      </c>
    </row>
    <row r="6193" spans="1:17" x14ac:dyDescent="0.2">
      <c r="A6193" t="s">
        <v>5588</v>
      </c>
      <c r="B6193" t="s">
        <v>5589</v>
      </c>
      <c r="C6193">
        <v>4</v>
      </c>
      <c r="D6193" t="s">
        <v>5375</v>
      </c>
      <c r="E6193" s="8" t="s">
        <v>5166</v>
      </c>
      <c r="F6193" t="s">
        <v>5385</v>
      </c>
      <c r="G6193">
        <v>1</v>
      </c>
      <c r="Q6193" t="s">
        <v>7836</v>
      </c>
    </row>
    <row r="6194" spans="1:17" x14ac:dyDescent="0.2">
      <c r="A6194" t="s">
        <v>5588</v>
      </c>
      <c r="B6194" t="s">
        <v>5589</v>
      </c>
      <c r="C6194">
        <v>4</v>
      </c>
      <c r="D6194" t="s">
        <v>5375</v>
      </c>
      <c r="E6194" s="8" t="s">
        <v>5167</v>
      </c>
      <c r="F6194" t="s">
        <v>5385</v>
      </c>
      <c r="G6194">
        <v>1</v>
      </c>
      <c r="Q6194" t="s">
        <v>7835</v>
      </c>
    </row>
    <row r="6195" spans="1:17" x14ac:dyDescent="0.2">
      <c r="A6195" t="s">
        <v>5588</v>
      </c>
      <c r="B6195" t="s">
        <v>5589</v>
      </c>
      <c r="C6195">
        <v>4</v>
      </c>
      <c r="D6195" t="s">
        <v>5375</v>
      </c>
      <c r="E6195" s="8" t="s">
        <v>5168</v>
      </c>
      <c r="F6195" t="s">
        <v>6359</v>
      </c>
      <c r="G6195">
        <v>2</v>
      </c>
      <c r="Q6195" t="s">
        <v>7839</v>
      </c>
    </row>
    <row r="6196" spans="1:17" x14ac:dyDescent="0.2">
      <c r="A6196" t="s">
        <v>5588</v>
      </c>
      <c r="B6196" t="s">
        <v>5589</v>
      </c>
      <c r="C6196">
        <v>4</v>
      </c>
      <c r="D6196" t="s">
        <v>5375</v>
      </c>
      <c r="E6196" s="8" t="s">
        <v>5169</v>
      </c>
      <c r="F6196" t="s">
        <v>6359</v>
      </c>
      <c r="G6196">
        <v>1</v>
      </c>
      <c r="Q6196" t="s">
        <v>7834</v>
      </c>
    </row>
    <row r="6197" spans="1:17" x14ac:dyDescent="0.2">
      <c r="A6197" t="s">
        <v>5588</v>
      </c>
      <c r="B6197" t="s">
        <v>5589</v>
      </c>
      <c r="C6197">
        <v>4</v>
      </c>
      <c r="D6197" t="s">
        <v>5375</v>
      </c>
      <c r="E6197" s="8" t="s">
        <v>5155</v>
      </c>
      <c r="F6197" t="s">
        <v>1559</v>
      </c>
      <c r="G6197">
        <v>1</v>
      </c>
    </row>
    <row r="6198" spans="1:17" x14ac:dyDescent="0.2">
      <c r="A6198" t="s">
        <v>5588</v>
      </c>
      <c r="B6198" t="s">
        <v>5589</v>
      </c>
      <c r="C6198">
        <v>4</v>
      </c>
      <c r="D6198" t="s">
        <v>5375</v>
      </c>
      <c r="E6198" s="8" t="s">
        <v>5170</v>
      </c>
      <c r="F6198" t="s">
        <v>10602</v>
      </c>
      <c r="G6198">
        <v>14</v>
      </c>
      <c r="Q6198" t="s">
        <v>7833</v>
      </c>
    </row>
    <row r="6199" spans="1:17" x14ac:dyDescent="0.2">
      <c r="A6199" t="s">
        <v>5588</v>
      </c>
      <c r="B6199" t="s">
        <v>5589</v>
      </c>
      <c r="C6199">
        <v>4</v>
      </c>
      <c r="D6199" t="s">
        <v>5375</v>
      </c>
      <c r="E6199" s="8" t="s">
        <v>5149</v>
      </c>
      <c r="F6199" t="s">
        <v>1389</v>
      </c>
      <c r="G6199">
        <v>19</v>
      </c>
      <c r="Q6199" t="s">
        <v>7840</v>
      </c>
    </row>
    <row r="6200" spans="1:17" x14ac:dyDescent="0.2">
      <c r="A6200" t="s">
        <v>5588</v>
      </c>
      <c r="B6200" t="s">
        <v>5589</v>
      </c>
      <c r="C6200">
        <v>4</v>
      </c>
      <c r="D6200" t="s">
        <v>5375</v>
      </c>
      <c r="E6200" s="8" t="s">
        <v>5150</v>
      </c>
      <c r="F6200" t="s">
        <v>7845</v>
      </c>
      <c r="G6200" t="s">
        <v>114</v>
      </c>
      <c r="Q6200" t="s">
        <v>7844</v>
      </c>
    </row>
    <row r="6201" spans="1:17" x14ac:dyDescent="0.2">
      <c r="A6201" t="s">
        <v>5588</v>
      </c>
      <c r="B6201" t="s">
        <v>5589</v>
      </c>
      <c r="C6201">
        <v>4</v>
      </c>
      <c r="D6201" t="s">
        <v>5375</v>
      </c>
      <c r="E6201" s="8" t="s">
        <v>5151</v>
      </c>
      <c r="F6201" t="s">
        <v>1389</v>
      </c>
      <c r="G6201">
        <v>11</v>
      </c>
      <c r="Q6201" t="s">
        <v>7841</v>
      </c>
    </row>
    <row r="6202" spans="1:17" x14ac:dyDescent="0.2">
      <c r="A6202" t="s">
        <v>5588</v>
      </c>
      <c r="B6202" t="s">
        <v>5589</v>
      </c>
      <c r="C6202">
        <v>4</v>
      </c>
      <c r="D6202" t="s">
        <v>5375</v>
      </c>
      <c r="E6202" s="8" t="s">
        <v>5152</v>
      </c>
      <c r="F6202" t="s">
        <v>1389</v>
      </c>
      <c r="G6202">
        <v>4</v>
      </c>
      <c r="Q6202" t="s">
        <v>7842</v>
      </c>
    </row>
    <row r="6203" spans="1:17" x14ac:dyDescent="0.2">
      <c r="A6203" t="s">
        <v>5588</v>
      </c>
      <c r="B6203" t="s">
        <v>5589</v>
      </c>
      <c r="C6203">
        <v>4</v>
      </c>
      <c r="D6203" t="s">
        <v>5375</v>
      </c>
      <c r="E6203" s="8" t="s">
        <v>5153</v>
      </c>
      <c r="F6203" t="s">
        <v>1389</v>
      </c>
      <c r="G6203">
        <v>2</v>
      </c>
      <c r="Q6203" t="s">
        <v>7843</v>
      </c>
    </row>
    <row r="6204" spans="1:17" x14ac:dyDescent="0.2">
      <c r="A6204" t="s">
        <v>5588</v>
      </c>
      <c r="B6204" t="s">
        <v>5589</v>
      </c>
      <c r="C6204">
        <v>4</v>
      </c>
      <c r="D6204" t="s">
        <v>5375</v>
      </c>
      <c r="E6204" s="8" t="s">
        <v>5154</v>
      </c>
      <c r="F6204" t="s">
        <v>1389</v>
      </c>
      <c r="G6204">
        <v>23</v>
      </c>
      <c r="M6204">
        <v>5</v>
      </c>
    </row>
    <row r="6205" spans="1:17" x14ac:dyDescent="0.2">
      <c r="A6205" t="s">
        <v>5588</v>
      </c>
      <c r="B6205" t="s">
        <v>5589</v>
      </c>
      <c r="C6205">
        <v>4</v>
      </c>
      <c r="D6205" t="s">
        <v>5375</v>
      </c>
      <c r="E6205" t="s">
        <v>5056</v>
      </c>
      <c r="F6205" t="s">
        <v>1389</v>
      </c>
      <c r="G6205">
        <f>767-590</f>
        <v>177</v>
      </c>
      <c r="M6205">
        <v>40</v>
      </c>
    </row>
    <row r="6206" spans="1:17" x14ac:dyDescent="0.2">
      <c r="A6206" t="s">
        <v>5588</v>
      </c>
      <c r="B6206" t="s">
        <v>5589</v>
      </c>
      <c r="C6206">
        <v>4</v>
      </c>
      <c r="D6206" t="s">
        <v>5375</v>
      </c>
      <c r="E6206" t="s">
        <v>5056</v>
      </c>
      <c r="F6206" t="s">
        <v>5609</v>
      </c>
      <c r="G6206">
        <f>508-427</f>
        <v>81</v>
      </c>
    </row>
    <row r="6207" spans="1:17" x14ac:dyDescent="0.2">
      <c r="A6207" t="s">
        <v>5588</v>
      </c>
      <c r="B6207" t="s">
        <v>5589</v>
      </c>
      <c r="C6207">
        <v>4</v>
      </c>
      <c r="D6207" t="s">
        <v>5375</v>
      </c>
      <c r="E6207" s="8" t="s">
        <v>5171</v>
      </c>
      <c r="F6207" t="s">
        <v>5869</v>
      </c>
      <c r="G6207">
        <v>37</v>
      </c>
      <c r="Q6207" t="s">
        <v>5898</v>
      </c>
    </row>
    <row r="6208" spans="1:17" x14ac:dyDescent="0.2">
      <c r="A6208" t="s">
        <v>5588</v>
      </c>
      <c r="B6208" t="s">
        <v>5589</v>
      </c>
      <c r="C6208">
        <v>4</v>
      </c>
      <c r="D6208" t="s">
        <v>5375</v>
      </c>
      <c r="E6208" s="8" t="s">
        <v>5142</v>
      </c>
      <c r="F6208" t="s">
        <v>106</v>
      </c>
      <c r="G6208">
        <v>4</v>
      </c>
    </row>
    <row r="6209" spans="1:17" x14ac:dyDescent="0.2">
      <c r="A6209" t="s">
        <v>5588</v>
      </c>
      <c r="B6209" t="s">
        <v>5589</v>
      </c>
      <c r="C6209">
        <v>4</v>
      </c>
      <c r="D6209" t="s">
        <v>5375</v>
      </c>
      <c r="E6209" s="8" t="s">
        <v>5140</v>
      </c>
      <c r="F6209" t="s">
        <v>810</v>
      </c>
      <c r="G6209">
        <v>10</v>
      </c>
    </row>
    <row r="6210" spans="1:17" x14ac:dyDescent="0.2">
      <c r="A6210" t="s">
        <v>5588</v>
      </c>
      <c r="B6210" t="s">
        <v>5589</v>
      </c>
      <c r="C6210">
        <v>4</v>
      </c>
      <c r="D6210" t="s">
        <v>5375</v>
      </c>
      <c r="E6210" s="8" t="s">
        <v>5141</v>
      </c>
      <c r="F6210" t="s">
        <v>3927</v>
      </c>
      <c r="G6210">
        <v>23</v>
      </c>
    </row>
    <row r="6211" spans="1:17" x14ac:dyDescent="0.2">
      <c r="A6211" t="s">
        <v>5588</v>
      </c>
      <c r="B6211" t="s">
        <v>5589</v>
      </c>
      <c r="C6211">
        <v>4</v>
      </c>
      <c r="D6211" t="s">
        <v>5375</v>
      </c>
      <c r="E6211" s="8" t="s">
        <v>5248</v>
      </c>
      <c r="F6211" t="s">
        <v>5611</v>
      </c>
      <c r="G6211" t="s">
        <v>114</v>
      </c>
      <c r="O6211" t="s">
        <v>5613</v>
      </c>
    </row>
    <row r="6212" spans="1:17" x14ac:dyDescent="0.2">
      <c r="A6212" t="s">
        <v>5588</v>
      </c>
      <c r="B6212" t="s">
        <v>5589</v>
      </c>
      <c r="C6212">
        <v>4</v>
      </c>
      <c r="D6212" t="s">
        <v>5375</v>
      </c>
      <c r="E6212" s="8" t="s">
        <v>5143</v>
      </c>
      <c r="F6212" t="s">
        <v>3431</v>
      </c>
      <c r="G6212">
        <v>4</v>
      </c>
      <c r="M6212">
        <v>6</v>
      </c>
    </row>
    <row r="6213" spans="1:17" x14ac:dyDescent="0.2">
      <c r="A6213" t="s">
        <v>5588</v>
      </c>
      <c r="B6213" t="s">
        <v>5589</v>
      </c>
      <c r="C6213">
        <v>4</v>
      </c>
      <c r="D6213" t="s">
        <v>5375</v>
      </c>
      <c r="E6213" s="8" t="s">
        <v>5146</v>
      </c>
      <c r="F6213" t="s">
        <v>121</v>
      </c>
      <c r="G6213" t="s">
        <v>114</v>
      </c>
      <c r="M6213">
        <v>1.5</v>
      </c>
    </row>
    <row r="6214" spans="1:17" x14ac:dyDescent="0.2">
      <c r="A6214" t="s">
        <v>5588</v>
      </c>
      <c r="B6214" t="s">
        <v>5589</v>
      </c>
      <c r="C6214">
        <v>4</v>
      </c>
      <c r="D6214" t="s">
        <v>5375</v>
      </c>
      <c r="E6214" s="8" t="s">
        <v>5148</v>
      </c>
      <c r="F6214" t="s">
        <v>6978</v>
      </c>
      <c r="G6214">
        <v>1</v>
      </c>
      <c r="Q6214" t="s">
        <v>7847</v>
      </c>
    </row>
    <row r="6215" spans="1:17" x14ac:dyDescent="0.2">
      <c r="A6215" t="s">
        <v>5588</v>
      </c>
      <c r="B6215" t="s">
        <v>5589</v>
      </c>
      <c r="C6215">
        <v>4</v>
      </c>
      <c r="D6215" t="s">
        <v>5375</v>
      </c>
      <c r="E6215" s="8" t="s">
        <v>5147</v>
      </c>
      <c r="F6215" t="s">
        <v>6978</v>
      </c>
      <c r="G6215" t="s">
        <v>114</v>
      </c>
      <c r="Q6215" t="s">
        <v>7848</v>
      </c>
    </row>
    <row r="6216" spans="1:17" x14ac:dyDescent="0.2">
      <c r="A6216" t="s">
        <v>5588</v>
      </c>
      <c r="B6216" t="s">
        <v>5589</v>
      </c>
      <c r="C6216">
        <v>4</v>
      </c>
      <c r="D6216" t="s">
        <v>5375</v>
      </c>
      <c r="E6216" s="8" t="s">
        <v>5145</v>
      </c>
      <c r="F6216" t="s">
        <v>7138</v>
      </c>
      <c r="G6216">
        <v>16</v>
      </c>
      <c r="Q6216" t="s">
        <v>7846</v>
      </c>
    </row>
    <row r="6217" spans="1:17" x14ac:dyDescent="0.2">
      <c r="A6217" t="s">
        <v>5588</v>
      </c>
      <c r="B6217" t="s">
        <v>5589</v>
      </c>
      <c r="C6217">
        <v>4</v>
      </c>
      <c r="D6217" t="s">
        <v>5375</v>
      </c>
      <c r="E6217" s="8" t="s">
        <v>5144</v>
      </c>
      <c r="F6217" t="s">
        <v>3875</v>
      </c>
      <c r="G6217">
        <v>72</v>
      </c>
    </row>
    <row r="6218" spans="1:17" x14ac:dyDescent="0.2">
      <c r="A6218" t="s">
        <v>5588</v>
      </c>
      <c r="B6218" t="s">
        <v>5589</v>
      </c>
      <c r="C6218">
        <v>5</v>
      </c>
      <c r="D6218" t="s">
        <v>5375</v>
      </c>
      <c r="E6218" s="8" t="s">
        <v>5141</v>
      </c>
      <c r="F6218" t="s">
        <v>483</v>
      </c>
      <c r="G6218">
        <v>158</v>
      </c>
    </row>
    <row r="6219" spans="1:17" x14ac:dyDescent="0.2">
      <c r="A6219" t="s">
        <v>5588</v>
      </c>
      <c r="B6219" t="s">
        <v>5589</v>
      </c>
      <c r="C6219">
        <v>5</v>
      </c>
      <c r="D6219" t="s">
        <v>5375</v>
      </c>
      <c r="E6219" s="8" t="s">
        <v>5147</v>
      </c>
      <c r="F6219" t="s">
        <v>5612</v>
      </c>
      <c r="G6219">
        <v>185</v>
      </c>
    </row>
    <row r="6220" spans="1:17" x14ac:dyDescent="0.2">
      <c r="A6220" t="s">
        <v>5588</v>
      </c>
      <c r="B6220" t="s">
        <v>5589</v>
      </c>
      <c r="C6220">
        <v>5</v>
      </c>
      <c r="D6220" t="s">
        <v>5375</v>
      </c>
      <c r="E6220" s="8" t="s">
        <v>5081</v>
      </c>
      <c r="F6220" t="s">
        <v>6282</v>
      </c>
      <c r="G6220">
        <v>36</v>
      </c>
      <c r="Q6220" t="s">
        <v>7849</v>
      </c>
    </row>
    <row r="6221" spans="1:17" x14ac:dyDescent="0.2">
      <c r="A6221" t="s">
        <v>5588</v>
      </c>
      <c r="B6221" t="s">
        <v>5589</v>
      </c>
      <c r="C6221">
        <v>5</v>
      </c>
      <c r="D6221" t="s">
        <v>5375</v>
      </c>
      <c r="E6221" s="8" t="s">
        <v>5082</v>
      </c>
      <c r="F6221" t="s">
        <v>6282</v>
      </c>
      <c r="G6221">
        <v>34</v>
      </c>
      <c r="Q6221" t="s">
        <v>7850</v>
      </c>
    </row>
    <row r="6222" spans="1:17" x14ac:dyDescent="0.2">
      <c r="A6222" t="s">
        <v>5588</v>
      </c>
      <c r="B6222" t="s">
        <v>5589</v>
      </c>
      <c r="C6222">
        <v>5</v>
      </c>
      <c r="D6222" t="s">
        <v>5375</v>
      </c>
      <c r="E6222" s="8" t="s">
        <v>5089</v>
      </c>
      <c r="F6222" t="s">
        <v>6282</v>
      </c>
      <c r="G6222">
        <v>31</v>
      </c>
      <c r="Q6222" t="s">
        <v>7851</v>
      </c>
    </row>
    <row r="6223" spans="1:17" x14ac:dyDescent="0.2">
      <c r="A6223" t="s">
        <v>5588</v>
      </c>
      <c r="B6223" t="s">
        <v>5589</v>
      </c>
      <c r="C6223">
        <v>5</v>
      </c>
      <c r="D6223" t="s">
        <v>5375</v>
      </c>
      <c r="E6223" s="8" t="s">
        <v>5090</v>
      </c>
      <c r="F6223" t="s">
        <v>1425</v>
      </c>
      <c r="G6223">
        <v>5</v>
      </c>
      <c r="Q6223" t="s">
        <v>7852</v>
      </c>
    </row>
    <row r="6224" spans="1:17" x14ac:dyDescent="0.2">
      <c r="A6224" t="s">
        <v>5588</v>
      </c>
      <c r="B6224" t="s">
        <v>5589</v>
      </c>
      <c r="C6224">
        <v>5</v>
      </c>
      <c r="D6224" t="s">
        <v>5375</v>
      </c>
      <c r="E6224" s="8" t="s">
        <v>5091</v>
      </c>
      <c r="F6224" t="s">
        <v>1389</v>
      </c>
      <c r="G6224">
        <v>7</v>
      </c>
      <c r="Q6224" t="s">
        <v>7853</v>
      </c>
    </row>
    <row r="6225" spans="1:17" x14ac:dyDescent="0.2">
      <c r="A6225" t="s">
        <v>5588</v>
      </c>
      <c r="B6225" t="s">
        <v>5589</v>
      </c>
      <c r="C6225">
        <v>5</v>
      </c>
      <c r="D6225" t="s">
        <v>5375</v>
      </c>
      <c r="E6225" s="8" t="s">
        <v>5092</v>
      </c>
      <c r="F6225" t="s">
        <v>1389</v>
      </c>
      <c r="G6225">
        <v>10</v>
      </c>
      <c r="Q6225" t="s">
        <v>7854</v>
      </c>
    </row>
    <row r="6226" spans="1:17" x14ac:dyDescent="0.2">
      <c r="A6226" t="s">
        <v>5588</v>
      </c>
      <c r="B6226" t="s">
        <v>5589</v>
      </c>
      <c r="C6226">
        <v>5</v>
      </c>
      <c r="D6226" t="s">
        <v>5375</v>
      </c>
      <c r="E6226" s="8" t="s">
        <v>5094</v>
      </c>
      <c r="F6226" t="s">
        <v>7845</v>
      </c>
      <c r="G6226" t="s">
        <v>114</v>
      </c>
      <c r="Q6226" t="s">
        <v>7855</v>
      </c>
    </row>
    <row r="6227" spans="1:17" x14ac:dyDescent="0.2">
      <c r="A6227" t="s">
        <v>5588</v>
      </c>
      <c r="B6227" t="s">
        <v>5589</v>
      </c>
      <c r="C6227">
        <v>5</v>
      </c>
      <c r="D6227" t="s">
        <v>5375</v>
      </c>
      <c r="E6227" s="8" t="s">
        <v>5097</v>
      </c>
      <c r="F6227" t="s">
        <v>7845</v>
      </c>
      <c r="G6227" t="s">
        <v>114</v>
      </c>
      <c r="Q6227" t="s">
        <v>7856</v>
      </c>
    </row>
    <row r="6228" spans="1:17" x14ac:dyDescent="0.2">
      <c r="A6228" t="s">
        <v>5588</v>
      </c>
      <c r="B6228" t="s">
        <v>5589</v>
      </c>
      <c r="C6228">
        <v>5</v>
      </c>
      <c r="D6228" t="s">
        <v>5375</v>
      </c>
      <c r="E6228" s="8" t="s">
        <v>5098</v>
      </c>
      <c r="F6228" t="s">
        <v>7845</v>
      </c>
      <c r="G6228" t="s">
        <v>114</v>
      </c>
      <c r="Q6228" t="s">
        <v>7857</v>
      </c>
    </row>
    <row r="6229" spans="1:17" x14ac:dyDescent="0.2">
      <c r="A6229" t="s">
        <v>5588</v>
      </c>
      <c r="B6229" t="s">
        <v>5589</v>
      </c>
      <c r="C6229">
        <v>5</v>
      </c>
      <c r="D6229" t="s">
        <v>5375</v>
      </c>
      <c r="E6229" s="8" t="s">
        <v>5166</v>
      </c>
      <c r="F6229" t="s">
        <v>1389</v>
      </c>
      <c r="G6229">
        <v>1</v>
      </c>
      <c r="M6229">
        <v>2</v>
      </c>
      <c r="N6229">
        <v>1</v>
      </c>
      <c r="Q6229" t="s">
        <v>7858</v>
      </c>
    </row>
    <row r="6230" spans="1:17" x14ac:dyDescent="0.2">
      <c r="A6230" t="s">
        <v>5588</v>
      </c>
      <c r="B6230" t="s">
        <v>5589</v>
      </c>
      <c r="C6230">
        <v>5</v>
      </c>
      <c r="D6230" t="s">
        <v>5375</v>
      </c>
      <c r="E6230" s="8" t="s">
        <v>5140</v>
      </c>
      <c r="F6230" t="s">
        <v>5385</v>
      </c>
      <c r="G6230">
        <v>3</v>
      </c>
      <c r="Q6230" t="s">
        <v>7865</v>
      </c>
    </row>
    <row r="6231" spans="1:17" x14ac:dyDescent="0.2">
      <c r="A6231" t="s">
        <v>5588</v>
      </c>
      <c r="B6231" t="s">
        <v>5589</v>
      </c>
      <c r="C6231">
        <v>5</v>
      </c>
      <c r="D6231" t="s">
        <v>5375</v>
      </c>
      <c r="E6231" s="8" t="s">
        <v>5171</v>
      </c>
      <c r="F6231" t="s">
        <v>5385</v>
      </c>
      <c r="G6231">
        <v>2</v>
      </c>
      <c r="Q6231" t="s">
        <v>7864</v>
      </c>
    </row>
    <row r="6232" spans="1:17" x14ac:dyDescent="0.2">
      <c r="A6232" t="s">
        <v>5588</v>
      </c>
      <c r="B6232" t="s">
        <v>5589</v>
      </c>
      <c r="C6232">
        <v>5</v>
      </c>
      <c r="D6232" t="s">
        <v>5375</v>
      </c>
      <c r="E6232" s="8" t="s">
        <v>5170</v>
      </c>
      <c r="F6232" t="s">
        <v>5385</v>
      </c>
      <c r="G6232">
        <v>2</v>
      </c>
      <c r="Q6232" t="s">
        <v>7863</v>
      </c>
    </row>
    <row r="6233" spans="1:17" x14ac:dyDescent="0.2">
      <c r="A6233" t="s">
        <v>5588</v>
      </c>
      <c r="B6233" t="s">
        <v>5589</v>
      </c>
      <c r="C6233">
        <v>5</v>
      </c>
      <c r="D6233" t="s">
        <v>5375</v>
      </c>
      <c r="E6233" s="8" t="s">
        <v>5169</v>
      </c>
      <c r="F6233" t="s">
        <v>5385</v>
      </c>
      <c r="G6233">
        <v>2</v>
      </c>
      <c r="Q6233" t="s">
        <v>7862</v>
      </c>
    </row>
    <row r="6234" spans="1:17" x14ac:dyDescent="0.2">
      <c r="A6234" t="s">
        <v>5588</v>
      </c>
      <c r="B6234" t="s">
        <v>5589</v>
      </c>
      <c r="C6234">
        <v>5</v>
      </c>
      <c r="D6234" t="s">
        <v>5375</v>
      </c>
      <c r="E6234" s="8" t="s">
        <v>5167</v>
      </c>
      <c r="F6234" t="s">
        <v>6359</v>
      </c>
      <c r="G6234">
        <v>1</v>
      </c>
      <c r="Q6234" t="s">
        <v>7860</v>
      </c>
    </row>
    <row r="6235" spans="1:17" x14ac:dyDescent="0.2">
      <c r="A6235" t="s">
        <v>5588</v>
      </c>
      <c r="B6235" t="s">
        <v>5589</v>
      </c>
      <c r="C6235">
        <v>5</v>
      </c>
      <c r="D6235" t="s">
        <v>5375</v>
      </c>
      <c r="E6235" s="8" t="s">
        <v>5168</v>
      </c>
      <c r="F6235" t="s">
        <v>6359</v>
      </c>
      <c r="G6235">
        <v>2</v>
      </c>
      <c r="Q6235" t="s">
        <v>7861</v>
      </c>
    </row>
    <row r="6236" spans="1:17" x14ac:dyDescent="0.2">
      <c r="A6236" t="s">
        <v>5588</v>
      </c>
      <c r="B6236" t="s">
        <v>5589</v>
      </c>
      <c r="C6236">
        <v>5</v>
      </c>
      <c r="D6236" t="s">
        <v>5375</v>
      </c>
      <c r="E6236" s="8" t="s">
        <v>5148</v>
      </c>
      <c r="F6236" t="s">
        <v>6978</v>
      </c>
      <c r="G6236" t="s">
        <v>114</v>
      </c>
      <c r="Q6236" t="s">
        <v>7859</v>
      </c>
    </row>
    <row r="6237" spans="1:17" x14ac:dyDescent="0.2">
      <c r="A6237" t="s">
        <v>5588</v>
      </c>
      <c r="B6237" t="s">
        <v>5589</v>
      </c>
      <c r="C6237">
        <v>5</v>
      </c>
      <c r="D6237" t="s">
        <v>5375</v>
      </c>
      <c r="E6237" s="8" t="s">
        <v>5142</v>
      </c>
      <c r="F6237" t="s">
        <v>3875</v>
      </c>
      <c r="G6237">
        <v>71</v>
      </c>
    </row>
    <row r="6238" spans="1:17" x14ac:dyDescent="0.2">
      <c r="A6238" t="s">
        <v>5588</v>
      </c>
      <c r="B6238" t="s">
        <v>5589</v>
      </c>
      <c r="C6238">
        <v>5</v>
      </c>
      <c r="D6238" t="s">
        <v>5375</v>
      </c>
      <c r="E6238" s="8" t="s">
        <v>5143</v>
      </c>
      <c r="F6238" t="s">
        <v>106</v>
      </c>
      <c r="G6238">
        <v>2</v>
      </c>
    </row>
    <row r="6239" spans="1:17" x14ac:dyDescent="0.2">
      <c r="A6239" t="s">
        <v>5588</v>
      </c>
      <c r="B6239" t="s">
        <v>5589</v>
      </c>
      <c r="C6239">
        <v>5</v>
      </c>
      <c r="D6239" t="s">
        <v>5375</v>
      </c>
      <c r="E6239" s="8" t="s">
        <v>5144</v>
      </c>
      <c r="F6239" t="s">
        <v>7138</v>
      </c>
      <c r="G6239">
        <v>6</v>
      </c>
      <c r="Q6239" t="s">
        <v>7866</v>
      </c>
    </row>
    <row r="6240" spans="1:17" x14ac:dyDescent="0.2">
      <c r="A6240" t="s">
        <v>5588</v>
      </c>
      <c r="B6240" t="s">
        <v>5589</v>
      </c>
      <c r="C6240">
        <v>5</v>
      </c>
      <c r="D6240" t="s">
        <v>5375</v>
      </c>
      <c r="E6240" s="8" t="s">
        <v>5145</v>
      </c>
      <c r="F6240" t="s">
        <v>3927</v>
      </c>
      <c r="G6240">
        <v>15</v>
      </c>
    </row>
    <row r="6241" spans="1:17" x14ac:dyDescent="0.2">
      <c r="A6241" t="s">
        <v>5588</v>
      </c>
      <c r="B6241" t="s">
        <v>5589</v>
      </c>
      <c r="C6241">
        <v>5</v>
      </c>
      <c r="D6241" t="s">
        <v>5375</v>
      </c>
      <c r="E6241" s="8" t="s">
        <v>5146</v>
      </c>
      <c r="F6241" t="s">
        <v>810</v>
      </c>
      <c r="G6241">
        <v>1</v>
      </c>
      <c r="N6241">
        <v>1</v>
      </c>
    </row>
    <row r="6242" spans="1:17" x14ac:dyDescent="0.2">
      <c r="A6242" t="s">
        <v>5588</v>
      </c>
      <c r="B6242" t="s">
        <v>5589</v>
      </c>
      <c r="C6242">
        <v>5</v>
      </c>
      <c r="D6242" t="s">
        <v>5375</v>
      </c>
      <c r="E6242" s="8" t="s">
        <v>5149</v>
      </c>
      <c r="F6242" t="s">
        <v>341</v>
      </c>
      <c r="G6242">
        <v>1</v>
      </c>
      <c r="O6242" t="s">
        <v>5619</v>
      </c>
    </row>
    <row r="6243" spans="1:17" x14ac:dyDescent="0.2">
      <c r="A6243" t="s">
        <v>5588</v>
      </c>
      <c r="B6243" t="s">
        <v>5589</v>
      </c>
      <c r="C6243">
        <v>6</v>
      </c>
      <c r="D6243" t="s">
        <v>5375</v>
      </c>
      <c r="E6243" s="8" t="s">
        <v>5081</v>
      </c>
      <c r="F6243" t="s">
        <v>1264</v>
      </c>
      <c r="H6243">
        <f>1.324-0.285</f>
        <v>1.0390000000000001</v>
      </c>
      <c r="O6243" t="s">
        <v>5618</v>
      </c>
    </row>
    <row r="6244" spans="1:17" x14ac:dyDescent="0.2">
      <c r="A6244" t="s">
        <v>5588</v>
      </c>
      <c r="B6244" t="s">
        <v>5589</v>
      </c>
      <c r="C6244">
        <v>6</v>
      </c>
      <c r="D6244" t="s">
        <v>5375</v>
      </c>
      <c r="E6244" s="8" t="s">
        <v>5082</v>
      </c>
      <c r="F6244" t="s">
        <v>5617</v>
      </c>
      <c r="G6244">
        <f>536-40</f>
        <v>496</v>
      </c>
    </row>
    <row r="6245" spans="1:17" x14ac:dyDescent="0.2">
      <c r="A6245" t="s">
        <v>5588</v>
      </c>
      <c r="B6245" t="s">
        <v>5589</v>
      </c>
      <c r="C6245">
        <v>6</v>
      </c>
      <c r="D6245" t="s">
        <v>5375</v>
      </c>
      <c r="E6245" s="8" t="s">
        <v>5089</v>
      </c>
      <c r="F6245" t="s">
        <v>5385</v>
      </c>
      <c r="G6245">
        <v>4</v>
      </c>
      <c r="Q6245" t="s">
        <v>7867</v>
      </c>
    </row>
    <row r="6246" spans="1:17" x14ac:dyDescent="0.2">
      <c r="A6246" t="s">
        <v>5588</v>
      </c>
      <c r="B6246" t="s">
        <v>5589</v>
      </c>
      <c r="C6246">
        <v>6</v>
      </c>
      <c r="D6246" t="s">
        <v>5375</v>
      </c>
      <c r="E6246" s="8" t="s">
        <v>5090</v>
      </c>
      <c r="F6246" t="s">
        <v>5385</v>
      </c>
      <c r="G6246">
        <v>1</v>
      </c>
      <c r="Q6246" t="s">
        <v>7871</v>
      </c>
    </row>
    <row r="6247" spans="1:17" x14ac:dyDescent="0.2">
      <c r="A6247" t="s">
        <v>5588</v>
      </c>
      <c r="B6247" t="s">
        <v>5589</v>
      </c>
      <c r="C6247">
        <v>6</v>
      </c>
      <c r="D6247" t="s">
        <v>5375</v>
      </c>
      <c r="E6247" s="8" t="s">
        <v>5091</v>
      </c>
      <c r="F6247" t="s">
        <v>5385</v>
      </c>
      <c r="G6247">
        <v>1</v>
      </c>
      <c r="Q6247" t="s">
        <v>7870</v>
      </c>
    </row>
    <row r="6248" spans="1:17" x14ac:dyDescent="0.2">
      <c r="A6248" t="s">
        <v>5588</v>
      </c>
      <c r="B6248" t="s">
        <v>5589</v>
      </c>
      <c r="C6248">
        <v>6</v>
      </c>
      <c r="D6248" t="s">
        <v>5375</v>
      </c>
      <c r="E6248" s="8" t="s">
        <v>5092</v>
      </c>
      <c r="F6248" t="s">
        <v>5385</v>
      </c>
      <c r="G6248">
        <v>2</v>
      </c>
      <c r="Q6248" t="s">
        <v>7868</v>
      </c>
    </row>
    <row r="6249" spans="1:17" x14ac:dyDescent="0.2">
      <c r="A6249" t="s">
        <v>5588</v>
      </c>
      <c r="B6249" t="s">
        <v>5589</v>
      </c>
      <c r="C6249">
        <v>6</v>
      </c>
      <c r="D6249" t="s">
        <v>5375</v>
      </c>
      <c r="E6249" s="8" t="s">
        <v>5094</v>
      </c>
      <c r="F6249" t="s">
        <v>5385</v>
      </c>
      <c r="G6249">
        <v>2</v>
      </c>
      <c r="Q6249" t="s">
        <v>7869</v>
      </c>
    </row>
    <row r="6250" spans="1:17" x14ac:dyDescent="0.2">
      <c r="A6250" t="s">
        <v>5588</v>
      </c>
      <c r="B6250" t="s">
        <v>5589</v>
      </c>
      <c r="C6250">
        <v>6</v>
      </c>
      <c r="D6250" t="s">
        <v>5375</v>
      </c>
      <c r="E6250" s="8" t="s">
        <v>5097</v>
      </c>
      <c r="F6250" t="s">
        <v>5385</v>
      </c>
      <c r="G6250">
        <v>9</v>
      </c>
      <c r="M6250">
        <v>5</v>
      </c>
    </row>
    <row r="6251" spans="1:17" x14ac:dyDescent="0.2">
      <c r="A6251" t="s">
        <v>5588</v>
      </c>
      <c r="B6251" t="s">
        <v>5589</v>
      </c>
      <c r="C6251">
        <v>6</v>
      </c>
      <c r="D6251" t="s">
        <v>5375</v>
      </c>
      <c r="E6251" t="s">
        <v>5056</v>
      </c>
      <c r="F6251" t="s">
        <v>5385</v>
      </c>
      <c r="G6251">
        <v>117</v>
      </c>
      <c r="M6251">
        <v>63</v>
      </c>
    </row>
    <row r="6252" spans="1:17" x14ac:dyDescent="0.2">
      <c r="A6252" t="s">
        <v>5588</v>
      </c>
      <c r="B6252" t="s">
        <v>5589</v>
      </c>
      <c r="C6252">
        <v>6</v>
      </c>
      <c r="D6252" t="s">
        <v>5375</v>
      </c>
      <c r="E6252" s="8" t="s">
        <v>5098</v>
      </c>
      <c r="F6252" t="s">
        <v>5620</v>
      </c>
      <c r="G6252">
        <v>40</v>
      </c>
      <c r="Q6252" t="s">
        <v>7887</v>
      </c>
    </row>
    <row r="6253" spans="1:17" x14ac:dyDescent="0.2">
      <c r="A6253" t="s">
        <v>5588</v>
      </c>
      <c r="B6253" t="s">
        <v>5589</v>
      </c>
      <c r="C6253">
        <v>6</v>
      </c>
      <c r="D6253" t="s">
        <v>5375</v>
      </c>
      <c r="E6253" s="8" t="s">
        <v>5166</v>
      </c>
      <c r="F6253" t="s">
        <v>6882</v>
      </c>
      <c r="G6253">
        <v>39</v>
      </c>
      <c r="Q6253" t="s">
        <v>7888</v>
      </c>
    </row>
    <row r="6254" spans="1:17" x14ac:dyDescent="0.2">
      <c r="A6254" t="s">
        <v>5588</v>
      </c>
      <c r="B6254" t="s">
        <v>5589</v>
      </c>
      <c r="C6254">
        <v>6</v>
      </c>
      <c r="D6254" t="s">
        <v>5375</v>
      </c>
      <c r="E6254" s="8" t="s">
        <v>5167</v>
      </c>
      <c r="F6254" t="s">
        <v>1538</v>
      </c>
      <c r="G6254">
        <v>35</v>
      </c>
      <c r="Q6254" t="s">
        <v>7878</v>
      </c>
    </row>
    <row r="6255" spans="1:17" x14ac:dyDescent="0.2">
      <c r="A6255" t="s">
        <v>5588</v>
      </c>
      <c r="B6255" t="s">
        <v>5589</v>
      </c>
      <c r="C6255">
        <v>6</v>
      </c>
      <c r="D6255" t="s">
        <v>5375</v>
      </c>
      <c r="E6255" s="8" t="s">
        <v>5168</v>
      </c>
      <c r="F6255" t="s">
        <v>1538</v>
      </c>
      <c r="G6255">
        <v>19</v>
      </c>
      <c r="Q6255" t="s">
        <v>7880</v>
      </c>
    </row>
    <row r="6256" spans="1:17" x14ac:dyDescent="0.2">
      <c r="A6256" t="s">
        <v>5588</v>
      </c>
      <c r="B6256" t="s">
        <v>5589</v>
      </c>
      <c r="C6256">
        <v>6</v>
      </c>
      <c r="D6256" t="s">
        <v>5375</v>
      </c>
      <c r="E6256" s="8" t="s">
        <v>5169</v>
      </c>
      <c r="F6256" t="s">
        <v>1538</v>
      </c>
      <c r="G6256">
        <v>36</v>
      </c>
      <c r="Q6256" t="s">
        <v>7879</v>
      </c>
    </row>
    <row r="6257" spans="1:17" x14ac:dyDescent="0.2">
      <c r="A6257" t="s">
        <v>5588</v>
      </c>
      <c r="B6257" t="s">
        <v>5589</v>
      </c>
      <c r="C6257">
        <v>6</v>
      </c>
      <c r="D6257" t="s">
        <v>5375</v>
      </c>
      <c r="E6257" s="8" t="s">
        <v>5170</v>
      </c>
      <c r="F6257" t="s">
        <v>1538</v>
      </c>
      <c r="G6257">
        <v>22</v>
      </c>
      <c r="Q6257" t="s">
        <v>7881</v>
      </c>
    </row>
    <row r="6258" spans="1:17" x14ac:dyDescent="0.2">
      <c r="A6258" t="s">
        <v>5588</v>
      </c>
      <c r="B6258" t="s">
        <v>5589</v>
      </c>
      <c r="C6258">
        <v>6</v>
      </c>
      <c r="D6258" t="s">
        <v>5375</v>
      </c>
      <c r="E6258" s="8" t="s">
        <v>5171</v>
      </c>
      <c r="F6258" t="s">
        <v>6231</v>
      </c>
      <c r="G6258">
        <v>21</v>
      </c>
      <c r="Q6258" t="s">
        <v>7889</v>
      </c>
    </row>
    <row r="6259" spans="1:17" x14ac:dyDescent="0.2">
      <c r="A6259" t="s">
        <v>5588</v>
      </c>
      <c r="B6259" t="s">
        <v>5589</v>
      </c>
      <c r="C6259">
        <v>6</v>
      </c>
      <c r="D6259" t="s">
        <v>5375</v>
      </c>
      <c r="E6259" s="8" t="s">
        <v>5140</v>
      </c>
      <c r="F6259" t="s">
        <v>7337</v>
      </c>
      <c r="G6259">
        <v>23</v>
      </c>
      <c r="Q6259" t="s">
        <v>7890</v>
      </c>
    </row>
    <row r="6260" spans="1:17" x14ac:dyDescent="0.2">
      <c r="A6260" t="s">
        <v>5588</v>
      </c>
      <c r="B6260" t="s">
        <v>5589</v>
      </c>
      <c r="C6260">
        <v>6</v>
      </c>
      <c r="D6260" t="s">
        <v>5375</v>
      </c>
      <c r="E6260" s="8" t="s">
        <v>5141</v>
      </c>
      <c r="F6260" t="s">
        <v>1538</v>
      </c>
      <c r="G6260">
        <v>7</v>
      </c>
      <c r="Q6260" t="s">
        <v>7872</v>
      </c>
    </row>
    <row r="6261" spans="1:17" x14ac:dyDescent="0.2">
      <c r="A6261" t="s">
        <v>5588</v>
      </c>
      <c r="B6261" t="s">
        <v>5589</v>
      </c>
      <c r="C6261">
        <v>6</v>
      </c>
      <c r="D6261" t="s">
        <v>5375</v>
      </c>
      <c r="E6261" s="8" t="s">
        <v>5142</v>
      </c>
      <c r="F6261" t="s">
        <v>1538</v>
      </c>
      <c r="G6261">
        <v>4</v>
      </c>
      <c r="Q6261" t="s">
        <v>7873</v>
      </c>
    </row>
    <row r="6262" spans="1:17" x14ac:dyDescent="0.2">
      <c r="A6262" t="s">
        <v>5588</v>
      </c>
      <c r="B6262" t="s">
        <v>5589</v>
      </c>
      <c r="C6262">
        <v>6</v>
      </c>
      <c r="D6262" t="s">
        <v>5375</v>
      </c>
      <c r="E6262" s="8" t="s">
        <v>5143</v>
      </c>
      <c r="F6262" t="s">
        <v>1538</v>
      </c>
      <c r="G6262">
        <v>2</v>
      </c>
      <c r="Q6262" t="s">
        <v>7874</v>
      </c>
    </row>
    <row r="6263" spans="1:17" x14ac:dyDescent="0.2">
      <c r="A6263" t="s">
        <v>5588</v>
      </c>
      <c r="B6263" t="s">
        <v>5589</v>
      </c>
      <c r="C6263">
        <v>6</v>
      </c>
      <c r="D6263" t="s">
        <v>5375</v>
      </c>
      <c r="E6263" s="8" t="s">
        <v>5153</v>
      </c>
      <c r="F6263" t="s">
        <v>1559</v>
      </c>
      <c r="G6263">
        <v>1</v>
      </c>
      <c r="Q6263" t="s">
        <v>7891</v>
      </c>
    </row>
    <row r="6264" spans="1:17" x14ac:dyDescent="0.2">
      <c r="A6264" t="s">
        <v>5588</v>
      </c>
      <c r="B6264" t="s">
        <v>5589</v>
      </c>
      <c r="C6264">
        <v>6</v>
      </c>
      <c r="D6264" t="s">
        <v>5375</v>
      </c>
      <c r="E6264" s="8" t="s">
        <v>5154</v>
      </c>
      <c r="F6264" t="s">
        <v>1559</v>
      </c>
      <c r="G6264">
        <v>1</v>
      </c>
      <c r="Q6264" t="s">
        <v>7892</v>
      </c>
    </row>
    <row r="6265" spans="1:17" x14ac:dyDescent="0.2">
      <c r="A6265" t="s">
        <v>5588</v>
      </c>
      <c r="B6265" t="s">
        <v>5589</v>
      </c>
      <c r="C6265">
        <v>6</v>
      </c>
      <c r="D6265" t="s">
        <v>5375</v>
      </c>
      <c r="E6265" s="8" t="s">
        <v>5155</v>
      </c>
      <c r="F6265" t="s">
        <v>1559</v>
      </c>
      <c r="G6265">
        <v>1</v>
      </c>
      <c r="Q6265" t="s">
        <v>7893</v>
      </c>
    </row>
    <row r="6266" spans="1:17" x14ac:dyDescent="0.2">
      <c r="A6266" t="s">
        <v>5588</v>
      </c>
      <c r="B6266" t="s">
        <v>5589</v>
      </c>
      <c r="C6266">
        <v>6</v>
      </c>
      <c r="D6266" t="s">
        <v>5375</v>
      </c>
      <c r="E6266" s="8" t="s">
        <v>5156</v>
      </c>
      <c r="F6266" t="s">
        <v>1559</v>
      </c>
      <c r="G6266">
        <v>1</v>
      </c>
      <c r="Q6266" t="s">
        <v>7894</v>
      </c>
    </row>
    <row r="6267" spans="1:17" x14ac:dyDescent="0.2">
      <c r="A6267" t="s">
        <v>5588</v>
      </c>
      <c r="B6267" t="s">
        <v>5589</v>
      </c>
      <c r="C6267">
        <v>6</v>
      </c>
      <c r="D6267" t="s">
        <v>5375</v>
      </c>
      <c r="E6267" s="8" t="s">
        <v>5157</v>
      </c>
      <c r="F6267" t="s">
        <v>1559</v>
      </c>
      <c r="G6267">
        <v>1</v>
      </c>
      <c r="Q6267" t="s">
        <v>7895</v>
      </c>
    </row>
    <row r="6268" spans="1:17" x14ac:dyDescent="0.2">
      <c r="A6268" t="s">
        <v>5588</v>
      </c>
      <c r="B6268" t="s">
        <v>5589</v>
      </c>
      <c r="C6268">
        <v>6</v>
      </c>
      <c r="D6268" t="s">
        <v>5375</v>
      </c>
      <c r="E6268" s="8" t="s">
        <v>5232</v>
      </c>
      <c r="F6268" t="s">
        <v>1559</v>
      </c>
      <c r="G6268" t="s">
        <v>114</v>
      </c>
      <c r="O6268" t="s">
        <v>5392</v>
      </c>
      <c r="Q6268" t="s">
        <v>7901</v>
      </c>
    </row>
    <row r="6269" spans="1:17" x14ac:dyDescent="0.2">
      <c r="A6269" t="s">
        <v>5588</v>
      </c>
      <c r="B6269" t="s">
        <v>5589</v>
      </c>
      <c r="C6269">
        <v>6</v>
      </c>
      <c r="D6269" t="s">
        <v>5375</v>
      </c>
      <c r="E6269" s="8" t="s">
        <v>5144</v>
      </c>
      <c r="F6269" t="s">
        <v>1538</v>
      </c>
      <c r="G6269" t="s">
        <v>114</v>
      </c>
      <c r="Q6269" t="s">
        <v>7875</v>
      </c>
    </row>
    <row r="6270" spans="1:17" x14ac:dyDescent="0.2">
      <c r="A6270" t="s">
        <v>5588</v>
      </c>
      <c r="B6270" t="s">
        <v>5589</v>
      </c>
      <c r="C6270">
        <v>6</v>
      </c>
      <c r="D6270" t="s">
        <v>5375</v>
      </c>
      <c r="E6270" s="8" t="s">
        <v>5145</v>
      </c>
      <c r="F6270" t="s">
        <v>1538</v>
      </c>
      <c r="G6270">
        <v>1</v>
      </c>
      <c r="Q6270" t="s">
        <v>7876</v>
      </c>
    </row>
    <row r="6271" spans="1:17" x14ac:dyDescent="0.2">
      <c r="A6271" t="s">
        <v>5588</v>
      </c>
      <c r="B6271" t="s">
        <v>5589</v>
      </c>
      <c r="C6271">
        <v>6</v>
      </c>
      <c r="D6271" t="s">
        <v>5375</v>
      </c>
      <c r="E6271" s="8" t="s">
        <v>5146</v>
      </c>
      <c r="F6271" t="s">
        <v>1538</v>
      </c>
      <c r="G6271">
        <v>1</v>
      </c>
      <c r="Q6271" t="s">
        <v>7877</v>
      </c>
    </row>
    <row r="6272" spans="1:17" x14ac:dyDescent="0.2">
      <c r="A6272" t="s">
        <v>5588</v>
      </c>
      <c r="B6272" t="s">
        <v>5589</v>
      </c>
      <c r="C6272">
        <v>6</v>
      </c>
      <c r="D6272" t="s">
        <v>5375</v>
      </c>
      <c r="E6272" s="8" t="s">
        <v>5147</v>
      </c>
      <c r="F6272" t="s">
        <v>6239</v>
      </c>
      <c r="G6272">
        <v>1</v>
      </c>
      <c r="Q6272" t="s">
        <v>7885</v>
      </c>
    </row>
    <row r="6273" spans="1:17" x14ac:dyDescent="0.2">
      <c r="A6273" t="s">
        <v>5588</v>
      </c>
      <c r="B6273" t="s">
        <v>5589</v>
      </c>
      <c r="C6273">
        <v>6</v>
      </c>
      <c r="D6273" t="s">
        <v>5375</v>
      </c>
      <c r="E6273" s="8" t="s">
        <v>5148</v>
      </c>
      <c r="F6273" t="s">
        <v>6239</v>
      </c>
      <c r="G6273">
        <v>1</v>
      </c>
      <c r="Q6273" t="s">
        <v>7884</v>
      </c>
    </row>
    <row r="6274" spans="1:17" x14ac:dyDescent="0.2">
      <c r="A6274" t="s">
        <v>5588</v>
      </c>
      <c r="B6274" t="s">
        <v>5589</v>
      </c>
      <c r="C6274">
        <v>6</v>
      </c>
      <c r="D6274" t="s">
        <v>5375</v>
      </c>
      <c r="E6274" s="8" t="s">
        <v>5149</v>
      </c>
      <c r="F6274" t="s">
        <v>6239</v>
      </c>
      <c r="G6274">
        <v>1</v>
      </c>
      <c r="Q6274" t="s">
        <v>7886</v>
      </c>
    </row>
    <row r="6275" spans="1:17" x14ac:dyDescent="0.2">
      <c r="A6275" t="s">
        <v>5588</v>
      </c>
      <c r="B6275" t="s">
        <v>5589</v>
      </c>
      <c r="C6275">
        <v>6</v>
      </c>
      <c r="D6275" t="s">
        <v>5375</v>
      </c>
      <c r="E6275" s="8" t="s">
        <v>5150</v>
      </c>
      <c r="F6275" t="s">
        <v>6239</v>
      </c>
      <c r="G6275">
        <v>1</v>
      </c>
      <c r="Q6275" t="s">
        <v>7883</v>
      </c>
    </row>
    <row r="6276" spans="1:17" x14ac:dyDescent="0.2">
      <c r="A6276" t="s">
        <v>5588</v>
      </c>
      <c r="B6276" t="s">
        <v>5589</v>
      </c>
      <c r="C6276">
        <v>6</v>
      </c>
      <c r="D6276" t="s">
        <v>5375</v>
      </c>
      <c r="E6276" s="8" t="s">
        <v>5151</v>
      </c>
      <c r="F6276" t="s">
        <v>6239</v>
      </c>
      <c r="G6276">
        <v>1</v>
      </c>
      <c r="Q6276" t="s">
        <v>7882</v>
      </c>
    </row>
    <row r="6277" spans="1:17" x14ac:dyDescent="0.2">
      <c r="A6277" t="s">
        <v>5588</v>
      </c>
      <c r="B6277" t="s">
        <v>5589</v>
      </c>
      <c r="C6277">
        <v>6</v>
      </c>
      <c r="D6277" t="s">
        <v>5375</v>
      </c>
      <c r="E6277" s="8" t="s">
        <v>5152</v>
      </c>
      <c r="F6277" t="s">
        <v>6239</v>
      </c>
      <c r="G6277">
        <v>4</v>
      </c>
      <c r="M6277">
        <v>6</v>
      </c>
    </row>
    <row r="6278" spans="1:17" x14ac:dyDescent="0.2">
      <c r="A6278" t="s">
        <v>5588</v>
      </c>
      <c r="B6278" t="s">
        <v>5589</v>
      </c>
      <c r="C6278">
        <v>6</v>
      </c>
      <c r="D6278" t="s">
        <v>5375</v>
      </c>
      <c r="E6278" s="8" t="s">
        <v>5158</v>
      </c>
      <c r="F6278" t="s">
        <v>1425</v>
      </c>
      <c r="G6278">
        <v>33</v>
      </c>
      <c r="Q6278" t="s">
        <v>7908</v>
      </c>
    </row>
    <row r="6279" spans="1:17" x14ac:dyDescent="0.2">
      <c r="A6279" t="s">
        <v>5588</v>
      </c>
      <c r="B6279" t="s">
        <v>5589</v>
      </c>
      <c r="C6279">
        <v>6</v>
      </c>
      <c r="D6279" t="s">
        <v>5375</v>
      </c>
      <c r="E6279" s="8" t="s">
        <v>5172</v>
      </c>
      <c r="F6279" t="s">
        <v>1425</v>
      </c>
      <c r="G6279">
        <v>26</v>
      </c>
      <c r="Q6279" t="s">
        <v>7907</v>
      </c>
    </row>
    <row r="6280" spans="1:17" x14ac:dyDescent="0.2">
      <c r="A6280" t="s">
        <v>5588</v>
      </c>
      <c r="B6280" t="s">
        <v>5589</v>
      </c>
      <c r="C6280">
        <v>6</v>
      </c>
      <c r="D6280" t="s">
        <v>5375</v>
      </c>
      <c r="E6280" s="8" t="s">
        <v>5173</v>
      </c>
      <c r="F6280" t="s">
        <v>1425</v>
      </c>
      <c r="G6280">
        <v>6</v>
      </c>
      <c r="Q6280" t="s">
        <v>7906</v>
      </c>
    </row>
    <row r="6281" spans="1:17" x14ac:dyDescent="0.2">
      <c r="A6281" t="s">
        <v>5588</v>
      </c>
      <c r="B6281" t="s">
        <v>5589</v>
      </c>
      <c r="C6281">
        <v>6</v>
      </c>
      <c r="D6281" t="s">
        <v>5375</v>
      </c>
      <c r="E6281" s="8" t="s">
        <v>5174</v>
      </c>
      <c r="F6281" t="s">
        <v>1425</v>
      </c>
      <c r="G6281">
        <v>4</v>
      </c>
      <c r="Q6281" t="s">
        <v>7905</v>
      </c>
    </row>
    <row r="6282" spans="1:17" x14ac:dyDescent="0.2">
      <c r="A6282" t="s">
        <v>5588</v>
      </c>
      <c r="B6282" t="s">
        <v>5589</v>
      </c>
      <c r="C6282">
        <v>6</v>
      </c>
      <c r="D6282" t="s">
        <v>5375</v>
      </c>
      <c r="E6282" s="8" t="s">
        <v>5175</v>
      </c>
      <c r="F6282" t="s">
        <v>1425</v>
      </c>
      <c r="G6282">
        <v>3</v>
      </c>
      <c r="Q6282" t="s">
        <v>7904</v>
      </c>
    </row>
    <row r="6283" spans="1:17" x14ac:dyDescent="0.2">
      <c r="A6283" t="s">
        <v>5588</v>
      </c>
      <c r="B6283" t="s">
        <v>5589</v>
      </c>
      <c r="C6283">
        <v>6</v>
      </c>
      <c r="D6283" t="s">
        <v>5375</v>
      </c>
      <c r="E6283" s="8" t="s">
        <v>5139</v>
      </c>
      <c r="F6283" t="s">
        <v>1425</v>
      </c>
      <c r="G6283">
        <v>3</v>
      </c>
      <c r="Q6283" t="s">
        <v>7903</v>
      </c>
    </row>
    <row r="6284" spans="1:17" x14ac:dyDescent="0.2">
      <c r="A6284" t="s">
        <v>5588</v>
      </c>
      <c r="B6284" t="s">
        <v>5589</v>
      </c>
      <c r="C6284">
        <v>6</v>
      </c>
      <c r="D6284" t="s">
        <v>5375</v>
      </c>
      <c r="E6284" s="8" t="s">
        <v>5162</v>
      </c>
      <c r="F6284" t="s">
        <v>1425</v>
      </c>
      <c r="G6284">
        <v>2</v>
      </c>
      <c r="Q6284" t="s">
        <v>7902</v>
      </c>
    </row>
    <row r="6285" spans="1:17" x14ac:dyDescent="0.2">
      <c r="A6285" t="s">
        <v>5588</v>
      </c>
      <c r="B6285" t="s">
        <v>5589</v>
      </c>
      <c r="C6285">
        <v>6</v>
      </c>
      <c r="D6285" t="s">
        <v>5375</v>
      </c>
      <c r="E6285" s="8" t="s">
        <v>5159</v>
      </c>
      <c r="F6285" t="s">
        <v>1425</v>
      </c>
      <c r="G6285">
        <v>14</v>
      </c>
      <c r="M6285">
        <v>3</v>
      </c>
    </row>
    <row r="6286" spans="1:17" x14ac:dyDescent="0.2">
      <c r="A6286" t="s">
        <v>5588</v>
      </c>
      <c r="B6286" t="s">
        <v>5589</v>
      </c>
      <c r="C6286">
        <v>6</v>
      </c>
      <c r="D6286" t="s">
        <v>5375</v>
      </c>
      <c r="E6286" s="8" t="s">
        <v>5160</v>
      </c>
      <c r="F6286" t="s">
        <v>1389</v>
      </c>
      <c r="G6286">
        <v>4</v>
      </c>
      <c r="Q6286" t="s">
        <v>7898</v>
      </c>
    </row>
    <row r="6287" spans="1:17" x14ac:dyDescent="0.2">
      <c r="A6287" t="s">
        <v>5588</v>
      </c>
      <c r="B6287" t="s">
        <v>5589</v>
      </c>
      <c r="C6287">
        <v>6</v>
      </c>
      <c r="D6287" t="s">
        <v>5375</v>
      </c>
      <c r="E6287" s="8" t="s">
        <v>5161</v>
      </c>
      <c r="F6287" t="s">
        <v>1389</v>
      </c>
      <c r="G6287">
        <v>1</v>
      </c>
      <c r="Q6287" t="s">
        <v>7896</v>
      </c>
    </row>
    <row r="6288" spans="1:17" x14ac:dyDescent="0.2">
      <c r="A6288" t="s">
        <v>5588</v>
      </c>
      <c r="B6288" t="s">
        <v>5589</v>
      </c>
      <c r="C6288">
        <v>6</v>
      </c>
      <c r="D6288" t="s">
        <v>5375</v>
      </c>
      <c r="E6288" s="8" t="s">
        <v>5189</v>
      </c>
      <c r="F6288" t="s">
        <v>1389</v>
      </c>
      <c r="G6288" t="s">
        <v>114</v>
      </c>
      <c r="Q6288" t="s">
        <v>7899</v>
      </c>
    </row>
    <row r="6289" spans="1:17" x14ac:dyDescent="0.2">
      <c r="A6289" t="s">
        <v>5588</v>
      </c>
      <c r="B6289" t="s">
        <v>5589</v>
      </c>
      <c r="C6289">
        <v>6</v>
      </c>
      <c r="D6289" t="s">
        <v>5375</v>
      </c>
      <c r="E6289" s="8" t="s">
        <v>5184</v>
      </c>
      <c r="F6289" t="s">
        <v>1389</v>
      </c>
      <c r="G6289" t="s">
        <v>114</v>
      </c>
      <c r="Q6289" t="s">
        <v>7897</v>
      </c>
    </row>
    <row r="6290" spans="1:17" x14ac:dyDescent="0.2">
      <c r="A6290" t="s">
        <v>5588</v>
      </c>
      <c r="B6290" t="s">
        <v>5589</v>
      </c>
      <c r="C6290">
        <v>6</v>
      </c>
      <c r="D6290" t="s">
        <v>5375</v>
      </c>
      <c r="E6290" s="8" t="s">
        <v>5185</v>
      </c>
      <c r="F6290" t="s">
        <v>1389</v>
      </c>
      <c r="G6290" t="s">
        <v>114</v>
      </c>
      <c r="Q6290" t="s">
        <v>7900</v>
      </c>
    </row>
    <row r="6291" spans="1:17" x14ac:dyDescent="0.2">
      <c r="A6291" t="s">
        <v>5588</v>
      </c>
      <c r="B6291" t="s">
        <v>5589</v>
      </c>
      <c r="C6291">
        <v>6</v>
      </c>
      <c r="D6291" t="s">
        <v>5375</v>
      </c>
      <c r="E6291" s="8" t="s">
        <v>5186</v>
      </c>
      <c r="F6291" t="s">
        <v>1389</v>
      </c>
      <c r="G6291">
        <v>10</v>
      </c>
      <c r="M6291">
        <v>7</v>
      </c>
    </row>
    <row r="6292" spans="1:17" x14ac:dyDescent="0.2">
      <c r="A6292" t="s">
        <v>5588</v>
      </c>
      <c r="B6292" t="s">
        <v>5589</v>
      </c>
      <c r="C6292">
        <v>6</v>
      </c>
      <c r="D6292" t="s">
        <v>5375</v>
      </c>
      <c r="E6292" s="8" t="s">
        <v>5182</v>
      </c>
      <c r="F6292" t="s">
        <v>6239</v>
      </c>
      <c r="G6292">
        <v>1</v>
      </c>
      <c r="Q6292" t="s">
        <v>7919</v>
      </c>
    </row>
    <row r="6293" spans="1:17" x14ac:dyDescent="0.2">
      <c r="A6293" t="s">
        <v>5588</v>
      </c>
      <c r="B6293" t="s">
        <v>5589</v>
      </c>
      <c r="C6293">
        <v>6</v>
      </c>
      <c r="D6293" t="s">
        <v>5375</v>
      </c>
      <c r="E6293" s="8" t="s">
        <v>5188</v>
      </c>
      <c r="F6293" t="s">
        <v>6239</v>
      </c>
      <c r="G6293">
        <v>1</v>
      </c>
      <c r="Q6293" t="s">
        <v>7917</v>
      </c>
    </row>
    <row r="6294" spans="1:17" x14ac:dyDescent="0.2">
      <c r="A6294" t="s">
        <v>5588</v>
      </c>
      <c r="B6294" t="s">
        <v>5589</v>
      </c>
      <c r="C6294">
        <v>6</v>
      </c>
      <c r="D6294" t="s">
        <v>5375</v>
      </c>
      <c r="E6294" s="8" t="s">
        <v>5187</v>
      </c>
      <c r="F6294" t="s">
        <v>6239</v>
      </c>
      <c r="G6294" t="s">
        <v>114</v>
      </c>
      <c r="O6294" t="s">
        <v>5392</v>
      </c>
      <c r="Q6294" t="s">
        <v>7918</v>
      </c>
    </row>
    <row r="6295" spans="1:17" x14ac:dyDescent="0.2">
      <c r="A6295" t="s">
        <v>5588</v>
      </c>
      <c r="B6295" t="s">
        <v>5589</v>
      </c>
      <c r="C6295">
        <v>6</v>
      </c>
      <c r="D6295" t="s">
        <v>5375</v>
      </c>
      <c r="E6295" s="8" t="s">
        <v>5224</v>
      </c>
      <c r="F6295" t="s">
        <v>6239</v>
      </c>
      <c r="G6295" t="s">
        <v>114</v>
      </c>
      <c r="Q6295" t="s">
        <v>7916</v>
      </c>
    </row>
    <row r="6296" spans="1:17" x14ac:dyDescent="0.2">
      <c r="A6296" t="s">
        <v>5588</v>
      </c>
      <c r="B6296" t="s">
        <v>5589</v>
      </c>
      <c r="C6296">
        <v>6</v>
      </c>
      <c r="D6296" t="s">
        <v>5375</v>
      </c>
      <c r="E6296" s="8" t="s">
        <v>5183</v>
      </c>
      <c r="F6296" t="s">
        <v>130</v>
      </c>
      <c r="G6296" t="s">
        <v>114</v>
      </c>
      <c r="M6296">
        <v>3</v>
      </c>
      <c r="Q6296" t="s">
        <v>7915</v>
      </c>
    </row>
    <row r="6297" spans="1:17" x14ac:dyDescent="0.2">
      <c r="A6297" t="s">
        <v>5588</v>
      </c>
      <c r="B6297" t="s">
        <v>5589</v>
      </c>
      <c r="C6297">
        <v>6</v>
      </c>
      <c r="D6297" t="s">
        <v>5375</v>
      </c>
      <c r="E6297" s="8" t="s">
        <v>5223</v>
      </c>
      <c r="F6297" t="s">
        <v>6978</v>
      </c>
      <c r="G6297">
        <v>1</v>
      </c>
      <c r="Q6297" t="s">
        <v>7914</v>
      </c>
    </row>
    <row r="6298" spans="1:17" x14ac:dyDescent="0.2">
      <c r="A6298" t="s">
        <v>5588</v>
      </c>
      <c r="B6298" t="s">
        <v>5589</v>
      </c>
      <c r="C6298">
        <v>6</v>
      </c>
      <c r="D6298" t="s">
        <v>5375</v>
      </c>
      <c r="E6298" s="8" t="s">
        <v>5227</v>
      </c>
      <c r="F6298" t="s">
        <v>6978</v>
      </c>
      <c r="G6298">
        <v>1</v>
      </c>
      <c r="Q6298" t="s">
        <v>7913</v>
      </c>
    </row>
    <row r="6299" spans="1:17" x14ac:dyDescent="0.2">
      <c r="A6299" t="s">
        <v>5588</v>
      </c>
      <c r="B6299" t="s">
        <v>5589</v>
      </c>
      <c r="C6299">
        <v>6</v>
      </c>
      <c r="D6299" t="s">
        <v>5375</v>
      </c>
      <c r="E6299" s="8" t="s">
        <v>5226</v>
      </c>
      <c r="F6299" t="s">
        <v>6978</v>
      </c>
      <c r="G6299">
        <v>1</v>
      </c>
      <c r="Q6299" t="s">
        <v>7912</v>
      </c>
    </row>
    <row r="6300" spans="1:17" x14ac:dyDescent="0.2">
      <c r="A6300" t="s">
        <v>5588</v>
      </c>
      <c r="B6300" t="s">
        <v>5589</v>
      </c>
      <c r="C6300">
        <v>6</v>
      </c>
      <c r="D6300" t="s">
        <v>5375</v>
      </c>
      <c r="E6300" s="8" t="s">
        <v>5225</v>
      </c>
      <c r="F6300" t="s">
        <v>6978</v>
      </c>
      <c r="G6300">
        <v>1</v>
      </c>
      <c r="Q6300" t="s">
        <v>7911</v>
      </c>
    </row>
    <row r="6301" spans="1:17" x14ac:dyDescent="0.2">
      <c r="A6301" t="s">
        <v>5588</v>
      </c>
      <c r="B6301" t="s">
        <v>5589</v>
      </c>
      <c r="C6301">
        <v>6</v>
      </c>
      <c r="D6301" t="s">
        <v>5375</v>
      </c>
      <c r="E6301" s="8" t="s">
        <v>5228</v>
      </c>
      <c r="F6301" t="s">
        <v>6978</v>
      </c>
      <c r="G6301" t="s">
        <v>114</v>
      </c>
      <c r="Q6301" t="s">
        <v>7910</v>
      </c>
    </row>
    <row r="6302" spans="1:17" x14ac:dyDescent="0.2">
      <c r="A6302" t="s">
        <v>5588</v>
      </c>
      <c r="B6302" t="s">
        <v>5589</v>
      </c>
      <c r="C6302">
        <v>6</v>
      </c>
      <c r="D6302" t="s">
        <v>5375</v>
      </c>
      <c r="E6302" s="8" t="s">
        <v>5229</v>
      </c>
      <c r="F6302" t="s">
        <v>6978</v>
      </c>
      <c r="G6302">
        <v>2</v>
      </c>
      <c r="M6302">
        <v>5</v>
      </c>
    </row>
    <row r="6303" spans="1:17" x14ac:dyDescent="0.2">
      <c r="A6303" t="s">
        <v>5588</v>
      </c>
      <c r="B6303" t="s">
        <v>5589</v>
      </c>
      <c r="C6303">
        <v>6</v>
      </c>
      <c r="D6303" t="s">
        <v>5375</v>
      </c>
      <c r="E6303" s="8" t="s">
        <v>5235</v>
      </c>
      <c r="F6303" t="s">
        <v>6239</v>
      </c>
      <c r="G6303" t="s">
        <v>114</v>
      </c>
      <c r="M6303">
        <v>2</v>
      </c>
      <c r="Q6303" t="s">
        <v>7920</v>
      </c>
    </row>
    <row r="6304" spans="1:17" x14ac:dyDescent="0.2">
      <c r="A6304" t="s">
        <v>5588</v>
      </c>
      <c r="B6304" t="s">
        <v>5589</v>
      </c>
      <c r="C6304">
        <v>6</v>
      </c>
      <c r="D6304" t="s">
        <v>5375</v>
      </c>
      <c r="E6304" s="8" t="s">
        <v>5234</v>
      </c>
      <c r="F6304" t="s">
        <v>6815</v>
      </c>
      <c r="G6304">
        <v>10</v>
      </c>
      <c r="Q6304" t="s">
        <v>7909</v>
      </c>
    </row>
    <row r="6305" spans="1:17" x14ac:dyDescent="0.2">
      <c r="A6305" t="s">
        <v>5588</v>
      </c>
      <c r="B6305" t="s">
        <v>5589</v>
      </c>
      <c r="C6305">
        <v>6</v>
      </c>
      <c r="D6305" t="s">
        <v>5375</v>
      </c>
      <c r="E6305" s="8" t="s">
        <v>5233</v>
      </c>
      <c r="F6305" t="s">
        <v>121</v>
      </c>
      <c r="G6305">
        <v>34</v>
      </c>
    </row>
    <row r="6306" spans="1:17" x14ac:dyDescent="0.2">
      <c r="A6306" t="s">
        <v>5588</v>
      </c>
      <c r="B6306" t="s">
        <v>5589</v>
      </c>
      <c r="C6306">
        <v>6</v>
      </c>
      <c r="D6306" t="s">
        <v>5375</v>
      </c>
      <c r="E6306" s="8" t="s">
        <v>5621</v>
      </c>
      <c r="F6306" t="s">
        <v>3875</v>
      </c>
      <c r="G6306">
        <v>9</v>
      </c>
    </row>
    <row r="6307" spans="1:17" x14ac:dyDescent="0.2">
      <c r="A6307" t="s">
        <v>5588</v>
      </c>
      <c r="B6307" t="s">
        <v>5589</v>
      </c>
      <c r="C6307">
        <v>6</v>
      </c>
      <c r="D6307" t="s">
        <v>5375</v>
      </c>
      <c r="E6307" s="8" t="s">
        <v>5236</v>
      </c>
      <c r="F6307" t="s">
        <v>810</v>
      </c>
      <c r="G6307">
        <v>4</v>
      </c>
      <c r="M6307">
        <v>4</v>
      </c>
    </row>
    <row r="6308" spans="1:17" x14ac:dyDescent="0.2">
      <c r="A6308" t="s">
        <v>5588</v>
      </c>
      <c r="B6308" t="s">
        <v>5589</v>
      </c>
      <c r="C6308">
        <v>6</v>
      </c>
      <c r="D6308" t="s">
        <v>5375</v>
      </c>
      <c r="E6308" s="8" t="s">
        <v>5237</v>
      </c>
      <c r="F6308" t="s">
        <v>3927</v>
      </c>
      <c r="G6308">
        <v>28</v>
      </c>
    </row>
    <row r="6309" spans="1:17" x14ac:dyDescent="0.2">
      <c r="A6309" t="s">
        <v>5588</v>
      </c>
      <c r="B6309" t="s">
        <v>5589</v>
      </c>
      <c r="C6309">
        <v>6</v>
      </c>
      <c r="D6309" t="s">
        <v>5375</v>
      </c>
      <c r="E6309" s="8" t="s">
        <v>5246</v>
      </c>
      <c r="F6309" t="s">
        <v>5623</v>
      </c>
      <c r="G6309">
        <v>9</v>
      </c>
    </row>
    <row r="6310" spans="1:17" x14ac:dyDescent="0.2">
      <c r="A6310" t="s">
        <v>5588</v>
      </c>
      <c r="B6310" t="s">
        <v>5589</v>
      </c>
      <c r="C6310">
        <v>6</v>
      </c>
      <c r="D6310" t="s">
        <v>5375</v>
      </c>
      <c r="E6310" s="8" t="s">
        <v>5247</v>
      </c>
      <c r="F6310" t="s">
        <v>2836</v>
      </c>
      <c r="G6310">
        <v>1</v>
      </c>
      <c r="M6310">
        <v>3</v>
      </c>
      <c r="O6310" t="s">
        <v>5624</v>
      </c>
    </row>
    <row r="6311" spans="1:17" x14ac:dyDescent="0.2">
      <c r="A6311" t="s">
        <v>5588</v>
      </c>
      <c r="B6311" t="s">
        <v>5589</v>
      </c>
      <c r="C6311">
        <v>6</v>
      </c>
      <c r="D6311" t="s">
        <v>5375</v>
      </c>
      <c r="E6311" s="8" t="s">
        <v>5222</v>
      </c>
      <c r="F6311" t="s">
        <v>3431</v>
      </c>
      <c r="G6311">
        <v>4</v>
      </c>
    </row>
    <row r="6312" spans="1:17" x14ac:dyDescent="0.2">
      <c r="A6312" t="s">
        <v>5588</v>
      </c>
      <c r="B6312" t="s">
        <v>5589</v>
      </c>
      <c r="C6312">
        <v>6</v>
      </c>
      <c r="D6312" t="s">
        <v>5375</v>
      </c>
      <c r="E6312" s="8" t="s">
        <v>5244</v>
      </c>
      <c r="F6312" t="s">
        <v>106</v>
      </c>
      <c r="G6312">
        <v>5</v>
      </c>
      <c r="O6312" t="s">
        <v>5625</v>
      </c>
    </row>
    <row r="6313" spans="1:17" x14ac:dyDescent="0.2">
      <c r="A6313" t="s">
        <v>5588</v>
      </c>
      <c r="B6313" t="s">
        <v>5589</v>
      </c>
      <c r="C6313">
        <v>6</v>
      </c>
      <c r="D6313" t="s">
        <v>5375</v>
      </c>
      <c r="E6313" s="8" t="s">
        <v>5245</v>
      </c>
      <c r="F6313" t="s">
        <v>5626</v>
      </c>
      <c r="G6313">
        <v>53</v>
      </c>
      <c r="M6313">
        <v>4</v>
      </c>
    </row>
    <row r="6314" spans="1:17" x14ac:dyDescent="0.2">
      <c r="A6314" t="s">
        <v>5588</v>
      </c>
      <c r="B6314" t="s">
        <v>5589</v>
      </c>
      <c r="C6314">
        <v>1</v>
      </c>
      <c r="D6314" t="s">
        <v>5375</v>
      </c>
      <c r="E6314" t="s">
        <v>5854</v>
      </c>
      <c r="F6314" t="s">
        <v>2185</v>
      </c>
      <c r="H6314">
        <f>2.283-0.424+0.056</f>
        <v>1.915</v>
      </c>
    </row>
    <row r="6315" spans="1:17" x14ac:dyDescent="0.2">
      <c r="A6315" t="s">
        <v>5588</v>
      </c>
      <c r="B6315" t="s">
        <v>5589</v>
      </c>
      <c r="C6315">
        <v>1</v>
      </c>
      <c r="D6315" t="s">
        <v>5375</v>
      </c>
      <c r="E6315" t="s">
        <v>5056</v>
      </c>
      <c r="F6315" t="s">
        <v>1264</v>
      </c>
      <c r="H6315">
        <f>28.1-1.8</f>
        <v>26.3</v>
      </c>
    </row>
    <row r="6316" spans="1:17" x14ac:dyDescent="0.2">
      <c r="A6316" t="s">
        <v>5588</v>
      </c>
      <c r="B6316" t="s">
        <v>5589</v>
      </c>
      <c r="C6316">
        <v>1</v>
      </c>
      <c r="D6316" t="s">
        <v>5375</v>
      </c>
      <c r="E6316" t="s">
        <v>5056</v>
      </c>
      <c r="F6316" t="s">
        <v>5622</v>
      </c>
      <c r="G6316">
        <f>608-40</f>
        <v>568</v>
      </c>
    </row>
    <row r="6317" spans="1:17" x14ac:dyDescent="0.2">
      <c r="A6317" t="s">
        <v>5588</v>
      </c>
      <c r="B6317" t="s">
        <v>5589</v>
      </c>
      <c r="C6317">
        <v>1</v>
      </c>
      <c r="D6317" t="s">
        <v>5375</v>
      </c>
      <c r="E6317" s="8" t="s">
        <v>5081</v>
      </c>
      <c r="F6317" t="s">
        <v>112</v>
      </c>
      <c r="G6317">
        <f>567-424</f>
        <v>143</v>
      </c>
      <c r="M6317">
        <v>14</v>
      </c>
    </row>
    <row r="6318" spans="1:17" x14ac:dyDescent="0.2">
      <c r="A6318" t="s">
        <v>5588</v>
      </c>
      <c r="B6318" t="s">
        <v>5589</v>
      </c>
      <c r="C6318">
        <v>1</v>
      </c>
      <c r="D6318" t="s">
        <v>5375</v>
      </c>
      <c r="E6318" s="8" t="s">
        <v>5082</v>
      </c>
      <c r="F6318" t="s">
        <v>2836</v>
      </c>
      <c r="G6318">
        <v>1</v>
      </c>
      <c r="M6318">
        <v>3</v>
      </c>
    </row>
    <row r="6319" spans="1:17" x14ac:dyDescent="0.2">
      <c r="A6319" t="s">
        <v>5588</v>
      </c>
      <c r="B6319" t="s">
        <v>5589</v>
      </c>
      <c r="C6319">
        <v>1</v>
      </c>
      <c r="D6319" t="s">
        <v>5375</v>
      </c>
      <c r="E6319" s="8" t="s">
        <v>5089</v>
      </c>
      <c r="F6319" t="s">
        <v>871</v>
      </c>
      <c r="G6319">
        <f>778-590</f>
        <v>188</v>
      </c>
    </row>
    <row r="6320" spans="1:17" x14ac:dyDescent="0.2">
      <c r="A6320" t="s">
        <v>5614</v>
      </c>
      <c r="B6320" t="s">
        <v>5615</v>
      </c>
      <c r="C6320">
        <v>2</v>
      </c>
      <c r="D6320" t="s">
        <v>5627</v>
      </c>
      <c r="E6320" s="8" t="s">
        <v>5082</v>
      </c>
      <c r="F6320" t="s">
        <v>5385</v>
      </c>
      <c r="G6320">
        <v>2</v>
      </c>
      <c r="Q6320" t="s">
        <v>7925</v>
      </c>
    </row>
    <row r="6321" spans="1:17" x14ac:dyDescent="0.2">
      <c r="A6321" t="s">
        <v>5614</v>
      </c>
      <c r="B6321" t="s">
        <v>5615</v>
      </c>
      <c r="C6321">
        <v>2</v>
      </c>
      <c r="D6321" t="s">
        <v>5627</v>
      </c>
      <c r="E6321" s="8" t="s">
        <v>5089</v>
      </c>
      <c r="F6321" t="s">
        <v>5385</v>
      </c>
      <c r="G6321">
        <v>3</v>
      </c>
      <c r="Q6321" t="s">
        <v>7923</v>
      </c>
    </row>
    <row r="6322" spans="1:17" x14ac:dyDescent="0.2">
      <c r="A6322" t="s">
        <v>5614</v>
      </c>
      <c r="B6322" t="s">
        <v>5615</v>
      </c>
      <c r="C6322">
        <v>2</v>
      </c>
      <c r="D6322" t="s">
        <v>5627</v>
      </c>
      <c r="E6322" s="8" t="s">
        <v>5090</v>
      </c>
      <c r="F6322" t="s">
        <v>5385</v>
      </c>
      <c r="G6322">
        <v>3</v>
      </c>
      <c r="Q6322" t="s">
        <v>7922</v>
      </c>
    </row>
    <row r="6323" spans="1:17" x14ac:dyDescent="0.2">
      <c r="A6323" t="s">
        <v>5614</v>
      </c>
      <c r="B6323" t="s">
        <v>5615</v>
      </c>
      <c r="C6323">
        <v>2</v>
      </c>
      <c r="D6323" t="s">
        <v>5627</v>
      </c>
      <c r="E6323" s="8" t="s">
        <v>5091</v>
      </c>
      <c r="F6323" t="s">
        <v>5385</v>
      </c>
      <c r="G6323">
        <v>2</v>
      </c>
      <c r="Q6323" t="s">
        <v>7924</v>
      </c>
    </row>
    <row r="6324" spans="1:17" x14ac:dyDescent="0.2">
      <c r="A6324" t="s">
        <v>5614</v>
      </c>
      <c r="B6324" t="s">
        <v>5615</v>
      </c>
      <c r="C6324">
        <v>2</v>
      </c>
      <c r="D6324" t="s">
        <v>5627</v>
      </c>
      <c r="E6324" s="8" t="s">
        <v>5092</v>
      </c>
      <c r="F6324" t="s">
        <v>5385</v>
      </c>
      <c r="G6324">
        <v>2</v>
      </c>
      <c r="Q6324" t="s">
        <v>7921</v>
      </c>
    </row>
    <row r="6325" spans="1:17" x14ac:dyDescent="0.2">
      <c r="A6325" t="s">
        <v>5614</v>
      </c>
      <c r="B6325" t="s">
        <v>5615</v>
      </c>
      <c r="C6325">
        <v>2</v>
      </c>
      <c r="D6325" t="s">
        <v>5627</v>
      </c>
      <c r="E6325" s="8" t="s">
        <v>5094</v>
      </c>
      <c r="F6325" t="s">
        <v>5385</v>
      </c>
      <c r="G6325">
        <v>17</v>
      </c>
      <c r="M6325">
        <v>5</v>
      </c>
    </row>
    <row r="6326" spans="1:17" x14ac:dyDescent="0.2">
      <c r="A6326" t="s">
        <v>5614</v>
      </c>
      <c r="B6326" t="s">
        <v>5615</v>
      </c>
      <c r="C6326">
        <v>2</v>
      </c>
      <c r="D6326" t="s">
        <v>5627</v>
      </c>
      <c r="E6326" t="s">
        <v>5056</v>
      </c>
      <c r="F6326" t="s">
        <v>5385</v>
      </c>
      <c r="G6326">
        <v>90</v>
      </c>
      <c r="M6326">
        <v>25.5</v>
      </c>
    </row>
    <row r="6327" spans="1:17" x14ac:dyDescent="0.2">
      <c r="A6327" t="s">
        <v>5614</v>
      </c>
      <c r="B6327" t="s">
        <v>5615</v>
      </c>
      <c r="C6327">
        <v>2</v>
      </c>
      <c r="D6327" t="s">
        <v>5627</v>
      </c>
      <c r="E6327" s="8" t="s">
        <v>5170</v>
      </c>
      <c r="F6327" t="s">
        <v>1538</v>
      </c>
      <c r="G6327">
        <v>3</v>
      </c>
      <c r="Q6327" t="s">
        <v>7933</v>
      </c>
    </row>
    <row r="6328" spans="1:17" x14ac:dyDescent="0.2">
      <c r="A6328" t="s">
        <v>5614</v>
      </c>
      <c r="B6328" t="s">
        <v>5615</v>
      </c>
      <c r="C6328">
        <v>2</v>
      </c>
      <c r="D6328" t="s">
        <v>5627</v>
      </c>
      <c r="E6328" s="8" t="s">
        <v>5171</v>
      </c>
      <c r="F6328" t="s">
        <v>1538</v>
      </c>
      <c r="G6328">
        <v>7</v>
      </c>
      <c r="Q6328" t="s">
        <v>7926</v>
      </c>
    </row>
    <row r="6329" spans="1:17" x14ac:dyDescent="0.2">
      <c r="A6329" t="s">
        <v>5614</v>
      </c>
      <c r="B6329" t="s">
        <v>5615</v>
      </c>
      <c r="C6329">
        <v>2</v>
      </c>
      <c r="D6329" t="s">
        <v>5627</v>
      </c>
      <c r="E6329" s="8" t="s">
        <v>5140</v>
      </c>
      <c r="F6329" t="s">
        <v>1538</v>
      </c>
      <c r="G6329">
        <v>20</v>
      </c>
      <c r="O6329" t="s">
        <v>7928</v>
      </c>
    </row>
    <row r="6330" spans="1:17" x14ac:dyDescent="0.2">
      <c r="A6330" t="s">
        <v>5614</v>
      </c>
      <c r="B6330" t="s">
        <v>5615</v>
      </c>
      <c r="C6330">
        <v>2</v>
      </c>
      <c r="D6330" t="s">
        <v>5627</v>
      </c>
      <c r="E6330" s="8" t="s">
        <v>5141</v>
      </c>
      <c r="F6330" t="s">
        <v>1538</v>
      </c>
      <c r="G6330">
        <v>35</v>
      </c>
      <c r="Q6330" t="s">
        <v>7927</v>
      </c>
    </row>
    <row r="6331" spans="1:17" x14ac:dyDescent="0.2">
      <c r="A6331" t="s">
        <v>5614</v>
      </c>
      <c r="B6331" t="s">
        <v>5615</v>
      </c>
      <c r="C6331">
        <v>2</v>
      </c>
      <c r="D6331" t="s">
        <v>5627</v>
      </c>
      <c r="E6331" s="8" t="s">
        <v>5169</v>
      </c>
      <c r="F6331" t="s">
        <v>1538</v>
      </c>
      <c r="G6331">
        <v>65</v>
      </c>
      <c r="Q6331" t="s">
        <v>7934</v>
      </c>
    </row>
    <row r="6332" spans="1:17" x14ac:dyDescent="0.2">
      <c r="A6332" t="s">
        <v>5614</v>
      </c>
      <c r="B6332" t="s">
        <v>5615</v>
      </c>
      <c r="C6332">
        <v>2</v>
      </c>
      <c r="D6332" t="s">
        <v>5627</v>
      </c>
      <c r="E6332" s="8" t="s">
        <v>5142</v>
      </c>
      <c r="F6332" t="s">
        <v>1538</v>
      </c>
      <c r="G6332">
        <v>144</v>
      </c>
      <c r="M6332">
        <v>5</v>
      </c>
    </row>
    <row r="6333" spans="1:17" x14ac:dyDescent="0.2">
      <c r="A6333" t="s">
        <v>5614</v>
      </c>
      <c r="B6333" t="s">
        <v>5615</v>
      </c>
      <c r="C6333">
        <v>2</v>
      </c>
      <c r="D6333" t="s">
        <v>5627</v>
      </c>
      <c r="E6333" t="s">
        <v>5056</v>
      </c>
      <c r="F6333" t="s">
        <v>1538</v>
      </c>
      <c r="G6333">
        <f>819-421</f>
        <v>398</v>
      </c>
      <c r="M6333">
        <v>15</v>
      </c>
    </row>
    <row r="6334" spans="1:17" x14ac:dyDescent="0.2">
      <c r="A6334" t="s">
        <v>5614</v>
      </c>
      <c r="B6334" t="s">
        <v>5615</v>
      </c>
      <c r="C6334">
        <v>2</v>
      </c>
      <c r="D6334" t="s">
        <v>5627</v>
      </c>
      <c r="E6334" s="8" t="s">
        <v>5143</v>
      </c>
      <c r="F6334" t="s">
        <v>1538</v>
      </c>
      <c r="G6334" t="s">
        <v>114</v>
      </c>
      <c r="Q6334" t="s">
        <v>7935</v>
      </c>
    </row>
    <row r="6335" spans="1:17" x14ac:dyDescent="0.2">
      <c r="A6335" t="s">
        <v>5614</v>
      </c>
      <c r="B6335" t="s">
        <v>5615</v>
      </c>
      <c r="C6335">
        <v>2</v>
      </c>
      <c r="D6335" t="s">
        <v>5627</v>
      </c>
      <c r="E6335" s="8" t="s">
        <v>5144</v>
      </c>
      <c r="F6335" t="s">
        <v>1538</v>
      </c>
      <c r="G6335">
        <v>3</v>
      </c>
      <c r="Q6335" t="s">
        <v>7930</v>
      </c>
    </row>
    <row r="6336" spans="1:17" x14ac:dyDescent="0.2">
      <c r="A6336" t="s">
        <v>5614</v>
      </c>
      <c r="B6336" t="s">
        <v>5615</v>
      </c>
      <c r="C6336">
        <v>2</v>
      </c>
      <c r="D6336" t="s">
        <v>5627</v>
      </c>
      <c r="E6336" s="8" t="s">
        <v>5145</v>
      </c>
      <c r="F6336" t="s">
        <v>1538</v>
      </c>
      <c r="G6336">
        <v>5</v>
      </c>
      <c r="Q6336" t="s">
        <v>7929</v>
      </c>
    </row>
    <row r="6337" spans="1:17" x14ac:dyDescent="0.2">
      <c r="A6337" t="s">
        <v>5614</v>
      </c>
      <c r="B6337" t="s">
        <v>5615</v>
      </c>
      <c r="C6337">
        <v>2</v>
      </c>
      <c r="D6337" t="s">
        <v>5627</v>
      </c>
      <c r="E6337" s="8" t="s">
        <v>5146</v>
      </c>
      <c r="F6337" t="s">
        <v>1538</v>
      </c>
      <c r="G6337">
        <v>7</v>
      </c>
      <c r="Q6337" t="s">
        <v>7931</v>
      </c>
    </row>
    <row r="6338" spans="1:17" x14ac:dyDescent="0.2">
      <c r="A6338" t="s">
        <v>5614</v>
      </c>
      <c r="B6338" t="s">
        <v>5615</v>
      </c>
      <c r="C6338">
        <v>2</v>
      </c>
      <c r="D6338" t="s">
        <v>5627</v>
      </c>
      <c r="E6338" s="8" t="s">
        <v>5147</v>
      </c>
      <c r="F6338" t="s">
        <v>1538</v>
      </c>
      <c r="G6338">
        <v>3</v>
      </c>
      <c r="Q6338" t="s">
        <v>7932</v>
      </c>
    </row>
    <row r="6339" spans="1:17" x14ac:dyDescent="0.2">
      <c r="A6339" t="s">
        <v>5614</v>
      </c>
      <c r="B6339" t="s">
        <v>5615</v>
      </c>
      <c r="C6339">
        <v>2</v>
      </c>
      <c r="D6339" t="s">
        <v>5627</v>
      </c>
      <c r="E6339" s="8" t="s">
        <v>5148</v>
      </c>
      <c r="F6339" t="s">
        <v>1538</v>
      </c>
      <c r="G6339">
        <v>24</v>
      </c>
      <c r="M6339">
        <v>5</v>
      </c>
    </row>
    <row r="6340" spans="1:17" x14ac:dyDescent="0.2">
      <c r="A6340" t="s">
        <v>5614</v>
      </c>
      <c r="B6340" t="s">
        <v>5615</v>
      </c>
      <c r="C6340">
        <v>2</v>
      </c>
      <c r="D6340" t="s">
        <v>5627</v>
      </c>
      <c r="E6340" t="s">
        <v>5056</v>
      </c>
      <c r="F6340" t="s">
        <v>1538</v>
      </c>
      <c r="G6340">
        <v>18</v>
      </c>
      <c r="M6340">
        <v>5</v>
      </c>
    </row>
    <row r="6341" spans="1:17" x14ac:dyDescent="0.2">
      <c r="A6341" t="s">
        <v>5614</v>
      </c>
      <c r="B6341" t="s">
        <v>5615</v>
      </c>
      <c r="C6341">
        <v>2</v>
      </c>
      <c r="D6341" t="s">
        <v>5627</v>
      </c>
      <c r="E6341" s="8" t="s">
        <v>5098</v>
      </c>
      <c r="F6341" t="s">
        <v>7337</v>
      </c>
      <c r="G6341">
        <v>84</v>
      </c>
      <c r="Q6341" t="s">
        <v>7936</v>
      </c>
    </row>
    <row r="6342" spans="1:17" x14ac:dyDescent="0.2">
      <c r="A6342" t="s">
        <v>5614</v>
      </c>
      <c r="B6342" t="s">
        <v>5615</v>
      </c>
      <c r="C6342">
        <v>2</v>
      </c>
      <c r="D6342" t="s">
        <v>5627</v>
      </c>
      <c r="E6342" s="8" t="s">
        <v>5166</v>
      </c>
      <c r="F6342" t="s">
        <v>6862</v>
      </c>
      <c r="G6342">
        <v>3</v>
      </c>
      <c r="Q6342" t="s">
        <v>7937</v>
      </c>
    </row>
    <row r="6343" spans="1:17" x14ac:dyDescent="0.2">
      <c r="A6343" t="s">
        <v>5614</v>
      </c>
      <c r="B6343" t="s">
        <v>5615</v>
      </c>
      <c r="C6343">
        <v>2</v>
      </c>
      <c r="D6343" t="s">
        <v>5627</v>
      </c>
      <c r="E6343" s="8" t="s">
        <v>5167</v>
      </c>
      <c r="F6343" t="s">
        <v>5620</v>
      </c>
      <c r="G6343">
        <v>27</v>
      </c>
      <c r="Q6343" t="s">
        <v>7938</v>
      </c>
    </row>
    <row r="6344" spans="1:17" x14ac:dyDescent="0.2">
      <c r="A6344" t="s">
        <v>5614</v>
      </c>
      <c r="B6344" t="s">
        <v>5615</v>
      </c>
      <c r="C6344">
        <v>2</v>
      </c>
      <c r="D6344" t="s">
        <v>5627</v>
      </c>
      <c r="E6344" s="8" t="s">
        <v>5168</v>
      </c>
      <c r="F6344" t="s">
        <v>7337</v>
      </c>
      <c r="G6344">
        <v>15</v>
      </c>
      <c r="Q6344" t="s">
        <v>7940</v>
      </c>
    </row>
    <row r="6345" spans="1:17" x14ac:dyDescent="0.2">
      <c r="A6345" t="s">
        <v>5614</v>
      </c>
      <c r="B6345" t="s">
        <v>5615</v>
      </c>
      <c r="C6345">
        <v>2</v>
      </c>
      <c r="D6345" t="s">
        <v>5627</v>
      </c>
      <c r="E6345" s="8" t="s">
        <v>5097</v>
      </c>
      <c r="F6345" t="s">
        <v>7337</v>
      </c>
      <c r="G6345">
        <v>202</v>
      </c>
      <c r="Q6345" t="s">
        <v>7939</v>
      </c>
    </row>
    <row r="6346" spans="1:17" x14ac:dyDescent="0.2">
      <c r="A6346" t="s">
        <v>5614</v>
      </c>
      <c r="B6346" t="s">
        <v>5615</v>
      </c>
      <c r="C6346">
        <v>2</v>
      </c>
      <c r="D6346" t="s">
        <v>5627</v>
      </c>
      <c r="E6346" s="8" t="s">
        <v>5081</v>
      </c>
      <c r="F6346" t="s">
        <v>1264</v>
      </c>
      <c r="H6346">
        <f>4.1-0.345</f>
        <v>3.7549999999999999</v>
      </c>
      <c r="O6346" t="s">
        <v>5630</v>
      </c>
    </row>
    <row r="6347" spans="1:17" x14ac:dyDescent="0.2">
      <c r="A6347" t="s">
        <v>5614</v>
      </c>
      <c r="B6347" t="s">
        <v>5615</v>
      </c>
      <c r="C6347">
        <v>2</v>
      </c>
      <c r="D6347" t="s">
        <v>5627</v>
      </c>
      <c r="E6347" s="8" t="s">
        <v>5149</v>
      </c>
      <c r="F6347" t="s">
        <v>504</v>
      </c>
      <c r="H6347">
        <f>2.252-0.387</f>
        <v>1.8649999999999998</v>
      </c>
      <c r="O6347" t="s">
        <v>5631</v>
      </c>
    </row>
    <row r="6348" spans="1:17" x14ac:dyDescent="0.2">
      <c r="A6348" t="s">
        <v>5614</v>
      </c>
      <c r="B6348" t="s">
        <v>5615</v>
      </c>
      <c r="C6348">
        <v>2</v>
      </c>
      <c r="D6348" t="s">
        <v>5627</v>
      </c>
      <c r="E6348" s="8" t="s">
        <v>5155</v>
      </c>
      <c r="F6348" t="s">
        <v>341</v>
      </c>
      <c r="G6348">
        <v>2</v>
      </c>
      <c r="O6348" t="s">
        <v>5632</v>
      </c>
    </row>
    <row r="6349" spans="1:17" x14ac:dyDescent="0.2">
      <c r="A6349" t="s">
        <v>5614</v>
      </c>
      <c r="B6349" t="s">
        <v>5615</v>
      </c>
      <c r="C6349">
        <v>2</v>
      </c>
      <c r="D6349" t="s">
        <v>5627</v>
      </c>
      <c r="E6349" s="8" t="s">
        <v>5153</v>
      </c>
      <c r="F6349" t="s">
        <v>5628</v>
      </c>
      <c r="G6349">
        <v>8</v>
      </c>
    </row>
    <row r="6350" spans="1:17" x14ac:dyDescent="0.2">
      <c r="A6350" t="s">
        <v>5614</v>
      </c>
      <c r="B6350" t="s">
        <v>5615</v>
      </c>
      <c r="C6350">
        <v>2</v>
      </c>
      <c r="D6350" t="s">
        <v>5627</v>
      </c>
      <c r="E6350" s="8" t="s">
        <v>5154</v>
      </c>
      <c r="F6350" t="s">
        <v>3875</v>
      </c>
      <c r="G6350">
        <v>17</v>
      </c>
    </row>
    <row r="6351" spans="1:17" x14ac:dyDescent="0.2">
      <c r="A6351" t="s">
        <v>5614</v>
      </c>
      <c r="B6351" t="s">
        <v>5615</v>
      </c>
      <c r="C6351">
        <v>2</v>
      </c>
      <c r="D6351" t="s">
        <v>5627</v>
      </c>
      <c r="E6351" s="8" t="s">
        <v>5150</v>
      </c>
      <c r="F6351" t="s">
        <v>7941</v>
      </c>
      <c r="G6351">
        <v>128</v>
      </c>
      <c r="M6351">
        <v>13</v>
      </c>
      <c r="O6351" t="s">
        <v>7942</v>
      </c>
      <c r="Q6351" t="s">
        <v>7943</v>
      </c>
    </row>
    <row r="6352" spans="1:17" x14ac:dyDescent="0.2">
      <c r="A6352" t="s">
        <v>5614</v>
      </c>
      <c r="B6352" t="s">
        <v>5615</v>
      </c>
      <c r="C6352">
        <v>2</v>
      </c>
      <c r="D6352" t="s">
        <v>5627</v>
      </c>
      <c r="E6352" s="8" t="s">
        <v>5151</v>
      </c>
      <c r="F6352" t="s">
        <v>106</v>
      </c>
      <c r="G6352">
        <v>12</v>
      </c>
    </row>
    <row r="6353" spans="1:17" x14ac:dyDescent="0.2">
      <c r="A6353" t="s">
        <v>5614</v>
      </c>
      <c r="B6353" t="s">
        <v>5615</v>
      </c>
      <c r="C6353">
        <v>2</v>
      </c>
      <c r="D6353" t="s">
        <v>5627</v>
      </c>
      <c r="E6353" s="8" t="s">
        <v>5152</v>
      </c>
      <c r="F6353" t="s">
        <v>121</v>
      </c>
      <c r="G6353">
        <v>9</v>
      </c>
    </row>
    <row r="6354" spans="1:17" x14ac:dyDescent="0.2">
      <c r="A6354" t="s">
        <v>5614</v>
      </c>
      <c r="B6354" t="s">
        <v>5615</v>
      </c>
      <c r="C6354">
        <v>2</v>
      </c>
      <c r="D6354" t="s">
        <v>5627</v>
      </c>
      <c r="E6354" s="8" t="s">
        <v>5156</v>
      </c>
      <c r="F6354" t="s">
        <v>810</v>
      </c>
      <c r="G6354">
        <v>20</v>
      </c>
    </row>
    <row r="6355" spans="1:17" x14ac:dyDescent="0.2">
      <c r="A6355" t="s">
        <v>5614</v>
      </c>
      <c r="B6355" t="s">
        <v>5615</v>
      </c>
      <c r="C6355">
        <v>3</v>
      </c>
      <c r="D6355" t="s">
        <v>5627</v>
      </c>
      <c r="E6355" s="8" t="s">
        <v>5081</v>
      </c>
      <c r="F6355" t="s">
        <v>1264</v>
      </c>
      <c r="H6355">
        <f>9-0.344+2.172-0.285</f>
        <v>10.543000000000001</v>
      </c>
      <c r="O6355" t="s">
        <v>5633</v>
      </c>
    </row>
    <row r="6356" spans="1:17" x14ac:dyDescent="0.2">
      <c r="A6356" t="s">
        <v>5614</v>
      </c>
      <c r="B6356" t="s">
        <v>5615</v>
      </c>
      <c r="C6356">
        <v>3</v>
      </c>
      <c r="D6356" t="s">
        <v>5627</v>
      </c>
      <c r="E6356" s="8" t="s">
        <v>5082</v>
      </c>
      <c r="F6356" t="s">
        <v>504</v>
      </c>
      <c r="H6356">
        <f>1.752-0.59</f>
        <v>1.1619999999999999</v>
      </c>
      <c r="O6356" t="s">
        <v>5634</v>
      </c>
    </row>
    <row r="6357" spans="1:17" x14ac:dyDescent="0.2">
      <c r="A6357" t="s">
        <v>5614</v>
      </c>
      <c r="B6357" t="s">
        <v>5615</v>
      </c>
      <c r="C6357">
        <v>3</v>
      </c>
      <c r="D6357" t="s">
        <v>5627</v>
      </c>
      <c r="E6357" s="8" t="s">
        <v>5097</v>
      </c>
      <c r="F6357" t="s">
        <v>5385</v>
      </c>
      <c r="G6357">
        <v>1</v>
      </c>
      <c r="Q6357" t="s">
        <v>7946</v>
      </c>
    </row>
    <row r="6358" spans="1:17" x14ac:dyDescent="0.2">
      <c r="A6358" t="s">
        <v>5614</v>
      </c>
      <c r="B6358" t="s">
        <v>5615</v>
      </c>
      <c r="C6358">
        <v>3</v>
      </c>
      <c r="D6358" t="s">
        <v>5627</v>
      </c>
      <c r="E6358" s="8" t="s">
        <v>5098</v>
      </c>
      <c r="F6358" t="s">
        <v>5385</v>
      </c>
      <c r="G6358">
        <v>2</v>
      </c>
      <c r="Q6358" t="s">
        <v>7945</v>
      </c>
    </row>
    <row r="6359" spans="1:17" x14ac:dyDescent="0.2">
      <c r="A6359" t="s">
        <v>5614</v>
      </c>
      <c r="B6359" t="s">
        <v>5615</v>
      </c>
      <c r="C6359">
        <v>3</v>
      </c>
      <c r="D6359" t="s">
        <v>5627</v>
      </c>
      <c r="E6359" s="8" t="s">
        <v>5166</v>
      </c>
      <c r="F6359" t="s">
        <v>5385</v>
      </c>
      <c r="G6359">
        <v>4</v>
      </c>
    </row>
    <row r="6360" spans="1:17" x14ac:dyDescent="0.2">
      <c r="A6360" t="s">
        <v>5614</v>
      </c>
      <c r="B6360" t="s">
        <v>5615</v>
      </c>
      <c r="C6360">
        <v>3</v>
      </c>
      <c r="D6360" t="s">
        <v>5627</v>
      </c>
      <c r="E6360" s="8" t="s">
        <v>5167</v>
      </c>
      <c r="F6360" t="s">
        <v>5385</v>
      </c>
      <c r="G6360">
        <v>5</v>
      </c>
      <c r="Q6360" t="s">
        <v>7947</v>
      </c>
    </row>
    <row r="6361" spans="1:17" x14ac:dyDescent="0.2">
      <c r="A6361" t="s">
        <v>5614</v>
      </c>
      <c r="B6361" t="s">
        <v>5615</v>
      </c>
      <c r="C6361">
        <v>3</v>
      </c>
      <c r="D6361" t="s">
        <v>5627</v>
      </c>
      <c r="E6361" s="8" t="s">
        <v>5168</v>
      </c>
      <c r="F6361" t="s">
        <v>5385</v>
      </c>
      <c r="G6361">
        <v>4</v>
      </c>
      <c r="Q6361" t="s">
        <v>7944</v>
      </c>
    </row>
    <row r="6362" spans="1:17" x14ac:dyDescent="0.2">
      <c r="A6362" t="s">
        <v>5614</v>
      </c>
      <c r="B6362" t="s">
        <v>5615</v>
      </c>
      <c r="C6362">
        <v>3</v>
      </c>
      <c r="D6362" t="s">
        <v>5627</v>
      </c>
      <c r="E6362" s="8" t="s">
        <v>5169</v>
      </c>
      <c r="F6362" t="s">
        <v>5385</v>
      </c>
      <c r="G6362">
        <v>17</v>
      </c>
    </row>
    <row r="6363" spans="1:17" x14ac:dyDescent="0.2">
      <c r="A6363" t="s">
        <v>5614</v>
      </c>
      <c r="B6363" t="s">
        <v>5615</v>
      </c>
      <c r="C6363">
        <v>3</v>
      </c>
      <c r="D6363" t="s">
        <v>5627</v>
      </c>
      <c r="E6363" t="s">
        <v>5056</v>
      </c>
      <c r="F6363" t="s">
        <v>5385</v>
      </c>
      <c r="G6363">
        <f>530-427</f>
        <v>103</v>
      </c>
    </row>
    <row r="6364" spans="1:17" x14ac:dyDescent="0.2">
      <c r="A6364" t="s">
        <v>5614</v>
      </c>
      <c r="B6364" t="s">
        <v>5615</v>
      </c>
      <c r="C6364">
        <v>3</v>
      </c>
      <c r="D6364" t="s">
        <v>5627</v>
      </c>
      <c r="E6364" s="8" t="s">
        <v>5089</v>
      </c>
      <c r="F6364" t="s">
        <v>5629</v>
      </c>
      <c r="G6364">
        <v>31</v>
      </c>
      <c r="Q6364" t="s">
        <v>7954</v>
      </c>
    </row>
    <row r="6365" spans="1:17" x14ac:dyDescent="0.2">
      <c r="A6365" t="s">
        <v>5614</v>
      </c>
      <c r="B6365" t="s">
        <v>5615</v>
      </c>
      <c r="C6365">
        <v>3</v>
      </c>
      <c r="D6365" t="s">
        <v>5627</v>
      </c>
      <c r="E6365" s="8" t="s">
        <v>5090</v>
      </c>
      <c r="F6365" t="s">
        <v>1389</v>
      </c>
      <c r="G6365">
        <v>2</v>
      </c>
      <c r="Q6365" t="s">
        <v>7952</v>
      </c>
    </row>
    <row r="6366" spans="1:17" x14ac:dyDescent="0.2">
      <c r="A6366" t="s">
        <v>5614</v>
      </c>
      <c r="B6366" t="s">
        <v>5615</v>
      </c>
      <c r="C6366">
        <v>3</v>
      </c>
      <c r="D6366" t="s">
        <v>5627</v>
      </c>
      <c r="E6366" s="8" t="s">
        <v>5094</v>
      </c>
      <c r="F6366" t="s">
        <v>1389</v>
      </c>
      <c r="G6366">
        <v>6</v>
      </c>
      <c r="Q6366" t="s">
        <v>7953</v>
      </c>
    </row>
    <row r="6367" spans="1:17" x14ac:dyDescent="0.2">
      <c r="A6367" t="s">
        <v>5614</v>
      </c>
      <c r="B6367" t="s">
        <v>5615</v>
      </c>
      <c r="C6367">
        <v>3</v>
      </c>
      <c r="D6367" t="s">
        <v>5627</v>
      </c>
      <c r="E6367" s="8" t="s">
        <v>5091</v>
      </c>
      <c r="F6367" t="s">
        <v>6978</v>
      </c>
      <c r="G6367" t="s">
        <v>114</v>
      </c>
      <c r="Q6367" t="s">
        <v>7950</v>
      </c>
    </row>
    <row r="6368" spans="1:17" x14ac:dyDescent="0.2">
      <c r="A6368" t="s">
        <v>5614</v>
      </c>
      <c r="B6368" t="s">
        <v>5615</v>
      </c>
      <c r="C6368">
        <v>3</v>
      </c>
      <c r="D6368" t="s">
        <v>5627</v>
      </c>
      <c r="E6368" s="8" t="s">
        <v>5092</v>
      </c>
      <c r="F6368" t="s">
        <v>6978</v>
      </c>
      <c r="G6368" t="s">
        <v>114</v>
      </c>
      <c r="Q6368" t="s">
        <v>7951</v>
      </c>
    </row>
    <row r="6369" spans="1:17" x14ac:dyDescent="0.2">
      <c r="A6369" t="s">
        <v>5614</v>
      </c>
      <c r="B6369" t="s">
        <v>5615</v>
      </c>
      <c r="C6369">
        <v>3</v>
      </c>
      <c r="D6369" t="s">
        <v>5627</v>
      </c>
      <c r="E6369" s="8" t="s">
        <v>5158</v>
      </c>
      <c r="F6369" t="s">
        <v>6862</v>
      </c>
      <c r="G6369">
        <v>1</v>
      </c>
      <c r="Q6369" t="s">
        <v>7948</v>
      </c>
    </row>
    <row r="6370" spans="1:17" x14ac:dyDescent="0.2">
      <c r="A6370" t="s">
        <v>5614</v>
      </c>
      <c r="B6370" t="s">
        <v>5615</v>
      </c>
      <c r="C6370">
        <v>3</v>
      </c>
      <c r="D6370" t="s">
        <v>5627</v>
      </c>
      <c r="E6370" s="8" t="s">
        <v>5172</v>
      </c>
      <c r="F6370" t="s">
        <v>6978</v>
      </c>
      <c r="G6370" t="s">
        <v>114</v>
      </c>
      <c r="Q6370" t="s">
        <v>7949</v>
      </c>
    </row>
    <row r="6371" spans="1:17" x14ac:dyDescent="0.2">
      <c r="A6371" t="s">
        <v>5614</v>
      </c>
      <c r="B6371" t="s">
        <v>5615</v>
      </c>
      <c r="C6371">
        <v>3</v>
      </c>
      <c r="D6371" t="s">
        <v>5627</v>
      </c>
      <c r="E6371" s="8" t="s">
        <v>5173</v>
      </c>
      <c r="F6371" t="s">
        <v>1559</v>
      </c>
      <c r="G6371">
        <v>1</v>
      </c>
      <c r="Q6371" t="s">
        <v>7955</v>
      </c>
    </row>
    <row r="6372" spans="1:17" x14ac:dyDescent="0.2">
      <c r="A6372" t="s">
        <v>5614</v>
      </c>
      <c r="B6372" t="s">
        <v>5615</v>
      </c>
      <c r="C6372">
        <v>3</v>
      </c>
      <c r="D6372" t="s">
        <v>5627</v>
      </c>
      <c r="E6372" s="8" t="s">
        <v>5170</v>
      </c>
      <c r="F6372" t="s">
        <v>1538</v>
      </c>
      <c r="G6372">
        <v>2</v>
      </c>
      <c r="Q6372" t="s">
        <v>7960</v>
      </c>
    </row>
    <row r="6373" spans="1:17" x14ac:dyDescent="0.2">
      <c r="A6373" t="s">
        <v>5614</v>
      </c>
      <c r="B6373" t="s">
        <v>5615</v>
      </c>
      <c r="C6373">
        <v>3</v>
      </c>
      <c r="D6373" t="s">
        <v>5627</v>
      </c>
      <c r="E6373" s="8" t="s">
        <v>5171</v>
      </c>
      <c r="F6373" t="s">
        <v>1538</v>
      </c>
      <c r="G6373">
        <v>1</v>
      </c>
      <c r="Q6373" t="s">
        <v>7959</v>
      </c>
    </row>
    <row r="6374" spans="1:17" x14ac:dyDescent="0.2">
      <c r="A6374" t="s">
        <v>5614</v>
      </c>
      <c r="B6374" t="s">
        <v>5615</v>
      </c>
      <c r="C6374">
        <v>3</v>
      </c>
      <c r="D6374" t="s">
        <v>5627</v>
      </c>
      <c r="E6374" s="8" t="s">
        <v>5140</v>
      </c>
      <c r="F6374" t="s">
        <v>1538</v>
      </c>
      <c r="G6374" t="s">
        <v>114</v>
      </c>
      <c r="Q6374" t="s">
        <v>7958</v>
      </c>
    </row>
    <row r="6375" spans="1:17" x14ac:dyDescent="0.2">
      <c r="A6375" t="s">
        <v>5614</v>
      </c>
      <c r="B6375" t="s">
        <v>5615</v>
      </c>
      <c r="C6375">
        <v>3</v>
      </c>
      <c r="D6375" t="s">
        <v>5627</v>
      </c>
      <c r="E6375" s="8" t="s">
        <v>5142</v>
      </c>
      <c r="F6375" t="s">
        <v>1538</v>
      </c>
      <c r="G6375" t="s">
        <v>114</v>
      </c>
      <c r="Q6375" t="s">
        <v>7957</v>
      </c>
    </row>
    <row r="6376" spans="1:17" x14ac:dyDescent="0.2">
      <c r="A6376" t="s">
        <v>5614</v>
      </c>
      <c r="B6376" t="s">
        <v>5615</v>
      </c>
      <c r="C6376">
        <v>3</v>
      </c>
      <c r="D6376" t="s">
        <v>5627</v>
      </c>
      <c r="E6376" s="8" t="s">
        <v>5143</v>
      </c>
      <c r="F6376" t="s">
        <v>1538</v>
      </c>
      <c r="G6376">
        <v>2</v>
      </c>
      <c r="Q6376" t="s">
        <v>7956</v>
      </c>
    </row>
    <row r="6377" spans="1:17" x14ac:dyDescent="0.2">
      <c r="A6377" t="s">
        <v>5614</v>
      </c>
      <c r="B6377" t="s">
        <v>5615</v>
      </c>
      <c r="C6377">
        <v>3</v>
      </c>
      <c r="D6377" t="s">
        <v>5627</v>
      </c>
      <c r="E6377" s="8" t="s">
        <v>5141</v>
      </c>
      <c r="F6377" t="s">
        <v>1538</v>
      </c>
      <c r="G6377">
        <v>1</v>
      </c>
      <c r="M6377">
        <v>2</v>
      </c>
    </row>
    <row r="6378" spans="1:17" x14ac:dyDescent="0.2">
      <c r="A6378" t="s">
        <v>5614</v>
      </c>
      <c r="B6378" t="s">
        <v>5615</v>
      </c>
      <c r="C6378">
        <v>3</v>
      </c>
      <c r="D6378" t="s">
        <v>5627</v>
      </c>
      <c r="E6378" s="8" t="s">
        <v>5144</v>
      </c>
      <c r="F6378" t="s">
        <v>1538</v>
      </c>
      <c r="G6378">
        <v>57</v>
      </c>
      <c r="Q6378" t="s">
        <v>7961</v>
      </c>
    </row>
    <row r="6379" spans="1:17" x14ac:dyDescent="0.2">
      <c r="A6379" t="s">
        <v>5614</v>
      </c>
      <c r="B6379" t="s">
        <v>5615</v>
      </c>
      <c r="C6379">
        <v>3</v>
      </c>
      <c r="D6379" t="s">
        <v>5627</v>
      </c>
      <c r="E6379" s="8" t="s">
        <v>5145</v>
      </c>
      <c r="F6379" t="s">
        <v>1538</v>
      </c>
      <c r="G6379">
        <v>9</v>
      </c>
      <c r="Q6379" t="s">
        <v>7965</v>
      </c>
    </row>
    <row r="6380" spans="1:17" x14ac:dyDescent="0.2">
      <c r="A6380" t="s">
        <v>5614</v>
      </c>
      <c r="B6380" t="s">
        <v>5615</v>
      </c>
      <c r="C6380">
        <v>3</v>
      </c>
      <c r="D6380" t="s">
        <v>5627</v>
      </c>
      <c r="E6380" s="8" t="s">
        <v>5146</v>
      </c>
      <c r="F6380" t="s">
        <v>1538</v>
      </c>
      <c r="G6380">
        <v>20</v>
      </c>
      <c r="Q6380" t="s">
        <v>7964</v>
      </c>
    </row>
    <row r="6381" spans="1:17" x14ac:dyDescent="0.2">
      <c r="A6381" t="s">
        <v>5614</v>
      </c>
      <c r="B6381" t="s">
        <v>5615</v>
      </c>
      <c r="C6381">
        <v>3</v>
      </c>
      <c r="D6381" t="s">
        <v>5627</v>
      </c>
      <c r="E6381" s="8" t="s">
        <v>5147</v>
      </c>
      <c r="F6381" t="s">
        <v>1538</v>
      </c>
      <c r="G6381">
        <v>23</v>
      </c>
      <c r="Q6381" t="s">
        <v>7962</v>
      </c>
    </row>
    <row r="6382" spans="1:17" x14ac:dyDescent="0.2">
      <c r="A6382" t="s">
        <v>5614</v>
      </c>
      <c r="B6382" t="s">
        <v>5615</v>
      </c>
      <c r="C6382">
        <v>3</v>
      </c>
      <c r="D6382" t="s">
        <v>5627</v>
      </c>
      <c r="E6382" s="8" t="s">
        <v>5148</v>
      </c>
      <c r="F6382" t="s">
        <v>1538</v>
      </c>
      <c r="G6382">
        <v>45</v>
      </c>
      <c r="Q6382" t="s">
        <v>7963</v>
      </c>
    </row>
    <row r="6383" spans="1:17" x14ac:dyDescent="0.2">
      <c r="A6383" t="s">
        <v>5614</v>
      </c>
      <c r="B6383" t="s">
        <v>5615</v>
      </c>
      <c r="C6383">
        <v>3</v>
      </c>
      <c r="D6383" t="s">
        <v>5627</v>
      </c>
      <c r="E6383" s="8" t="s">
        <v>5149</v>
      </c>
      <c r="F6383" t="s">
        <v>1538</v>
      </c>
      <c r="G6383">
        <v>70</v>
      </c>
      <c r="M6383">
        <v>3</v>
      </c>
    </row>
    <row r="6384" spans="1:17" x14ac:dyDescent="0.2">
      <c r="A6384" t="s">
        <v>5614</v>
      </c>
      <c r="B6384" t="s">
        <v>5615</v>
      </c>
      <c r="C6384">
        <v>3</v>
      </c>
      <c r="D6384" t="s">
        <v>5627</v>
      </c>
      <c r="E6384" s="8" t="s">
        <v>5150</v>
      </c>
      <c r="F6384" t="s">
        <v>106</v>
      </c>
      <c r="G6384">
        <v>6</v>
      </c>
      <c r="M6384">
        <v>9</v>
      </c>
    </row>
    <row r="6385" spans="1:17" x14ac:dyDescent="0.2">
      <c r="A6385" t="s">
        <v>5614</v>
      </c>
      <c r="B6385" t="s">
        <v>5615</v>
      </c>
      <c r="C6385">
        <v>3</v>
      </c>
      <c r="D6385" t="s">
        <v>5627</v>
      </c>
      <c r="E6385" s="8" t="s">
        <v>5151</v>
      </c>
      <c r="F6385" t="s">
        <v>7966</v>
      </c>
      <c r="G6385" t="s">
        <v>114</v>
      </c>
      <c r="M6385">
        <v>2</v>
      </c>
      <c r="Q6385" t="s">
        <v>7967</v>
      </c>
    </row>
    <row r="6386" spans="1:17" x14ac:dyDescent="0.2">
      <c r="A6386" t="s">
        <v>5614</v>
      </c>
      <c r="B6386" t="s">
        <v>5615</v>
      </c>
      <c r="C6386">
        <v>3</v>
      </c>
      <c r="D6386" t="s">
        <v>5627</v>
      </c>
      <c r="E6386" s="8" t="s">
        <v>5157</v>
      </c>
      <c r="F6386" t="s">
        <v>7968</v>
      </c>
      <c r="G6386">
        <v>19</v>
      </c>
      <c r="M6386">
        <v>3</v>
      </c>
      <c r="O6386" t="s">
        <v>7662</v>
      </c>
      <c r="Q6386" t="s">
        <v>7967</v>
      </c>
    </row>
    <row r="6387" spans="1:17" x14ac:dyDescent="0.2">
      <c r="A6387" t="s">
        <v>5614</v>
      </c>
      <c r="B6387" t="s">
        <v>5615</v>
      </c>
      <c r="C6387">
        <v>3</v>
      </c>
      <c r="D6387" t="s">
        <v>5627</v>
      </c>
      <c r="E6387" s="8" t="s">
        <v>5154</v>
      </c>
      <c r="F6387" t="s">
        <v>810</v>
      </c>
      <c r="G6387">
        <v>26</v>
      </c>
    </row>
    <row r="6388" spans="1:17" x14ac:dyDescent="0.2">
      <c r="A6388" t="s">
        <v>5614</v>
      </c>
      <c r="B6388" t="s">
        <v>5615</v>
      </c>
      <c r="C6388">
        <v>3</v>
      </c>
      <c r="D6388" t="s">
        <v>5627</v>
      </c>
      <c r="E6388" s="8" t="s">
        <v>5153</v>
      </c>
      <c r="F6388" t="s">
        <v>3875</v>
      </c>
      <c r="G6388">
        <v>9</v>
      </c>
    </row>
    <row r="6389" spans="1:17" x14ac:dyDescent="0.2">
      <c r="A6389" t="s">
        <v>5614</v>
      </c>
      <c r="B6389" t="s">
        <v>5615</v>
      </c>
      <c r="C6389">
        <v>3</v>
      </c>
      <c r="D6389" t="s">
        <v>5627</v>
      </c>
      <c r="E6389" s="8" t="s">
        <v>5152</v>
      </c>
      <c r="F6389" t="s">
        <v>2836</v>
      </c>
      <c r="G6389">
        <v>1</v>
      </c>
      <c r="M6389">
        <v>1</v>
      </c>
    </row>
    <row r="6390" spans="1:17" x14ac:dyDescent="0.2">
      <c r="A6390" t="s">
        <v>5614</v>
      </c>
      <c r="B6390" t="s">
        <v>5615</v>
      </c>
      <c r="C6390">
        <v>3</v>
      </c>
      <c r="D6390" t="s">
        <v>5627</v>
      </c>
      <c r="E6390" s="8" t="s">
        <v>5155</v>
      </c>
      <c r="F6390" t="s">
        <v>5255</v>
      </c>
      <c r="G6390">
        <v>2</v>
      </c>
      <c r="O6390" t="s">
        <v>5635</v>
      </c>
    </row>
    <row r="6391" spans="1:17" x14ac:dyDescent="0.2">
      <c r="A6391" t="s">
        <v>5614</v>
      </c>
      <c r="B6391" t="s">
        <v>5615</v>
      </c>
      <c r="C6391">
        <v>3</v>
      </c>
      <c r="D6391" t="s">
        <v>5627</v>
      </c>
      <c r="E6391" s="8" t="s">
        <v>5156</v>
      </c>
      <c r="F6391" t="s">
        <v>121</v>
      </c>
      <c r="G6391">
        <v>2</v>
      </c>
      <c r="M6391">
        <v>2</v>
      </c>
    </row>
    <row r="6392" spans="1:17" x14ac:dyDescent="0.2">
      <c r="A6392" t="s">
        <v>5614</v>
      </c>
      <c r="B6392" t="s">
        <v>5615</v>
      </c>
      <c r="C6392">
        <v>3</v>
      </c>
      <c r="D6392" t="s">
        <v>5627</v>
      </c>
      <c r="E6392" s="8" t="s">
        <v>5174</v>
      </c>
      <c r="F6392" t="s">
        <v>3452</v>
      </c>
      <c r="G6392">
        <v>2</v>
      </c>
      <c r="M6392">
        <v>2</v>
      </c>
    </row>
    <row r="6393" spans="1:17" x14ac:dyDescent="0.2">
      <c r="A6393" t="s">
        <v>5614</v>
      </c>
      <c r="B6393" t="s">
        <v>5615</v>
      </c>
      <c r="C6393">
        <v>3</v>
      </c>
      <c r="D6393" t="s">
        <v>5627</v>
      </c>
      <c r="E6393" s="8" t="s">
        <v>5175</v>
      </c>
      <c r="F6393" t="s">
        <v>3431</v>
      </c>
      <c r="G6393">
        <v>2</v>
      </c>
      <c r="M6393">
        <v>4</v>
      </c>
    </row>
    <row r="6394" spans="1:17" x14ac:dyDescent="0.2">
      <c r="A6394" t="s">
        <v>5614</v>
      </c>
      <c r="B6394" t="s">
        <v>5615</v>
      </c>
      <c r="C6394">
        <v>4</v>
      </c>
      <c r="D6394" t="s">
        <v>5627</v>
      </c>
      <c r="E6394" s="8" t="s">
        <v>5081</v>
      </c>
      <c r="F6394" t="s">
        <v>6882</v>
      </c>
      <c r="G6394">
        <v>36</v>
      </c>
      <c r="O6394" t="s">
        <v>5637</v>
      </c>
      <c r="Q6394" t="s">
        <v>7975</v>
      </c>
    </row>
    <row r="6395" spans="1:17" x14ac:dyDescent="0.2">
      <c r="A6395" t="s">
        <v>5614</v>
      </c>
      <c r="B6395" t="s">
        <v>5615</v>
      </c>
      <c r="C6395">
        <v>4</v>
      </c>
      <c r="D6395" t="s">
        <v>5627</v>
      </c>
      <c r="E6395" s="8" t="s">
        <v>5082</v>
      </c>
      <c r="F6395" t="s">
        <v>5638</v>
      </c>
      <c r="G6395">
        <v>41</v>
      </c>
      <c r="Q6395" t="s">
        <v>7974</v>
      </c>
    </row>
    <row r="6396" spans="1:17" x14ac:dyDescent="0.2">
      <c r="A6396" t="s">
        <v>5614</v>
      </c>
      <c r="B6396" t="s">
        <v>5615</v>
      </c>
      <c r="C6396">
        <v>4</v>
      </c>
      <c r="D6396" t="s">
        <v>5627</v>
      </c>
      <c r="E6396" s="8" t="s">
        <v>5089</v>
      </c>
      <c r="F6396" t="s">
        <v>5639</v>
      </c>
      <c r="G6396">
        <v>51</v>
      </c>
      <c r="Q6396" t="s">
        <v>7973</v>
      </c>
    </row>
    <row r="6397" spans="1:17" x14ac:dyDescent="0.2">
      <c r="A6397" t="s">
        <v>5614</v>
      </c>
      <c r="B6397" t="s">
        <v>5615</v>
      </c>
      <c r="C6397">
        <v>4</v>
      </c>
      <c r="D6397" t="s">
        <v>5627</v>
      </c>
      <c r="E6397" s="8" t="s">
        <v>5090</v>
      </c>
      <c r="F6397" t="s">
        <v>6978</v>
      </c>
      <c r="G6397" t="s">
        <v>114</v>
      </c>
      <c r="Q6397" t="s">
        <v>7972</v>
      </c>
    </row>
    <row r="6398" spans="1:17" x14ac:dyDescent="0.2">
      <c r="A6398" t="s">
        <v>5614</v>
      </c>
      <c r="B6398" t="s">
        <v>5615</v>
      </c>
      <c r="C6398">
        <v>4</v>
      </c>
      <c r="D6398" t="s">
        <v>5627</v>
      </c>
      <c r="E6398" s="8" t="s">
        <v>5091</v>
      </c>
      <c r="F6398" t="s">
        <v>6978</v>
      </c>
      <c r="G6398" t="s">
        <v>114</v>
      </c>
      <c r="Q6398" t="s">
        <v>7971</v>
      </c>
    </row>
    <row r="6399" spans="1:17" x14ac:dyDescent="0.2">
      <c r="A6399" t="s">
        <v>5614</v>
      </c>
      <c r="B6399" t="s">
        <v>5615</v>
      </c>
      <c r="C6399">
        <v>4</v>
      </c>
      <c r="D6399" t="s">
        <v>5627</v>
      </c>
      <c r="E6399" s="8" t="s">
        <v>5092</v>
      </c>
      <c r="F6399" t="s">
        <v>6862</v>
      </c>
      <c r="G6399">
        <v>5</v>
      </c>
      <c r="Q6399" t="s">
        <v>7970</v>
      </c>
    </row>
    <row r="6400" spans="1:17" x14ac:dyDescent="0.2">
      <c r="A6400" t="s">
        <v>5614</v>
      </c>
      <c r="B6400" t="s">
        <v>5615</v>
      </c>
      <c r="C6400">
        <v>4</v>
      </c>
      <c r="D6400" t="s">
        <v>5627</v>
      </c>
      <c r="E6400" s="8" t="s">
        <v>5094</v>
      </c>
      <c r="F6400" t="s">
        <v>6862</v>
      </c>
      <c r="G6400">
        <v>6</v>
      </c>
      <c r="Q6400" t="s">
        <v>7969</v>
      </c>
    </row>
    <row r="6401" spans="1:17" x14ac:dyDescent="0.2">
      <c r="A6401" t="s">
        <v>5614</v>
      </c>
      <c r="B6401" t="s">
        <v>5615</v>
      </c>
      <c r="C6401">
        <v>4</v>
      </c>
      <c r="D6401" t="s">
        <v>5627</v>
      </c>
      <c r="E6401" s="8" t="s">
        <v>5097</v>
      </c>
      <c r="F6401" t="s">
        <v>7990</v>
      </c>
      <c r="G6401">
        <v>20</v>
      </c>
      <c r="Q6401" t="s">
        <v>7991</v>
      </c>
    </row>
    <row r="6402" spans="1:17" x14ac:dyDescent="0.2">
      <c r="A6402" t="s">
        <v>5614</v>
      </c>
      <c r="B6402" t="s">
        <v>5615</v>
      </c>
      <c r="C6402">
        <v>4</v>
      </c>
      <c r="D6402" t="s">
        <v>5627</v>
      </c>
      <c r="E6402" s="8" t="s">
        <v>5098</v>
      </c>
      <c r="F6402" t="s">
        <v>7990</v>
      </c>
      <c r="G6402">
        <v>16</v>
      </c>
      <c r="Q6402" t="s">
        <v>7989</v>
      </c>
    </row>
    <row r="6403" spans="1:17" x14ac:dyDescent="0.2">
      <c r="A6403" t="s">
        <v>5614</v>
      </c>
      <c r="B6403" t="s">
        <v>5615</v>
      </c>
      <c r="C6403">
        <v>4</v>
      </c>
      <c r="D6403" t="s">
        <v>5627</v>
      </c>
      <c r="E6403" s="8" t="s">
        <v>5166</v>
      </c>
      <c r="F6403" t="s">
        <v>1425</v>
      </c>
      <c r="G6403">
        <v>6</v>
      </c>
      <c r="Q6403" t="s">
        <v>7988</v>
      </c>
    </row>
    <row r="6404" spans="1:17" x14ac:dyDescent="0.2">
      <c r="A6404" t="s">
        <v>5614</v>
      </c>
      <c r="B6404" t="s">
        <v>5615</v>
      </c>
      <c r="C6404">
        <v>4</v>
      </c>
      <c r="D6404" t="s">
        <v>5627</v>
      </c>
      <c r="E6404" s="8" t="s">
        <v>5167</v>
      </c>
      <c r="F6404" t="s">
        <v>1425</v>
      </c>
      <c r="G6404">
        <v>5</v>
      </c>
      <c r="Q6404" t="s">
        <v>7987</v>
      </c>
    </row>
    <row r="6405" spans="1:17" x14ac:dyDescent="0.2">
      <c r="A6405" t="s">
        <v>5614</v>
      </c>
      <c r="B6405" t="s">
        <v>5615</v>
      </c>
      <c r="C6405">
        <v>4</v>
      </c>
      <c r="D6405" t="s">
        <v>5627</v>
      </c>
      <c r="E6405" s="8" t="s">
        <v>5168</v>
      </c>
      <c r="F6405" t="s">
        <v>1425</v>
      </c>
      <c r="G6405">
        <v>8</v>
      </c>
      <c r="Q6405" t="s">
        <v>7986</v>
      </c>
    </row>
    <row r="6406" spans="1:17" x14ac:dyDescent="0.2">
      <c r="A6406" t="s">
        <v>5614</v>
      </c>
      <c r="B6406" t="s">
        <v>5615</v>
      </c>
      <c r="C6406">
        <v>4</v>
      </c>
      <c r="D6406" t="s">
        <v>5627</v>
      </c>
      <c r="E6406" s="8" t="s">
        <v>5169</v>
      </c>
      <c r="F6406" t="s">
        <v>1425</v>
      </c>
      <c r="G6406">
        <v>8</v>
      </c>
      <c r="Q6406" t="s">
        <v>7985</v>
      </c>
    </row>
    <row r="6407" spans="1:17" x14ac:dyDescent="0.2">
      <c r="A6407" t="s">
        <v>5614</v>
      </c>
      <c r="B6407" t="s">
        <v>5615</v>
      </c>
      <c r="C6407">
        <v>4</v>
      </c>
      <c r="D6407" t="s">
        <v>5627</v>
      </c>
      <c r="E6407" s="8" t="s">
        <v>5170</v>
      </c>
      <c r="F6407" t="s">
        <v>1389</v>
      </c>
      <c r="G6407">
        <v>8</v>
      </c>
      <c r="Q6407" t="s">
        <v>7982</v>
      </c>
    </row>
    <row r="6408" spans="1:17" x14ac:dyDescent="0.2">
      <c r="A6408" t="s">
        <v>5614</v>
      </c>
      <c r="B6408" t="s">
        <v>5615</v>
      </c>
      <c r="C6408">
        <v>4</v>
      </c>
      <c r="D6408" t="s">
        <v>5627</v>
      </c>
      <c r="E6408" s="8" t="s">
        <v>5171</v>
      </c>
      <c r="F6408" t="s">
        <v>1389</v>
      </c>
      <c r="G6408">
        <v>3</v>
      </c>
      <c r="Q6408" t="s">
        <v>7980</v>
      </c>
    </row>
    <row r="6409" spans="1:17" x14ac:dyDescent="0.2">
      <c r="A6409" t="s">
        <v>5614</v>
      </c>
      <c r="B6409" t="s">
        <v>5615</v>
      </c>
      <c r="C6409">
        <v>4</v>
      </c>
      <c r="D6409" t="s">
        <v>5627</v>
      </c>
      <c r="E6409" s="8" t="s">
        <v>5140</v>
      </c>
      <c r="F6409" t="s">
        <v>1389</v>
      </c>
      <c r="G6409">
        <v>7</v>
      </c>
      <c r="Q6409" t="s">
        <v>7983</v>
      </c>
    </row>
    <row r="6410" spans="1:17" x14ac:dyDescent="0.2">
      <c r="A6410" t="s">
        <v>5614</v>
      </c>
      <c r="B6410" t="s">
        <v>5615</v>
      </c>
      <c r="C6410">
        <v>4</v>
      </c>
      <c r="D6410" t="s">
        <v>5627</v>
      </c>
      <c r="E6410" s="8" t="s">
        <v>5141</v>
      </c>
      <c r="F6410" t="s">
        <v>1389</v>
      </c>
      <c r="G6410">
        <v>4</v>
      </c>
      <c r="Q6410" t="s">
        <v>7984</v>
      </c>
    </row>
    <row r="6411" spans="1:17" x14ac:dyDescent="0.2">
      <c r="A6411" t="s">
        <v>5614</v>
      </c>
      <c r="B6411" t="s">
        <v>5615</v>
      </c>
      <c r="C6411">
        <v>4</v>
      </c>
      <c r="D6411" t="s">
        <v>5627</v>
      </c>
      <c r="E6411" s="8" t="s">
        <v>5142</v>
      </c>
      <c r="F6411" t="s">
        <v>1389</v>
      </c>
      <c r="G6411">
        <v>2</v>
      </c>
      <c r="Q6411" t="s">
        <v>7981</v>
      </c>
    </row>
    <row r="6412" spans="1:17" x14ac:dyDescent="0.2">
      <c r="A6412" t="s">
        <v>5614</v>
      </c>
      <c r="B6412" t="s">
        <v>5615</v>
      </c>
      <c r="C6412">
        <v>4</v>
      </c>
      <c r="D6412" t="s">
        <v>5627</v>
      </c>
      <c r="E6412" s="8" t="s">
        <v>5144</v>
      </c>
      <c r="F6412" t="s">
        <v>5640</v>
      </c>
      <c r="G6412" t="s">
        <v>114</v>
      </c>
      <c r="Q6412" t="s">
        <v>7979</v>
      </c>
    </row>
    <row r="6413" spans="1:17" x14ac:dyDescent="0.2">
      <c r="A6413" t="s">
        <v>5614</v>
      </c>
      <c r="B6413" t="s">
        <v>5615</v>
      </c>
      <c r="C6413">
        <v>4</v>
      </c>
      <c r="D6413" t="s">
        <v>5627</v>
      </c>
      <c r="E6413" s="8" t="s">
        <v>5143</v>
      </c>
      <c r="F6413" t="s">
        <v>1389</v>
      </c>
      <c r="G6413">
        <v>11</v>
      </c>
      <c r="M6413">
        <v>2</v>
      </c>
    </row>
    <row r="6414" spans="1:17" x14ac:dyDescent="0.2">
      <c r="A6414" t="s">
        <v>5614</v>
      </c>
      <c r="B6414" t="s">
        <v>5615</v>
      </c>
      <c r="C6414">
        <v>4</v>
      </c>
      <c r="D6414" t="s">
        <v>5627</v>
      </c>
      <c r="E6414" s="8" t="s">
        <v>5145</v>
      </c>
      <c r="F6414" t="s">
        <v>1559</v>
      </c>
      <c r="G6414">
        <v>1</v>
      </c>
      <c r="Q6414" t="s">
        <v>7978</v>
      </c>
    </row>
    <row r="6415" spans="1:17" x14ac:dyDescent="0.2">
      <c r="A6415" t="s">
        <v>5614</v>
      </c>
      <c r="B6415" t="s">
        <v>5615</v>
      </c>
      <c r="C6415">
        <v>4</v>
      </c>
      <c r="D6415" t="s">
        <v>5627</v>
      </c>
      <c r="E6415" s="8" t="s">
        <v>5146</v>
      </c>
      <c r="F6415" t="s">
        <v>1559</v>
      </c>
      <c r="G6415">
        <v>1</v>
      </c>
      <c r="Q6415" t="s">
        <v>7977</v>
      </c>
    </row>
    <row r="6416" spans="1:17" x14ac:dyDescent="0.2">
      <c r="A6416" t="s">
        <v>5614</v>
      </c>
      <c r="B6416" t="s">
        <v>5615</v>
      </c>
      <c r="C6416">
        <v>4</v>
      </c>
      <c r="D6416" t="s">
        <v>5627</v>
      </c>
      <c r="E6416" s="8" t="s">
        <v>5147</v>
      </c>
      <c r="F6416" t="s">
        <v>1559</v>
      </c>
      <c r="G6416">
        <v>2</v>
      </c>
      <c r="Q6416" t="s">
        <v>7976</v>
      </c>
    </row>
    <row r="6417" spans="1:17" x14ac:dyDescent="0.2">
      <c r="A6417" t="s">
        <v>5614</v>
      </c>
      <c r="B6417" t="s">
        <v>5615</v>
      </c>
      <c r="C6417">
        <v>4</v>
      </c>
      <c r="D6417" t="s">
        <v>5627</v>
      </c>
      <c r="E6417" s="8" t="s">
        <v>5148</v>
      </c>
      <c r="F6417" t="s">
        <v>5385</v>
      </c>
      <c r="G6417">
        <v>4</v>
      </c>
      <c r="Q6417" t="s">
        <v>7994</v>
      </c>
    </row>
    <row r="6418" spans="1:17" x14ac:dyDescent="0.2">
      <c r="A6418" t="s">
        <v>5614</v>
      </c>
      <c r="B6418" t="s">
        <v>5615</v>
      </c>
      <c r="C6418">
        <v>4</v>
      </c>
      <c r="D6418" t="s">
        <v>5627</v>
      </c>
      <c r="E6418" s="8" t="s">
        <v>5149</v>
      </c>
      <c r="F6418" t="s">
        <v>5385</v>
      </c>
      <c r="G6418">
        <v>2</v>
      </c>
      <c r="Q6418" t="s">
        <v>7996</v>
      </c>
    </row>
    <row r="6419" spans="1:17" x14ac:dyDescent="0.2">
      <c r="A6419" t="s">
        <v>5614</v>
      </c>
      <c r="B6419" t="s">
        <v>5615</v>
      </c>
      <c r="C6419">
        <v>4</v>
      </c>
      <c r="D6419" t="s">
        <v>5627</v>
      </c>
      <c r="E6419" s="8" t="s">
        <v>5150</v>
      </c>
      <c r="F6419" t="s">
        <v>5385</v>
      </c>
      <c r="G6419">
        <v>2</v>
      </c>
      <c r="Q6419" t="s">
        <v>7995</v>
      </c>
    </row>
    <row r="6420" spans="1:17" x14ac:dyDescent="0.2">
      <c r="A6420" t="s">
        <v>5614</v>
      </c>
      <c r="B6420" t="s">
        <v>5615</v>
      </c>
      <c r="C6420">
        <v>4</v>
      </c>
      <c r="D6420" t="s">
        <v>5627</v>
      </c>
      <c r="E6420" s="8" t="s">
        <v>5151</v>
      </c>
      <c r="F6420" t="s">
        <v>5385</v>
      </c>
      <c r="G6420">
        <v>4</v>
      </c>
      <c r="Q6420" t="s">
        <v>7993</v>
      </c>
    </row>
    <row r="6421" spans="1:17" x14ac:dyDescent="0.2">
      <c r="A6421" t="s">
        <v>5614</v>
      </c>
      <c r="B6421" t="s">
        <v>5615</v>
      </c>
      <c r="C6421">
        <v>4</v>
      </c>
      <c r="D6421" t="s">
        <v>5627</v>
      </c>
      <c r="E6421" s="8" t="s">
        <v>5152</v>
      </c>
      <c r="F6421" t="s">
        <v>5385</v>
      </c>
      <c r="G6421">
        <v>3</v>
      </c>
      <c r="Q6421" t="s">
        <v>7992</v>
      </c>
    </row>
    <row r="6422" spans="1:17" x14ac:dyDescent="0.2">
      <c r="A6422" t="s">
        <v>5614</v>
      </c>
      <c r="B6422" t="s">
        <v>5615</v>
      </c>
      <c r="C6422">
        <v>4</v>
      </c>
      <c r="D6422" t="s">
        <v>5627</v>
      </c>
      <c r="E6422" s="8" t="s">
        <v>5153</v>
      </c>
      <c r="F6422" t="s">
        <v>5385</v>
      </c>
      <c r="G6422">
        <v>14</v>
      </c>
      <c r="M6422">
        <v>5</v>
      </c>
    </row>
    <row r="6423" spans="1:17" x14ac:dyDescent="0.2">
      <c r="A6423" t="s">
        <v>5614</v>
      </c>
      <c r="B6423" t="s">
        <v>5615</v>
      </c>
      <c r="C6423">
        <v>4</v>
      </c>
      <c r="D6423" t="s">
        <v>5627</v>
      </c>
      <c r="E6423" t="s">
        <v>5056</v>
      </c>
      <c r="F6423" t="s">
        <v>5385</v>
      </c>
      <c r="G6423">
        <v>29</v>
      </c>
      <c r="M6423">
        <v>10</v>
      </c>
    </row>
    <row r="6424" spans="1:17" x14ac:dyDescent="0.2">
      <c r="A6424" t="s">
        <v>5614</v>
      </c>
      <c r="B6424" t="s">
        <v>5615</v>
      </c>
      <c r="C6424">
        <v>4</v>
      </c>
      <c r="D6424" t="s">
        <v>5627</v>
      </c>
      <c r="E6424" s="8" t="s">
        <v>5154</v>
      </c>
      <c r="F6424" t="s">
        <v>1538</v>
      </c>
      <c r="G6424">
        <v>2</v>
      </c>
    </row>
    <row r="6425" spans="1:17" x14ac:dyDescent="0.2">
      <c r="A6425" t="s">
        <v>5614</v>
      </c>
      <c r="B6425" t="s">
        <v>5615</v>
      </c>
      <c r="C6425">
        <v>4</v>
      </c>
      <c r="D6425" t="s">
        <v>5627</v>
      </c>
      <c r="E6425" s="8" t="s">
        <v>5155</v>
      </c>
      <c r="F6425" t="s">
        <v>1538</v>
      </c>
      <c r="G6425">
        <v>46</v>
      </c>
    </row>
    <row r="6426" spans="1:17" x14ac:dyDescent="0.2">
      <c r="A6426" t="s">
        <v>5614</v>
      </c>
      <c r="B6426" t="s">
        <v>5615</v>
      </c>
      <c r="C6426">
        <v>4</v>
      </c>
      <c r="D6426" t="s">
        <v>5627</v>
      </c>
      <c r="E6426" s="8" t="s">
        <v>5156</v>
      </c>
      <c r="F6426" t="s">
        <v>1538</v>
      </c>
      <c r="G6426">
        <v>22</v>
      </c>
    </row>
    <row r="6427" spans="1:17" x14ac:dyDescent="0.2">
      <c r="A6427" t="s">
        <v>5614</v>
      </c>
      <c r="B6427" t="s">
        <v>5615</v>
      </c>
      <c r="C6427">
        <v>4</v>
      </c>
      <c r="D6427" t="s">
        <v>5627</v>
      </c>
      <c r="E6427" s="8" t="s">
        <v>5157</v>
      </c>
      <c r="F6427" t="s">
        <v>1538</v>
      </c>
      <c r="G6427">
        <v>14</v>
      </c>
    </row>
    <row r="6428" spans="1:17" x14ac:dyDescent="0.2">
      <c r="A6428" t="s">
        <v>5614</v>
      </c>
      <c r="B6428" t="s">
        <v>5615</v>
      </c>
      <c r="C6428">
        <v>4</v>
      </c>
      <c r="D6428" t="s">
        <v>5627</v>
      </c>
      <c r="E6428" s="8" t="s">
        <v>5158</v>
      </c>
      <c r="F6428" t="s">
        <v>1538</v>
      </c>
      <c r="G6428">
        <v>3</v>
      </c>
    </row>
    <row r="6429" spans="1:17" x14ac:dyDescent="0.2">
      <c r="A6429" t="s">
        <v>5614</v>
      </c>
      <c r="B6429" t="s">
        <v>5615</v>
      </c>
      <c r="C6429">
        <v>4</v>
      </c>
      <c r="D6429" t="s">
        <v>5627</v>
      </c>
      <c r="E6429" s="8" t="s">
        <v>5172</v>
      </c>
      <c r="F6429" t="s">
        <v>1538</v>
      </c>
      <c r="G6429">
        <v>67</v>
      </c>
      <c r="M6429">
        <v>5</v>
      </c>
    </row>
    <row r="6430" spans="1:17" x14ac:dyDescent="0.2">
      <c r="A6430" t="s">
        <v>5614</v>
      </c>
      <c r="B6430" t="s">
        <v>5615</v>
      </c>
      <c r="C6430">
        <v>4</v>
      </c>
      <c r="D6430" t="s">
        <v>5627</v>
      </c>
      <c r="E6430" t="s">
        <v>5056</v>
      </c>
      <c r="F6430" t="s">
        <v>1538</v>
      </c>
      <c r="G6430">
        <v>148</v>
      </c>
      <c r="M6430">
        <v>14</v>
      </c>
    </row>
    <row r="6431" spans="1:17" x14ac:dyDescent="0.2">
      <c r="A6431" t="s">
        <v>5614</v>
      </c>
      <c r="B6431" t="s">
        <v>5615</v>
      </c>
      <c r="C6431">
        <v>4</v>
      </c>
      <c r="D6431" t="s">
        <v>5627</v>
      </c>
      <c r="E6431" s="8" t="s">
        <v>5173</v>
      </c>
      <c r="F6431" t="s">
        <v>1582</v>
      </c>
      <c r="G6431">
        <v>1</v>
      </c>
    </row>
    <row r="6432" spans="1:17" x14ac:dyDescent="0.2">
      <c r="A6432" t="s">
        <v>5614</v>
      </c>
      <c r="B6432" t="s">
        <v>5615</v>
      </c>
      <c r="C6432">
        <v>4</v>
      </c>
      <c r="D6432" t="s">
        <v>5627</v>
      </c>
      <c r="E6432" s="8" t="s">
        <v>5174</v>
      </c>
      <c r="F6432" t="s">
        <v>1582</v>
      </c>
      <c r="G6432">
        <v>2</v>
      </c>
    </row>
    <row r="6433" spans="1:17" x14ac:dyDescent="0.2">
      <c r="A6433" t="s">
        <v>5614</v>
      </c>
      <c r="B6433" t="s">
        <v>5615</v>
      </c>
      <c r="C6433">
        <v>4</v>
      </c>
      <c r="D6433" t="s">
        <v>5627</v>
      </c>
      <c r="E6433" s="8" t="s">
        <v>5175</v>
      </c>
      <c r="F6433" t="s">
        <v>1582</v>
      </c>
      <c r="G6433">
        <v>1</v>
      </c>
    </row>
    <row r="6434" spans="1:17" x14ac:dyDescent="0.2">
      <c r="A6434" t="s">
        <v>5614</v>
      </c>
      <c r="B6434" t="s">
        <v>5615</v>
      </c>
      <c r="C6434">
        <v>4</v>
      </c>
      <c r="D6434" t="s">
        <v>5627</v>
      </c>
      <c r="E6434" s="8" t="s">
        <v>5139</v>
      </c>
      <c r="F6434" t="s">
        <v>1582</v>
      </c>
      <c r="G6434">
        <v>2</v>
      </c>
    </row>
    <row r="6435" spans="1:17" x14ac:dyDescent="0.2">
      <c r="A6435" t="s">
        <v>5614</v>
      </c>
      <c r="B6435" t="s">
        <v>5615</v>
      </c>
      <c r="C6435">
        <v>4</v>
      </c>
      <c r="D6435" t="s">
        <v>5627</v>
      </c>
      <c r="E6435" s="8" t="s">
        <v>5162</v>
      </c>
      <c r="F6435" t="s">
        <v>1582</v>
      </c>
      <c r="G6435">
        <v>2</v>
      </c>
    </row>
    <row r="6436" spans="1:17" x14ac:dyDescent="0.2">
      <c r="A6436" t="s">
        <v>5614</v>
      </c>
      <c r="B6436" t="s">
        <v>5615</v>
      </c>
      <c r="C6436">
        <v>4</v>
      </c>
      <c r="D6436" t="s">
        <v>5627</v>
      </c>
      <c r="E6436" s="8" t="s">
        <v>5159</v>
      </c>
      <c r="F6436" t="s">
        <v>1582</v>
      </c>
      <c r="G6436">
        <v>5</v>
      </c>
      <c r="M6436">
        <v>3</v>
      </c>
    </row>
    <row r="6437" spans="1:17" x14ac:dyDescent="0.2">
      <c r="A6437" t="s">
        <v>5614</v>
      </c>
      <c r="B6437" t="s">
        <v>5615</v>
      </c>
      <c r="C6437">
        <v>4</v>
      </c>
      <c r="D6437" t="s">
        <v>5627</v>
      </c>
      <c r="E6437" s="8" t="s">
        <v>5160</v>
      </c>
      <c r="F6437" t="s">
        <v>504</v>
      </c>
      <c r="G6437">
        <f>1316-427</f>
        <v>889</v>
      </c>
      <c r="O6437" t="s">
        <v>5642</v>
      </c>
    </row>
    <row r="6438" spans="1:17" x14ac:dyDescent="0.2">
      <c r="A6438" t="s">
        <v>5614</v>
      </c>
      <c r="B6438" t="s">
        <v>5615</v>
      </c>
      <c r="C6438">
        <v>4</v>
      </c>
      <c r="D6438" t="s">
        <v>5627</v>
      </c>
      <c r="E6438" s="8" t="s">
        <v>5161</v>
      </c>
      <c r="F6438" t="s">
        <v>3875</v>
      </c>
      <c r="G6438">
        <v>140</v>
      </c>
    </row>
    <row r="6439" spans="1:17" x14ac:dyDescent="0.2">
      <c r="A6439" t="s">
        <v>5614</v>
      </c>
      <c r="B6439" t="s">
        <v>5615</v>
      </c>
      <c r="C6439">
        <v>4</v>
      </c>
      <c r="D6439" t="s">
        <v>5627</v>
      </c>
      <c r="E6439" s="8" t="s">
        <v>5189</v>
      </c>
      <c r="F6439" t="s">
        <v>3431</v>
      </c>
      <c r="G6439">
        <v>6</v>
      </c>
    </row>
    <row r="6440" spans="1:17" x14ac:dyDescent="0.2">
      <c r="A6440" t="s">
        <v>5614</v>
      </c>
      <c r="B6440" t="s">
        <v>5615</v>
      </c>
      <c r="C6440">
        <v>4</v>
      </c>
      <c r="D6440" t="s">
        <v>5627</v>
      </c>
      <c r="E6440" s="8" t="s">
        <v>5184</v>
      </c>
      <c r="F6440" t="s">
        <v>3927</v>
      </c>
      <c r="G6440">
        <v>15</v>
      </c>
    </row>
    <row r="6441" spans="1:17" x14ac:dyDescent="0.2">
      <c r="A6441" t="s">
        <v>5614</v>
      </c>
      <c r="B6441" t="s">
        <v>5615</v>
      </c>
      <c r="C6441">
        <v>4</v>
      </c>
      <c r="D6441" t="s">
        <v>5627</v>
      </c>
      <c r="E6441" s="8" t="s">
        <v>5185</v>
      </c>
      <c r="F6441" t="s">
        <v>5641</v>
      </c>
      <c r="G6441">
        <v>2</v>
      </c>
    </row>
    <row r="6442" spans="1:17" x14ac:dyDescent="0.2">
      <c r="A6442" t="s">
        <v>5614</v>
      </c>
      <c r="B6442" t="s">
        <v>5615</v>
      </c>
      <c r="C6442">
        <v>4</v>
      </c>
      <c r="D6442" t="s">
        <v>5627</v>
      </c>
      <c r="E6442" s="8" t="s">
        <v>5182</v>
      </c>
      <c r="F6442" t="s">
        <v>6978</v>
      </c>
      <c r="G6442" t="s">
        <v>114</v>
      </c>
      <c r="Q6442" t="s">
        <v>7997</v>
      </c>
    </row>
    <row r="6443" spans="1:17" x14ac:dyDescent="0.2">
      <c r="A6443" t="s">
        <v>5614</v>
      </c>
      <c r="B6443" t="s">
        <v>5615</v>
      </c>
      <c r="C6443">
        <v>4</v>
      </c>
      <c r="D6443" t="s">
        <v>5627</v>
      </c>
      <c r="E6443" s="8" t="s">
        <v>5186</v>
      </c>
      <c r="F6443" t="s">
        <v>3452</v>
      </c>
      <c r="G6443">
        <v>1</v>
      </c>
    </row>
    <row r="6444" spans="1:17" x14ac:dyDescent="0.2">
      <c r="A6444" t="s">
        <v>5614</v>
      </c>
      <c r="B6444" t="s">
        <v>5615</v>
      </c>
      <c r="C6444">
        <v>4</v>
      </c>
      <c r="D6444" t="s">
        <v>5627</v>
      </c>
      <c r="E6444" s="8" t="s">
        <v>5187</v>
      </c>
      <c r="F6444" t="s">
        <v>106</v>
      </c>
      <c r="G6444">
        <v>9</v>
      </c>
    </row>
    <row r="6445" spans="1:17" x14ac:dyDescent="0.2">
      <c r="A6445" t="s">
        <v>5614</v>
      </c>
      <c r="B6445" t="s">
        <v>5615</v>
      </c>
      <c r="C6445">
        <v>4</v>
      </c>
      <c r="D6445" t="s">
        <v>5627</v>
      </c>
      <c r="E6445" s="8" t="s">
        <v>5183</v>
      </c>
      <c r="F6445" t="s">
        <v>1264</v>
      </c>
      <c r="H6445">
        <f>15.6-2.8</f>
        <v>12.8</v>
      </c>
      <c r="O6445" t="s">
        <v>5107</v>
      </c>
    </row>
    <row r="6446" spans="1:17" x14ac:dyDescent="0.2">
      <c r="A6446" t="s">
        <v>5614</v>
      </c>
      <c r="B6446" t="s">
        <v>5615</v>
      </c>
      <c r="C6446">
        <v>4</v>
      </c>
      <c r="D6446" t="s">
        <v>5627</v>
      </c>
      <c r="E6446" s="8" t="s">
        <v>5188</v>
      </c>
      <c r="F6446" t="s">
        <v>121</v>
      </c>
      <c r="G6446">
        <v>3</v>
      </c>
    </row>
    <row r="6447" spans="1:17" x14ac:dyDescent="0.2">
      <c r="A6447" t="s">
        <v>5614</v>
      </c>
      <c r="B6447" t="s">
        <v>5615</v>
      </c>
      <c r="C6447">
        <v>5</v>
      </c>
      <c r="D6447" t="s">
        <v>5627</v>
      </c>
      <c r="E6447" s="8" t="s">
        <v>5168</v>
      </c>
      <c r="F6447" t="s">
        <v>504</v>
      </c>
      <c r="G6447">
        <f>820-344</f>
        <v>476</v>
      </c>
      <c r="O6447" t="s">
        <v>5644</v>
      </c>
    </row>
    <row r="6448" spans="1:17" x14ac:dyDescent="0.2">
      <c r="A6448" t="s">
        <v>5614</v>
      </c>
      <c r="B6448" t="s">
        <v>5615</v>
      </c>
      <c r="C6448">
        <v>5</v>
      </c>
      <c r="D6448" t="s">
        <v>5627</v>
      </c>
      <c r="E6448" s="8" t="s">
        <v>5081</v>
      </c>
      <c r="F6448" t="s">
        <v>5638</v>
      </c>
      <c r="G6448">
        <v>51</v>
      </c>
      <c r="Q6448" t="s">
        <v>7998</v>
      </c>
    </row>
    <row r="6449" spans="1:17" x14ac:dyDescent="0.2">
      <c r="A6449" t="s">
        <v>5614</v>
      </c>
      <c r="B6449" t="s">
        <v>5615</v>
      </c>
      <c r="C6449">
        <v>5</v>
      </c>
      <c r="D6449" t="s">
        <v>5627</v>
      </c>
      <c r="E6449" s="8" t="s">
        <v>5082</v>
      </c>
      <c r="F6449" t="s">
        <v>6779</v>
      </c>
      <c r="G6449">
        <v>30</v>
      </c>
      <c r="Q6449" t="s">
        <v>7999</v>
      </c>
    </row>
    <row r="6450" spans="1:17" x14ac:dyDescent="0.2">
      <c r="A6450" t="s">
        <v>5614</v>
      </c>
      <c r="B6450" t="s">
        <v>5615</v>
      </c>
      <c r="C6450">
        <v>5</v>
      </c>
      <c r="D6450" t="s">
        <v>5627</v>
      </c>
      <c r="E6450" s="8" t="s">
        <v>5146</v>
      </c>
      <c r="F6450" t="s">
        <v>1264</v>
      </c>
      <c r="H6450">
        <f>3-0.261</f>
        <v>2.7389999999999999</v>
      </c>
      <c r="O6450" t="s">
        <v>5199</v>
      </c>
    </row>
    <row r="6451" spans="1:17" x14ac:dyDescent="0.2">
      <c r="A6451" t="s">
        <v>5614</v>
      </c>
      <c r="B6451" t="s">
        <v>5615</v>
      </c>
      <c r="C6451">
        <v>5</v>
      </c>
      <c r="D6451" t="s">
        <v>5627</v>
      </c>
      <c r="E6451" s="8" t="s">
        <v>5169</v>
      </c>
      <c r="F6451" t="s">
        <v>1425</v>
      </c>
      <c r="G6451">
        <v>11</v>
      </c>
      <c r="Q6451" t="s">
        <v>8005</v>
      </c>
    </row>
    <row r="6452" spans="1:17" x14ac:dyDescent="0.2">
      <c r="A6452" t="s">
        <v>5614</v>
      </c>
      <c r="B6452" t="s">
        <v>5615</v>
      </c>
      <c r="C6452">
        <v>5</v>
      </c>
      <c r="D6452" t="s">
        <v>5627</v>
      </c>
      <c r="E6452" s="8" t="s">
        <v>5170</v>
      </c>
      <c r="F6452" t="s">
        <v>1425</v>
      </c>
      <c r="G6452">
        <v>4</v>
      </c>
      <c r="Q6452" t="s">
        <v>8007</v>
      </c>
    </row>
    <row r="6453" spans="1:17" x14ac:dyDescent="0.2">
      <c r="A6453" t="s">
        <v>5614</v>
      </c>
      <c r="B6453" t="s">
        <v>5615</v>
      </c>
      <c r="C6453">
        <v>5</v>
      </c>
      <c r="D6453" t="s">
        <v>5627</v>
      </c>
      <c r="E6453" s="8" t="s">
        <v>5171</v>
      </c>
      <c r="F6453" t="s">
        <v>1425</v>
      </c>
      <c r="G6453">
        <v>8</v>
      </c>
    </row>
    <row r="6454" spans="1:17" x14ac:dyDescent="0.2">
      <c r="A6454" t="s">
        <v>5614</v>
      </c>
      <c r="B6454" t="s">
        <v>5615</v>
      </c>
      <c r="C6454">
        <v>5</v>
      </c>
      <c r="D6454" t="s">
        <v>5627</v>
      </c>
      <c r="E6454" s="8" t="s">
        <v>5140</v>
      </c>
      <c r="F6454" t="s">
        <v>1425</v>
      </c>
      <c r="G6454">
        <v>5</v>
      </c>
      <c r="Q6454" t="s">
        <v>8006</v>
      </c>
    </row>
    <row r="6455" spans="1:17" x14ac:dyDescent="0.2">
      <c r="A6455" t="s">
        <v>5614</v>
      </c>
      <c r="B6455" t="s">
        <v>5615</v>
      </c>
      <c r="C6455">
        <v>5</v>
      </c>
      <c r="D6455" t="s">
        <v>5627</v>
      </c>
      <c r="E6455" s="8" t="s">
        <v>5141</v>
      </c>
      <c r="F6455" t="s">
        <v>1425</v>
      </c>
      <c r="G6455">
        <v>6</v>
      </c>
      <c r="Q6455" t="s">
        <v>8008</v>
      </c>
    </row>
    <row r="6456" spans="1:17" x14ac:dyDescent="0.2">
      <c r="A6456" t="s">
        <v>5614</v>
      </c>
      <c r="B6456" t="s">
        <v>5615</v>
      </c>
      <c r="C6456">
        <v>5</v>
      </c>
      <c r="D6456" t="s">
        <v>5627</v>
      </c>
      <c r="E6456" s="8" t="s">
        <v>5142</v>
      </c>
      <c r="F6456" t="s">
        <v>1425</v>
      </c>
      <c r="G6456">
        <v>31</v>
      </c>
      <c r="M6456">
        <v>4</v>
      </c>
    </row>
    <row r="6457" spans="1:17" x14ac:dyDescent="0.2">
      <c r="A6457" t="s">
        <v>5614</v>
      </c>
      <c r="B6457" t="s">
        <v>5615</v>
      </c>
      <c r="C6457">
        <v>5</v>
      </c>
      <c r="D6457" t="s">
        <v>5627</v>
      </c>
      <c r="E6457" s="8" t="s">
        <v>5143</v>
      </c>
      <c r="F6457" t="s">
        <v>1389</v>
      </c>
      <c r="G6457">
        <v>5</v>
      </c>
      <c r="Q6457" t="s">
        <v>8009</v>
      </c>
    </row>
    <row r="6458" spans="1:17" x14ac:dyDescent="0.2">
      <c r="A6458" t="s">
        <v>5614</v>
      </c>
      <c r="B6458" t="s">
        <v>5615</v>
      </c>
      <c r="C6458">
        <v>5</v>
      </c>
      <c r="D6458" t="s">
        <v>5627</v>
      </c>
      <c r="E6458" s="8" t="s">
        <v>5145</v>
      </c>
      <c r="F6458" t="s">
        <v>10603</v>
      </c>
      <c r="G6458" t="s">
        <v>114</v>
      </c>
      <c r="Q6458" t="s">
        <v>8010</v>
      </c>
    </row>
    <row r="6459" spans="1:17" x14ac:dyDescent="0.2">
      <c r="A6459" t="s">
        <v>5614</v>
      </c>
      <c r="B6459" t="s">
        <v>5615</v>
      </c>
      <c r="C6459">
        <v>5</v>
      </c>
      <c r="D6459" t="s">
        <v>5627</v>
      </c>
      <c r="E6459" s="8" t="s">
        <v>5144</v>
      </c>
      <c r="F6459" t="s">
        <v>5643</v>
      </c>
      <c r="G6459" t="s">
        <v>114</v>
      </c>
      <c r="O6459" t="s">
        <v>5645</v>
      </c>
      <c r="Q6459" t="s">
        <v>8011</v>
      </c>
    </row>
    <row r="6460" spans="1:17" x14ac:dyDescent="0.2">
      <c r="A6460" t="s">
        <v>5614</v>
      </c>
      <c r="B6460" t="s">
        <v>5615</v>
      </c>
      <c r="C6460">
        <v>5</v>
      </c>
      <c r="D6460" t="s">
        <v>5627</v>
      </c>
      <c r="E6460" s="8" t="s">
        <v>5154</v>
      </c>
      <c r="F6460" t="s">
        <v>10604</v>
      </c>
      <c r="G6460">
        <v>3</v>
      </c>
      <c r="O6460" t="s">
        <v>5645</v>
      </c>
    </row>
    <row r="6461" spans="1:17" x14ac:dyDescent="0.2">
      <c r="A6461" t="s">
        <v>5614</v>
      </c>
      <c r="B6461" t="s">
        <v>5615</v>
      </c>
      <c r="C6461">
        <v>5</v>
      </c>
      <c r="D6461" t="s">
        <v>5627</v>
      </c>
      <c r="E6461" s="8" t="s">
        <v>5155</v>
      </c>
      <c r="F6461" t="s">
        <v>6250</v>
      </c>
      <c r="G6461">
        <v>2</v>
      </c>
      <c r="O6461" t="s">
        <v>5645</v>
      </c>
    </row>
    <row r="6462" spans="1:17" x14ac:dyDescent="0.2">
      <c r="A6462" t="s">
        <v>5614</v>
      </c>
      <c r="B6462" t="s">
        <v>5615</v>
      </c>
      <c r="C6462">
        <v>5</v>
      </c>
      <c r="D6462" t="s">
        <v>5627</v>
      </c>
      <c r="E6462" s="8" t="s">
        <v>5156</v>
      </c>
      <c r="F6462" t="s">
        <v>10603</v>
      </c>
      <c r="G6462">
        <v>1</v>
      </c>
    </row>
    <row r="6463" spans="1:17" x14ac:dyDescent="0.2">
      <c r="A6463" t="s">
        <v>5614</v>
      </c>
      <c r="B6463" t="s">
        <v>5615</v>
      </c>
      <c r="C6463">
        <v>5</v>
      </c>
      <c r="D6463" t="s">
        <v>5627</v>
      </c>
      <c r="E6463" s="8" t="s">
        <v>5157</v>
      </c>
      <c r="F6463" t="s">
        <v>5385</v>
      </c>
      <c r="G6463">
        <v>1</v>
      </c>
    </row>
    <row r="6464" spans="1:17" x14ac:dyDescent="0.2">
      <c r="A6464" t="s">
        <v>5614</v>
      </c>
      <c r="B6464" t="s">
        <v>5615</v>
      </c>
      <c r="C6464">
        <v>5</v>
      </c>
      <c r="D6464" t="s">
        <v>5627</v>
      </c>
      <c r="E6464" s="8" t="s">
        <v>5147</v>
      </c>
      <c r="F6464" t="s">
        <v>6359</v>
      </c>
      <c r="G6464">
        <v>2</v>
      </c>
      <c r="Q6464" t="s">
        <v>8004</v>
      </c>
    </row>
    <row r="6465" spans="1:17" x14ac:dyDescent="0.2">
      <c r="A6465" t="s">
        <v>5614</v>
      </c>
      <c r="B6465" t="s">
        <v>5615</v>
      </c>
      <c r="C6465">
        <v>5</v>
      </c>
      <c r="D6465" t="s">
        <v>5627</v>
      </c>
      <c r="E6465" s="8" t="s">
        <v>5148</v>
      </c>
      <c r="F6465" t="s">
        <v>6359</v>
      </c>
      <c r="G6465">
        <v>1</v>
      </c>
      <c r="Q6465" t="s">
        <v>8003</v>
      </c>
    </row>
    <row r="6466" spans="1:17" x14ac:dyDescent="0.2">
      <c r="A6466" t="s">
        <v>5614</v>
      </c>
      <c r="B6466" t="s">
        <v>5615</v>
      </c>
      <c r="C6466">
        <v>5</v>
      </c>
      <c r="D6466" t="s">
        <v>5627</v>
      </c>
      <c r="E6466" s="8" t="s">
        <v>5149</v>
      </c>
      <c r="F6466" t="s">
        <v>6359</v>
      </c>
      <c r="G6466">
        <v>1</v>
      </c>
      <c r="Q6466" t="s">
        <v>8002</v>
      </c>
    </row>
    <row r="6467" spans="1:17" x14ac:dyDescent="0.2">
      <c r="A6467" t="s">
        <v>5614</v>
      </c>
      <c r="B6467" t="s">
        <v>5615</v>
      </c>
      <c r="C6467">
        <v>5</v>
      </c>
      <c r="D6467" t="s">
        <v>5627</v>
      </c>
      <c r="E6467" s="8" t="s">
        <v>5150</v>
      </c>
      <c r="F6467" t="s">
        <v>6359</v>
      </c>
      <c r="G6467">
        <v>1</v>
      </c>
      <c r="Q6467" t="s">
        <v>8001</v>
      </c>
    </row>
    <row r="6468" spans="1:17" x14ac:dyDescent="0.2">
      <c r="A6468" t="s">
        <v>5614</v>
      </c>
      <c r="B6468" t="s">
        <v>5615</v>
      </c>
      <c r="C6468">
        <v>5</v>
      </c>
      <c r="D6468" t="s">
        <v>5627</v>
      </c>
      <c r="E6468" s="8" t="s">
        <v>5151</v>
      </c>
      <c r="F6468" t="s">
        <v>6359</v>
      </c>
      <c r="G6468">
        <v>2</v>
      </c>
      <c r="Q6468" t="s">
        <v>8000</v>
      </c>
    </row>
    <row r="6469" spans="1:17" x14ac:dyDescent="0.2">
      <c r="A6469" t="s">
        <v>5614</v>
      </c>
      <c r="B6469" t="s">
        <v>5615</v>
      </c>
      <c r="C6469">
        <v>5</v>
      </c>
      <c r="D6469" t="s">
        <v>5627</v>
      </c>
      <c r="E6469" s="8" t="s">
        <v>5152</v>
      </c>
      <c r="F6469" t="s">
        <v>1559</v>
      </c>
      <c r="G6469">
        <v>7</v>
      </c>
      <c r="M6469">
        <v>5</v>
      </c>
    </row>
    <row r="6470" spans="1:17" x14ac:dyDescent="0.2">
      <c r="A6470" t="s">
        <v>5614</v>
      </c>
      <c r="B6470" t="s">
        <v>5615</v>
      </c>
      <c r="C6470">
        <v>5</v>
      </c>
      <c r="D6470" t="s">
        <v>5627</v>
      </c>
      <c r="E6470" t="s">
        <v>5056</v>
      </c>
      <c r="F6470" t="s">
        <v>1559</v>
      </c>
      <c r="G6470">
        <v>9</v>
      </c>
    </row>
    <row r="6471" spans="1:17" x14ac:dyDescent="0.2">
      <c r="A6471" t="s">
        <v>5614</v>
      </c>
      <c r="B6471" t="s">
        <v>5615</v>
      </c>
      <c r="C6471">
        <v>5</v>
      </c>
      <c r="D6471" t="s">
        <v>5627</v>
      </c>
      <c r="E6471" s="8" t="s">
        <v>5089</v>
      </c>
      <c r="F6471" t="s">
        <v>1538</v>
      </c>
      <c r="G6471">
        <v>29</v>
      </c>
      <c r="Q6471" t="s">
        <v>8016</v>
      </c>
    </row>
    <row r="6472" spans="1:17" x14ac:dyDescent="0.2">
      <c r="A6472" t="s">
        <v>5614</v>
      </c>
      <c r="B6472" t="s">
        <v>5615</v>
      </c>
      <c r="C6472">
        <v>5</v>
      </c>
      <c r="D6472" t="s">
        <v>5627</v>
      </c>
      <c r="E6472" s="8" t="s">
        <v>5090</v>
      </c>
      <c r="F6472" t="s">
        <v>1538</v>
      </c>
      <c r="G6472">
        <v>10</v>
      </c>
      <c r="Q6472" t="s">
        <v>8014</v>
      </c>
    </row>
    <row r="6473" spans="1:17" x14ac:dyDescent="0.2">
      <c r="A6473" t="s">
        <v>5614</v>
      </c>
      <c r="B6473" t="s">
        <v>5615</v>
      </c>
      <c r="C6473">
        <v>5</v>
      </c>
      <c r="D6473" t="s">
        <v>5627</v>
      </c>
      <c r="E6473" s="8" t="s">
        <v>5091</v>
      </c>
      <c r="F6473" t="s">
        <v>1538</v>
      </c>
      <c r="G6473">
        <v>4</v>
      </c>
      <c r="Q6473" t="s">
        <v>8013</v>
      </c>
    </row>
    <row r="6474" spans="1:17" x14ac:dyDescent="0.2">
      <c r="A6474" t="s">
        <v>5614</v>
      </c>
      <c r="B6474" t="s">
        <v>5615</v>
      </c>
      <c r="C6474">
        <v>5</v>
      </c>
      <c r="D6474" t="s">
        <v>5627</v>
      </c>
      <c r="E6474" s="8" t="s">
        <v>5092</v>
      </c>
      <c r="F6474" t="s">
        <v>1538</v>
      </c>
      <c r="G6474">
        <v>16</v>
      </c>
      <c r="Q6474" t="s">
        <v>8015</v>
      </c>
    </row>
    <row r="6475" spans="1:17" x14ac:dyDescent="0.2">
      <c r="A6475" t="s">
        <v>5614</v>
      </c>
      <c r="B6475" t="s">
        <v>5615</v>
      </c>
      <c r="C6475">
        <v>5</v>
      </c>
      <c r="D6475" t="s">
        <v>5627</v>
      </c>
      <c r="E6475" s="8" t="s">
        <v>5094</v>
      </c>
      <c r="F6475" t="s">
        <v>1538</v>
      </c>
      <c r="G6475">
        <v>4</v>
      </c>
      <c r="Q6475" t="s">
        <v>8012</v>
      </c>
    </row>
    <row r="6476" spans="1:17" x14ac:dyDescent="0.2">
      <c r="A6476" t="s">
        <v>5614</v>
      </c>
      <c r="B6476" t="s">
        <v>5615</v>
      </c>
      <c r="C6476">
        <v>5</v>
      </c>
      <c r="D6476" t="s">
        <v>5627</v>
      </c>
      <c r="E6476" s="8" t="s">
        <v>5097</v>
      </c>
      <c r="F6476" t="s">
        <v>1538</v>
      </c>
      <c r="G6476">
        <v>69</v>
      </c>
      <c r="M6476">
        <v>5</v>
      </c>
    </row>
    <row r="6477" spans="1:17" x14ac:dyDescent="0.2">
      <c r="A6477" t="s">
        <v>5614</v>
      </c>
      <c r="B6477" t="s">
        <v>5615</v>
      </c>
      <c r="C6477">
        <v>5</v>
      </c>
      <c r="D6477" t="s">
        <v>5627</v>
      </c>
      <c r="E6477" t="s">
        <v>5056</v>
      </c>
      <c r="F6477" t="s">
        <v>1538</v>
      </c>
      <c r="G6477">
        <v>92</v>
      </c>
      <c r="M6477">
        <v>9</v>
      </c>
    </row>
    <row r="6478" spans="1:17" x14ac:dyDescent="0.2">
      <c r="A6478" t="s">
        <v>5614</v>
      </c>
      <c r="B6478" t="s">
        <v>5615</v>
      </c>
      <c r="C6478">
        <v>5</v>
      </c>
      <c r="D6478" t="s">
        <v>5627</v>
      </c>
      <c r="E6478" s="8" t="s">
        <v>5166</v>
      </c>
      <c r="F6478" t="s">
        <v>1538</v>
      </c>
      <c r="G6478">
        <v>2</v>
      </c>
      <c r="Q6478" t="s">
        <v>8018</v>
      </c>
    </row>
    <row r="6479" spans="1:17" x14ac:dyDescent="0.2">
      <c r="A6479" t="s">
        <v>5614</v>
      </c>
      <c r="B6479" t="s">
        <v>5615</v>
      </c>
      <c r="C6479">
        <v>5</v>
      </c>
      <c r="D6479" t="s">
        <v>5627</v>
      </c>
      <c r="E6479" s="8" t="s">
        <v>5167</v>
      </c>
      <c r="F6479" t="s">
        <v>1538</v>
      </c>
      <c r="G6479">
        <v>1</v>
      </c>
      <c r="Q6479" t="s">
        <v>8020</v>
      </c>
    </row>
    <row r="6480" spans="1:17" x14ac:dyDescent="0.2">
      <c r="A6480" t="s">
        <v>5614</v>
      </c>
      <c r="B6480" t="s">
        <v>5615</v>
      </c>
      <c r="C6480">
        <v>5</v>
      </c>
      <c r="D6480" t="s">
        <v>5627</v>
      </c>
      <c r="E6480" s="8" t="s">
        <v>5098</v>
      </c>
      <c r="F6480" t="s">
        <v>1538</v>
      </c>
      <c r="G6480">
        <v>3</v>
      </c>
      <c r="Q6480" t="s">
        <v>8017</v>
      </c>
    </row>
    <row r="6481" spans="1:17" x14ac:dyDescent="0.2">
      <c r="A6481" t="s">
        <v>5614</v>
      </c>
      <c r="B6481" t="s">
        <v>5615</v>
      </c>
      <c r="C6481">
        <v>5</v>
      </c>
      <c r="D6481" t="s">
        <v>5627</v>
      </c>
      <c r="E6481" s="8" t="s">
        <v>5153</v>
      </c>
      <c r="F6481" t="s">
        <v>6239</v>
      </c>
      <c r="G6481">
        <v>1</v>
      </c>
      <c r="O6481" t="s">
        <v>8019</v>
      </c>
      <c r="Q6481" t="s">
        <v>8021</v>
      </c>
    </row>
    <row r="6482" spans="1:17" x14ac:dyDescent="0.2">
      <c r="A6482" t="s">
        <v>5614</v>
      </c>
      <c r="B6482" t="s">
        <v>5615</v>
      </c>
      <c r="C6482">
        <v>5</v>
      </c>
      <c r="D6482" t="s">
        <v>5627</v>
      </c>
      <c r="E6482" s="8" t="s">
        <v>5158</v>
      </c>
      <c r="F6482" t="s">
        <v>6978</v>
      </c>
      <c r="G6482" t="s">
        <v>114</v>
      </c>
      <c r="Q6482" t="s">
        <v>8022</v>
      </c>
    </row>
    <row r="6483" spans="1:17" x14ac:dyDescent="0.2">
      <c r="A6483" t="s">
        <v>5614</v>
      </c>
      <c r="B6483" t="s">
        <v>5615</v>
      </c>
      <c r="C6483">
        <v>5</v>
      </c>
      <c r="D6483" t="s">
        <v>5627</v>
      </c>
      <c r="E6483" s="8" t="s">
        <v>5139</v>
      </c>
      <c r="F6483" t="s">
        <v>3875</v>
      </c>
      <c r="G6483">
        <v>56</v>
      </c>
    </row>
    <row r="6484" spans="1:17" x14ac:dyDescent="0.2">
      <c r="A6484" t="s">
        <v>5614</v>
      </c>
      <c r="B6484" t="s">
        <v>5615</v>
      </c>
      <c r="C6484">
        <v>5</v>
      </c>
      <c r="D6484" t="s">
        <v>5627</v>
      </c>
      <c r="E6484" s="8" t="s">
        <v>5175</v>
      </c>
      <c r="F6484" t="s">
        <v>106</v>
      </c>
      <c r="G6484">
        <v>7</v>
      </c>
    </row>
    <row r="6485" spans="1:17" x14ac:dyDescent="0.2">
      <c r="A6485" t="s">
        <v>5614</v>
      </c>
      <c r="B6485" t="s">
        <v>5615</v>
      </c>
      <c r="C6485">
        <v>5</v>
      </c>
      <c r="D6485" t="s">
        <v>5627</v>
      </c>
      <c r="E6485" s="8" t="s">
        <v>5173</v>
      </c>
      <c r="F6485" t="s">
        <v>5610</v>
      </c>
      <c r="G6485">
        <v>7</v>
      </c>
    </row>
    <row r="6486" spans="1:17" x14ac:dyDescent="0.2">
      <c r="A6486" t="s">
        <v>5614</v>
      </c>
      <c r="B6486" t="s">
        <v>5615</v>
      </c>
      <c r="C6486">
        <v>5</v>
      </c>
      <c r="D6486" t="s">
        <v>5627</v>
      </c>
      <c r="E6486" s="8" t="s">
        <v>5172</v>
      </c>
      <c r="F6486" t="s">
        <v>5641</v>
      </c>
      <c r="G6486">
        <v>2</v>
      </c>
    </row>
    <row r="6487" spans="1:17" x14ac:dyDescent="0.2">
      <c r="A6487" t="s">
        <v>5614</v>
      </c>
      <c r="B6487" t="s">
        <v>5615</v>
      </c>
      <c r="C6487">
        <v>5</v>
      </c>
      <c r="D6487" t="s">
        <v>5627</v>
      </c>
      <c r="E6487" s="8" t="s">
        <v>5174</v>
      </c>
      <c r="F6487" t="s">
        <v>3927</v>
      </c>
      <c r="G6487">
        <v>21</v>
      </c>
    </row>
    <row r="6488" spans="1:17" x14ac:dyDescent="0.2">
      <c r="A6488" t="s">
        <v>5614</v>
      </c>
      <c r="B6488" t="s">
        <v>5615</v>
      </c>
      <c r="C6488">
        <v>5</v>
      </c>
      <c r="D6488" t="s">
        <v>5627</v>
      </c>
      <c r="E6488" s="8" t="s">
        <v>5162</v>
      </c>
      <c r="F6488" t="s">
        <v>3431</v>
      </c>
      <c r="G6488">
        <v>4</v>
      </c>
    </row>
    <row r="6489" spans="1:17" x14ac:dyDescent="0.2">
      <c r="A6489" t="s">
        <v>5614</v>
      </c>
      <c r="B6489" t="s">
        <v>5615</v>
      </c>
      <c r="C6489">
        <v>5</v>
      </c>
      <c r="D6489" t="s">
        <v>5627</v>
      </c>
      <c r="E6489" s="8" t="s">
        <v>5159</v>
      </c>
      <c r="F6489" t="s">
        <v>7138</v>
      </c>
      <c r="G6489">
        <v>3</v>
      </c>
      <c r="M6489">
        <v>2</v>
      </c>
      <c r="Q6489" t="s">
        <v>8023</v>
      </c>
    </row>
    <row r="6490" spans="1:17" x14ac:dyDescent="0.2">
      <c r="A6490" t="s">
        <v>5614</v>
      </c>
      <c r="B6490" t="s">
        <v>5615</v>
      </c>
      <c r="C6490">
        <v>5</v>
      </c>
      <c r="D6490" t="s">
        <v>5627</v>
      </c>
      <c r="E6490" s="8" t="s">
        <v>5161</v>
      </c>
      <c r="F6490" t="s">
        <v>3982</v>
      </c>
      <c r="G6490">
        <v>2</v>
      </c>
    </row>
    <row r="6491" spans="1:17" x14ac:dyDescent="0.2">
      <c r="A6491" t="s">
        <v>5614</v>
      </c>
      <c r="B6491" t="s">
        <v>5615</v>
      </c>
      <c r="C6491">
        <v>5</v>
      </c>
      <c r="D6491" t="s">
        <v>5627</v>
      </c>
      <c r="E6491" s="8" t="s">
        <v>5160</v>
      </c>
      <c r="F6491" t="s">
        <v>6756</v>
      </c>
      <c r="G6491" t="s">
        <v>114</v>
      </c>
    </row>
    <row r="6492" spans="1:17" x14ac:dyDescent="0.2">
      <c r="A6492" t="s">
        <v>5614</v>
      </c>
      <c r="B6492" t="s">
        <v>5615</v>
      </c>
      <c r="C6492">
        <v>6</v>
      </c>
      <c r="D6492" t="s">
        <v>5627</v>
      </c>
      <c r="E6492" s="8" t="s">
        <v>5171</v>
      </c>
      <c r="F6492" t="s">
        <v>6283</v>
      </c>
      <c r="G6492">
        <v>30</v>
      </c>
      <c r="Q6492" t="s">
        <v>8026</v>
      </c>
    </row>
    <row r="6493" spans="1:17" x14ac:dyDescent="0.2">
      <c r="A6493" t="s">
        <v>5614</v>
      </c>
      <c r="B6493" t="s">
        <v>5615</v>
      </c>
      <c r="C6493">
        <v>6</v>
      </c>
      <c r="D6493" t="s">
        <v>5627</v>
      </c>
      <c r="E6493" s="8" t="s">
        <v>5140</v>
      </c>
      <c r="F6493" t="s">
        <v>6283</v>
      </c>
      <c r="G6493">
        <v>3</v>
      </c>
      <c r="Q6493" t="s">
        <v>8028</v>
      </c>
    </row>
    <row r="6494" spans="1:17" x14ac:dyDescent="0.2">
      <c r="A6494" t="s">
        <v>5614</v>
      </c>
      <c r="B6494" t="s">
        <v>5615</v>
      </c>
      <c r="C6494">
        <v>6</v>
      </c>
      <c r="D6494" t="s">
        <v>5627</v>
      </c>
      <c r="E6494" s="8" t="s">
        <v>5141</v>
      </c>
      <c r="F6494" t="s">
        <v>6283</v>
      </c>
      <c r="G6494">
        <v>15</v>
      </c>
      <c r="Q6494" t="s">
        <v>8025</v>
      </c>
    </row>
    <row r="6495" spans="1:17" x14ac:dyDescent="0.2">
      <c r="A6495" t="s">
        <v>5614</v>
      </c>
      <c r="B6495" t="s">
        <v>5615</v>
      </c>
      <c r="C6495">
        <v>6</v>
      </c>
      <c r="D6495" t="s">
        <v>5627</v>
      </c>
      <c r="E6495" s="8" t="s">
        <v>5142</v>
      </c>
      <c r="F6495" t="s">
        <v>6434</v>
      </c>
      <c r="G6495">
        <v>7</v>
      </c>
      <c r="Q6495" t="s">
        <v>8024</v>
      </c>
    </row>
    <row r="6496" spans="1:17" x14ac:dyDescent="0.2">
      <c r="A6496" t="s">
        <v>5614</v>
      </c>
      <c r="B6496" t="s">
        <v>5615</v>
      </c>
      <c r="C6496">
        <v>6</v>
      </c>
      <c r="D6496" t="s">
        <v>5627</v>
      </c>
      <c r="E6496" s="8" t="s">
        <v>5143</v>
      </c>
      <c r="F6496" t="s">
        <v>1425</v>
      </c>
      <c r="G6496">
        <v>5</v>
      </c>
      <c r="Q6496" t="s">
        <v>8027</v>
      </c>
    </row>
    <row r="6497" spans="1:17" x14ac:dyDescent="0.2">
      <c r="A6497" t="s">
        <v>5614</v>
      </c>
      <c r="B6497" t="s">
        <v>5615</v>
      </c>
      <c r="C6497">
        <v>6</v>
      </c>
      <c r="D6497" t="s">
        <v>5627</v>
      </c>
      <c r="E6497" s="8" t="s">
        <v>5144</v>
      </c>
      <c r="F6497" t="s">
        <v>1425</v>
      </c>
      <c r="G6497">
        <v>27</v>
      </c>
      <c r="M6497">
        <v>5</v>
      </c>
    </row>
    <row r="6498" spans="1:17" x14ac:dyDescent="0.2">
      <c r="A6498" t="s">
        <v>5614</v>
      </c>
      <c r="B6498" t="s">
        <v>5615</v>
      </c>
      <c r="C6498">
        <v>6</v>
      </c>
      <c r="D6498" t="s">
        <v>5627</v>
      </c>
      <c r="E6498" t="s">
        <v>5056</v>
      </c>
      <c r="F6498" t="s">
        <v>1425</v>
      </c>
      <c r="G6498">
        <v>458</v>
      </c>
      <c r="M6498">
        <v>86.5</v>
      </c>
    </row>
    <row r="6499" spans="1:17" x14ac:dyDescent="0.2">
      <c r="A6499" t="s">
        <v>5614</v>
      </c>
      <c r="B6499" t="s">
        <v>5615</v>
      </c>
      <c r="C6499">
        <v>6</v>
      </c>
      <c r="D6499" t="s">
        <v>5627</v>
      </c>
      <c r="E6499" s="8" t="s">
        <v>5145</v>
      </c>
      <c r="F6499" t="s">
        <v>1538</v>
      </c>
      <c r="G6499">
        <v>39</v>
      </c>
      <c r="Q6499" t="s">
        <v>8034</v>
      </c>
    </row>
    <row r="6500" spans="1:17" x14ac:dyDescent="0.2">
      <c r="A6500" t="s">
        <v>5614</v>
      </c>
      <c r="B6500" t="s">
        <v>5615</v>
      </c>
      <c r="C6500">
        <v>6</v>
      </c>
      <c r="D6500" t="s">
        <v>5627</v>
      </c>
      <c r="E6500" s="8" t="s">
        <v>5146</v>
      </c>
      <c r="F6500" t="s">
        <v>1538</v>
      </c>
      <c r="G6500">
        <v>25</v>
      </c>
      <c r="Q6500" t="s">
        <v>8033</v>
      </c>
    </row>
    <row r="6501" spans="1:17" x14ac:dyDescent="0.2">
      <c r="A6501" t="s">
        <v>5614</v>
      </c>
      <c r="B6501" t="s">
        <v>5615</v>
      </c>
      <c r="C6501">
        <v>6</v>
      </c>
      <c r="D6501" t="s">
        <v>5627</v>
      </c>
      <c r="E6501" s="8" t="s">
        <v>5147</v>
      </c>
      <c r="F6501" t="s">
        <v>1538</v>
      </c>
      <c r="G6501">
        <v>12</v>
      </c>
      <c r="Q6501" t="s">
        <v>8032</v>
      </c>
    </row>
    <row r="6502" spans="1:17" x14ac:dyDescent="0.2">
      <c r="A6502" t="s">
        <v>5614</v>
      </c>
      <c r="B6502" t="s">
        <v>5615</v>
      </c>
      <c r="C6502">
        <v>6</v>
      </c>
      <c r="D6502" t="s">
        <v>5627</v>
      </c>
      <c r="E6502" s="8" t="s">
        <v>5148</v>
      </c>
      <c r="F6502" t="s">
        <v>1538</v>
      </c>
      <c r="G6502">
        <v>6</v>
      </c>
      <c r="Q6502" t="s">
        <v>8031</v>
      </c>
    </row>
    <row r="6503" spans="1:17" x14ac:dyDescent="0.2">
      <c r="A6503" t="s">
        <v>5614</v>
      </c>
      <c r="B6503" t="s">
        <v>5615</v>
      </c>
      <c r="C6503">
        <v>6</v>
      </c>
      <c r="D6503" t="s">
        <v>5627</v>
      </c>
      <c r="E6503" s="8" t="s">
        <v>5149</v>
      </c>
      <c r="F6503" t="s">
        <v>5647</v>
      </c>
      <c r="G6503" t="s">
        <v>114</v>
      </c>
      <c r="Q6503" t="s">
        <v>8029</v>
      </c>
    </row>
    <row r="6504" spans="1:17" x14ac:dyDescent="0.2">
      <c r="A6504" t="s">
        <v>5614</v>
      </c>
      <c r="B6504" t="s">
        <v>5615</v>
      </c>
      <c r="C6504">
        <v>6</v>
      </c>
      <c r="D6504" t="s">
        <v>5627</v>
      </c>
      <c r="E6504" s="8" t="s">
        <v>5150</v>
      </c>
      <c r="F6504" t="s">
        <v>5647</v>
      </c>
      <c r="G6504" t="s">
        <v>114</v>
      </c>
      <c r="Q6504" t="s">
        <v>8030</v>
      </c>
    </row>
    <row r="6505" spans="1:17" x14ac:dyDescent="0.2">
      <c r="A6505" t="s">
        <v>5614</v>
      </c>
      <c r="B6505" t="s">
        <v>5615</v>
      </c>
      <c r="C6505">
        <v>6</v>
      </c>
      <c r="D6505" t="s">
        <v>5627</v>
      </c>
      <c r="E6505" s="8" t="s">
        <v>5089</v>
      </c>
      <c r="F6505" t="s">
        <v>1389</v>
      </c>
      <c r="G6505">
        <v>11</v>
      </c>
      <c r="Q6505" t="s">
        <v>8042</v>
      </c>
    </row>
    <row r="6506" spans="1:17" x14ac:dyDescent="0.2">
      <c r="A6506" t="s">
        <v>5614</v>
      </c>
      <c r="B6506" t="s">
        <v>5615</v>
      </c>
      <c r="C6506">
        <v>6</v>
      </c>
      <c r="D6506" t="s">
        <v>5627</v>
      </c>
      <c r="E6506" s="8" t="s">
        <v>5090</v>
      </c>
      <c r="F6506" t="s">
        <v>1389</v>
      </c>
      <c r="G6506">
        <v>2</v>
      </c>
      <c r="Q6506" t="s">
        <v>8040</v>
      </c>
    </row>
    <row r="6507" spans="1:17" x14ac:dyDescent="0.2">
      <c r="A6507" t="s">
        <v>5614</v>
      </c>
      <c r="B6507" t="s">
        <v>5615</v>
      </c>
      <c r="C6507">
        <v>6</v>
      </c>
      <c r="D6507" t="s">
        <v>5627</v>
      </c>
      <c r="E6507" s="8" t="s">
        <v>5091</v>
      </c>
      <c r="F6507" t="s">
        <v>1389</v>
      </c>
      <c r="G6507">
        <v>4</v>
      </c>
      <c r="Q6507" t="s">
        <v>8035</v>
      </c>
    </row>
    <row r="6508" spans="1:17" x14ac:dyDescent="0.2">
      <c r="A6508" t="s">
        <v>5614</v>
      </c>
      <c r="B6508" t="s">
        <v>5615</v>
      </c>
      <c r="C6508">
        <v>6</v>
      </c>
      <c r="D6508" t="s">
        <v>5627</v>
      </c>
      <c r="E6508" s="8" t="s">
        <v>5092</v>
      </c>
      <c r="F6508" t="s">
        <v>1389</v>
      </c>
      <c r="G6508">
        <v>5</v>
      </c>
      <c r="Q6508" t="s">
        <v>8041</v>
      </c>
    </row>
    <row r="6509" spans="1:17" x14ac:dyDescent="0.2">
      <c r="A6509" t="s">
        <v>5614</v>
      </c>
      <c r="B6509" t="s">
        <v>5615</v>
      </c>
      <c r="C6509">
        <v>6</v>
      </c>
      <c r="D6509" t="s">
        <v>5627</v>
      </c>
      <c r="E6509" s="8" t="s">
        <v>5094</v>
      </c>
      <c r="F6509" t="s">
        <v>1389</v>
      </c>
      <c r="G6509">
        <v>2</v>
      </c>
      <c r="Q6509" t="s">
        <v>8043</v>
      </c>
    </row>
    <row r="6510" spans="1:17" x14ac:dyDescent="0.2">
      <c r="A6510" t="s">
        <v>5614</v>
      </c>
      <c r="B6510" t="s">
        <v>5615</v>
      </c>
      <c r="C6510">
        <v>6</v>
      </c>
      <c r="D6510" t="s">
        <v>5627</v>
      </c>
      <c r="E6510" s="8" t="s">
        <v>5169</v>
      </c>
      <c r="F6510" t="s">
        <v>1389</v>
      </c>
      <c r="G6510">
        <v>18</v>
      </c>
      <c r="M6510">
        <v>5</v>
      </c>
    </row>
    <row r="6511" spans="1:17" x14ac:dyDescent="0.2">
      <c r="A6511" t="s">
        <v>5614</v>
      </c>
      <c r="B6511" t="s">
        <v>5615</v>
      </c>
      <c r="C6511">
        <v>6</v>
      </c>
      <c r="D6511" t="s">
        <v>5627</v>
      </c>
      <c r="E6511" t="s">
        <v>5056</v>
      </c>
      <c r="F6511" t="s">
        <v>1389</v>
      </c>
      <c r="G6511">
        <v>77</v>
      </c>
      <c r="M6511">
        <v>22</v>
      </c>
    </row>
    <row r="6512" spans="1:17" x14ac:dyDescent="0.2">
      <c r="A6512" t="s">
        <v>5614</v>
      </c>
      <c r="B6512" t="s">
        <v>5615</v>
      </c>
      <c r="C6512">
        <v>6</v>
      </c>
      <c r="D6512" t="s">
        <v>5627</v>
      </c>
      <c r="E6512" s="8" t="s">
        <v>5097</v>
      </c>
      <c r="F6512" t="s">
        <v>5643</v>
      </c>
      <c r="G6512" t="s">
        <v>114</v>
      </c>
      <c r="Q6512" t="s">
        <v>8037</v>
      </c>
    </row>
    <row r="6513" spans="1:17" x14ac:dyDescent="0.2">
      <c r="A6513" t="s">
        <v>5614</v>
      </c>
      <c r="B6513" t="s">
        <v>5615</v>
      </c>
      <c r="C6513">
        <v>6</v>
      </c>
      <c r="D6513" t="s">
        <v>5627</v>
      </c>
      <c r="E6513" s="8" t="s">
        <v>5098</v>
      </c>
      <c r="F6513" t="s">
        <v>1389</v>
      </c>
      <c r="G6513" t="s">
        <v>114</v>
      </c>
      <c r="Q6513" t="s">
        <v>8038</v>
      </c>
    </row>
    <row r="6514" spans="1:17" x14ac:dyDescent="0.2">
      <c r="A6514" t="s">
        <v>5614</v>
      </c>
      <c r="B6514" t="s">
        <v>5615</v>
      </c>
      <c r="C6514">
        <v>6</v>
      </c>
      <c r="D6514" t="s">
        <v>5627</v>
      </c>
      <c r="E6514" s="8" t="s">
        <v>5167</v>
      </c>
      <c r="F6514" t="s">
        <v>1389</v>
      </c>
      <c r="G6514" t="s">
        <v>114</v>
      </c>
      <c r="Q6514" t="s">
        <v>8039</v>
      </c>
    </row>
    <row r="6515" spans="1:17" x14ac:dyDescent="0.2">
      <c r="A6515" t="s">
        <v>5614</v>
      </c>
      <c r="B6515" t="s">
        <v>5615</v>
      </c>
      <c r="C6515">
        <v>6</v>
      </c>
      <c r="D6515" t="s">
        <v>5627</v>
      </c>
      <c r="E6515" s="8" t="s">
        <v>5168</v>
      </c>
      <c r="F6515" t="s">
        <v>1389</v>
      </c>
      <c r="G6515" t="s">
        <v>114</v>
      </c>
      <c r="Q6515" t="s">
        <v>8036</v>
      </c>
    </row>
    <row r="6516" spans="1:17" x14ac:dyDescent="0.2">
      <c r="A6516" t="s">
        <v>5614</v>
      </c>
      <c r="B6516" t="s">
        <v>5615</v>
      </c>
      <c r="C6516">
        <v>6</v>
      </c>
      <c r="D6516" t="s">
        <v>5627</v>
      </c>
      <c r="E6516" s="8" t="s">
        <v>5166</v>
      </c>
      <c r="F6516" t="s">
        <v>1559</v>
      </c>
      <c r="G6516">
        <v>1</v>
      </c>
      <c r="Q6516" t="s">
        <v>8044</v>
      </c>
    </row>
    <row r="6517" spans="1:17" x14ac:dyDescent="0.2">
      <c r="A6517" t="s">
        <v>5614</v>
      </c>
      <c r="B6517" t="s">
        <v>5615</v>
      </c>
      <c r="C6517">
        <v>6</v>
      </c>
      <c r="D6517" t="s">
        <v>5627</v>
      </c>
      <c r="E6517" s="8" t="s">
        <v>5227</v>
      </c>
      <c r="F6517" t="s">
        <v>1559</v>
      </c>
      <c r="G6517">
        <v>1</v>
      </c>
      <c r="O6517" t="s">
        <v>5650</v>
      </c>
    </row>
    <row r="6518" spans="1:17" x14ac:dyDescent="0.2">
      <c r="A6518" t="s">
        <v>5614</v>
      </c>
      <c r="B6518" t="s">
        <v>5615</v>
      </c>
      <c r="C6518">
        <v>6</v>
      </c>
      <c r="D6518" t="s">
        <v>5627</v>
      </c>
      <c r="E6518" s="8" t="s">
        <v>5226</v>
      </c>
      <c r="F6518" t="s">
        <v>1559</v>
      </c>
      <c r="G6518">
        <v>1</v>
      </c>
      <c r="O6518" t="s">
        <v>5650</v>
      </c>
    </row>
    <row r="6519" spans="1:17" x14ac:dyDescent="0.2">
      <c r="A6519" t="s">
        <v>5614</v>
      </c>
      <c r="B6519" t="s">
        <v>5615</v>
      </c>
      <c r="C6519">
        <v>6</v>
      </c>
      <c r="D6519" t="s">
        <v>5627</v>
      </c>
      <c r="E6519" s="8" t="s">
        <v>5225</v>
      </c>
      <c r="F6519" t="s">
        <v>1559</v>
      </c>
      <c r="G6519">
        <v>1</v>
      </c>
      <c r="O6519" t="s">
        <v>5650</v>
      </c>
    </row>
    <row r="6520" spans="1:17" x14ac:dyDescent="0.2">
      <c r="A6520" t="s">
        <v>5614</v>
      </c>
      <c r="B6520" t="s">
        <v>5615</v>
      </c>
      <c r="C6520">
        <v>6</v>
      </c>
      <c r="D6520" t="s">
        <v>5627</v>
      </c>
      <c r="E6520" s="8" t="s">
        <v>5228</v>
      </c>
      <c r="F6520" t="s">
        <v>1559</v>
      </c>
      <c r="G6520">
        <v>9</v>
      </c>
      <c r="M6520">
        <v>7</v>
      </c>
      <c r="O6520" t="s">
        <v>5650</v>
      </c>
    </row>
    <row r="6521" spans="1:17" x14ac:dyDescent="0.2">
      <c r="A6521" t="s">
        <v>5614</v>
      </c>
      <c r="B6521" t="s">
        <v>5615</v>
      </c>
      <c r="C6521">
        <v>6</v>
      </c>
      <c r="D6521" t="s">
        <v>5627</v>
      </c>
      <c r="E6521" s="8" t="s">
        <v>5081</v>
      </c>
      <c r="F6521" t="s">
        <v>1264</v>
      </c>
      <c r="G6521">
        <v>920</v>
      </c>
      <c r="O6521" t="s">
        <v>5264</v>
      </c>
    </row>
    <row r="6522" spans="1:17" x14ac:dyDescent="0.2">
      <c r="A6522" t="s">
        <v>5614</v>
      </c>
      <c r="B6522" t="s">
        <v>5615</v>
      </c>
      <c r="C6522">
        <v>6</v>
      </c>
      <c r="D6522" t="s">
        <v>5627</v>
      </c>
      <c r="E6522" s="8" t="s">
        <v>5170</v>
      </c>
      <c r="F6522" t="s">
        <v>5385</v>
      </c>
      <c r="G6522">
        <v>3</v>
      </c>
      <c r="Q6522" t="s">
        <v>8045</v>
      </c>
    </row>
    <row r="6523" spans="1:17" x14ac:dyDescent="0.2">
      <c r="A6523" t="s">
        <v>5614</v>
      </c>
      <c r="B6523" t="s">
        <v>5615</v>
      </c>
      <c r="C6523">
        <v>6</v>
      </c>
      <c r="D6523" t="s">
        <v>5627</v>
      </c>
      <c r="E6523" s="8" t="s">
        <v>5082</v>
      </c>
      <c r="F6523" t="s">
        <v>504</v>
      </c>
      <c r="H6523">
        <f>3.3-0.344</f>
        <v>2.956</v>
      </c>
      <c r="O6523" t="s">
        <v>5649</v>
      </c>
    </row>
    <row r="6524" spans="1:17" x14ac:dyDescent="0.2">
      <c r="A6524" t="s">
        <v>5614</v>
      </c>
      <c r="B6524" t="s">
        <v>5615</v>
      </c>
      <c r="C6524">
        <v>6</v>
      </c>
      <c r="D6524" t="s">
        <v>5627</v>
      </c>
      <c r="E6524" s="8" t="s">
        <v>5151</v>
      </c>
      <c r="F6524" t="s">
        <v>6862</v>
      </c>
      <c r="G6524">
        <v>2</v>
      </c>
      <c r="Q6524" t="s">
        <v>8054</v>
      </c>
    </row>
    <row r="6525" spans="1:17" x14ac:dyDescent="0.2">
      <c r="A6525" t="s">
        <v>5614</v>
      </c>
      <c r="B6525" t="s">
        <v>5615</v>
      </c>
      <c r="C6525">
        <v>6</v>
      </c>
      <c r="D6525" t="s">
        <v>5627</v>
      </c>
      <c r="E6525" s="8" t="s">
        <v>5152</v>
      </c>
      <c r="F6525" t="s">
        <v>6815</v>
      </c>
      <c r="G6525">
        <v>2</v>
      </c>
      <c r="Q6525" t="s">
        <v>8053</v>
      </c>
    </row>
    <row r="6526" spans="1:17" x14ac:dyDescent="0.2">
      <c r="A6526" t="s">
        <v>5614</v>
      </c>
      <c r="B6526" t="s">
        <v>5615</v>
      </c>
      <c r="C6526">
        <v>6</v>
      </c>
      <c r="D6526" t="s">
        <v>5627</v>
      </c>
      <c r="E6526" s="8" t="s">
        <v>5153</v>
      </c>
      <c r="F6526" t="s">
        <v>6978</v>
      </c>
      <c r="G6526">
        <v>1</v>
      </c>
      <c r="Q6526" t="s">
        <v>8052</v>
      </c>
    </row>
    <row r="6527" spans="1:17" x14ac:dyDescent="0.2">
      <c r="A6527" t="s">
        <v>5614</v>
      </c>
      <c r="B6527" t="s">
        <v>5615</v>
      </c>
      <c r="C6527">
        <v>6</v>
      </c>
      <c r="D6527" t="s">
        <v>5627</v>
      </c>
      <c r="E6527" s="8" t="s">
        <v>5154</v>
      </c>
      <c r="F6527" t="s">
        <v>6978</v>
      </c>
      <c r="G6527" t="s">
        <v>114</v>
      </c>
      <c r="Q6527" t="s">
        <v>8050</v>
      </c>
    </row>
    <row r="6528" spans="1:17" x14ac:dyDescent="0.2">
      <c r="A6528" t="s">
        <v>5614</v>
      </c>
      <c r="B6528" t="s">
        <v>5615</v>
      </c>
      <c r="C6528">
        <v>6</v>
      </c>
      <c r="D6528" t="s">
        <v>5627</v>
      </c>
      <c r="E6528" s="8" t="s">
        <v>5155</v>
      </c>
      <c r="F6528" t="s">
        <v>6978</v>
      </c>
      <c r="G6528" t="s">
        <v>114</v>
      </c>
      <c r="Q6528" t="s">
        <v>8051</v>
      </c>
    </row>
    <row r="6529" spans="1:17" x14ac:dyDescent="0.2">
      <c r="A6529" t="s">
        <v>5614</v>
      </c>
      <c r="B6529" t="s">
        <v>5615</v>
      </c>
      <c r="C6529">
        <v>6</v>
      </c>
      <c r="D6529" t="s">
        <v>5627</v>
      </c>
      <c r="E6529" s="8" t="s">
        <v>5156</v>
      </c>
      <c r="F6529" t="s">
        <v>6978</v>
      </c>
      <c r="G6529">
        <v>2</v>
      </c>
      <c r="M6529">
        <v>4</v>
      </c>
    </row>
    <row r="6530" spans="1:17" x14ac:dyDescent="0.2">
      <c r="A6530" t="s">
        <v>5614</v>
      </c>
      <c r="B6530" t="s">
        <v>5615</v>
      </c>
      <c r="C6530">
        <v>6</v>
      </c>
      <c r="D6530" t="s">
        <v>5627</v>
      </c>
      <c r="E6530" s="8" t="s">
        <v>5157</v>
      </c>
      <c r="F6530" t="s">
        <v>6239</v>
      </c>
      <c r="G6530">
        <v>1</v>
      </c>
      <c r="Q6530" t="s">
        <v>8049</v>
      </c>
    </row>
    <row r="6531" spans="1:17" x14ac:dyDescent="0.2">
      <c r="A6531" t="s">
        <v>5614</v>
      </c>
      <c r="B6531" t="s">
        <v>5615</v>
      </c>
      <c r="C6531">
        <v>6</v>
      </c>
      <c r="D6531" t="s">
        <v>5627</v>
      </c>
      <c r="E6531" s="8" t="s">
        <v>5158</v>
      </c>
      <c r="F6531" t="s">
        <v>6239</v>
      </c>
      <c r="G6531" t="s">
        <v>114</v>
      </c>
      <c r="Q6531" t="s">
        <v>8047</v>
      </c>
    </row>
    <row r="6532" spans="1:17" x14ac:dyDescent="0.2">
      <c r="A6532" t="s">
        <v>5614</v>
      </c>
      <c r="B6532" t="s">
        <v>5615</v>
      </c>
      <c r="C6532">
        <v>6</v>
      </c>
      <c r="D6532" t="s">
        <v>5627</v>
      </c>
      <c r="E6532" s="8" t="s">
        <v>5172</v>
      </c>
      <c r="F6532" t="s">
        <v>6239</v>
      </c>
      <c r="G6532">
        <v>1</v>
      </c>
    </row>
    <row r="6533" spans="1:17" x14ac:dyDescent="0.2">
      <c r="A6533" t="s">
        <v>5614</v>
      </c>
      <c r="B6533" t="s">
        <v>5615</v>
      </c>
      <c r="C6533">
        <v>6</v>
      </c>
      <c r="D6533" t="s">
        <v>5627</v>
      </c>
      <c r="E6533" s="8" t="s">
        <v>5173</v>
      </c>
      <c r="F6533" t="s">
        <v>6239</v>
      </c>
      <c r="G6533" t="s">
        <v>114</v>
      </c>
      <c r="Q6533" t="s">
        <v>8048</v>
      </c>
    </row>
    <row r="6534" spans="1:17" x14ac:dyDescent="0.2">
      <c r="A6534" t="s">
        <v>5614</v>
      </c>
      <c r="B6534" t="s">
        <v>5615</v>
      </c>
      <c r="C6534">
        <v>6</v>
      </c>
      <c r="D6534" t="s">
        <v>5627</v>
      </c>
      <c r="E6534" s="8" t="s">
        <v>5174</v>
      </c>
      <c r="F6534" t="s">
        <v>6239</v>
      </c>
      <c r="G6534">
        <v>1</v>
      </c>
      <c r="Q6534" t="s">
        <v>8046</v>
      </c>
    </row>
    <row r="6535" spans="1:17" x14ac:dyDescent="0.2">
      <c r="A6535" t="s">
        <v>5614</v>
      </c>
      <c r="B6535" t="s">
        <v>5615</v>
      </c>
      <c r="C6535">
        <v>6</v>
      </c>
      <c r="D6535" t="s">
        <v>5627</v>
      </c>
      <c r="E6535" s="8" t="s">
        <v>5175</v>
      </c>
      <c r="F6535" t="s">
        <v>6239</v>
      </c>
      <c r="G6535">
        <v>2</v>
      </c>
      <c r="M6535">
        <v>3</v>
      </c>
    </row>
    <row r="6536" spans="1:17" x14ac:dyDescent="0.2">
      <c r="A6536" t="s">
        <v>5614</v>
      </c>
      <c r="B6536" t="s">
        <v>5615</v>
      </c>
      <c r="C6536">
        <v>6</v>
      </c>
      <c r="D6536" t="s">
        <v>5627</v>
      </c>
      <c r="E6536" s="8" t="s">
        <v>5139</v>
      </c>
      <c r="F6536" t="s">
        <v>7138</v>
      </c>
      <c r="G6536">
        <v>69</v>
      </c>
      <c r="Q6536" t="s">
        <v>8055</v>
      </c>
    </row>
    <row r="6537" spans="1:17" x14ac:dyDescent="0.2">
      <c r="A6537" t="s">
        <v>5614</v>
      </c>
      <c r="B6537" t="s">
        <v>5615</v>
      </c>
      <c r="C6537">
        <v>6</v>
      </c>
      <c r="D6537" t="s">
        <v>5627</v>
      </c>
      <c r="E6537" s="8" t="s">
        <v>5162</v>
      </c>
      <c r="F6537" t="s">
        <v>6969</v>
      </c>
      <c r="G6537">
        <v>21</v>
      </c>
      <c r="Q6537" t="s">
        <v>8056</v>
      </c>
    </row>
    <row r="6538" spans="1:17" x14ac:dyDescent="0.2">
      <c r="A6538" t="s">
        <v>5614</v>
      </c>
      <c r="B6538" t="s">
        <v>5615</v>
      </c>
      <c r="C6538">
        <v>6</v>
      </c>
      <c r="D6538" t="s">
        <v>5627</v>
      </c>
      <c r="E6538" s="8" t="s">
        <v>5160</v>
      </c>
      <c r="F6538" t="s">
        <v>7138</v>
      </c>
      <c r="G6538">
        <v>3</v>
      </c>
      <c r="M6538">
        <v>2</v>
      </c>
      <c r="Q6538" t="s">
        <v>8057</v>
      </c>
    </row>
    <row r="6539" spans="1:17" x14ac:dyDescent="0.2">
      <c r="A6539" t="s">
        <v>5614</v>
      </c>
      <c r="B6539" t="s">
        <v>5615</v>
      </c>
      <c r="C6539">
        <v>6</v>
      </c>
      <c r="D6539" t="s">
        <v>5627</v>
      </c>
      <c r="E6539" s="8" t="s">
        <v>5161</v>
      </c>
      <c r="F6539" t="s">
        <v>112</v>
      </c>
      <c r="G6539">
        <v>8</v>
      </c>
      <c r="M6539">
        <v>7</v>
      </c>
      <c r="Q6539" t="s">
        <v>8058</v>
      </c>
    </row>
    <row r="6540" spans="1:17" x14ac:dyDescent="0.2">
      <c r="A6540" t="s">
        <v>5614</v>
      </c>
      <c r="B6540" t="s">
        <v>5615</v>
      </c>
      <c r="C6540">
        <v>6</v>
      </c>
      <c r="D6540" t="s">
        <v>5627</v>
      </c>
      <c r="E6540" s="8" t="s">
        <v>5159</v>
      </c>
      <c r="F6540" t="s">
        <v>2818</v>
      </c>
      <c r="G6540">
        <v>45</v>
      </c>
      <c r="M6540">
        <v>3</v>
      </c>
    </row>
    <row r="6541" spans="1:17" x14ac:dyDescent="0.2">
      <c r="A6541" t="s">
        <v>5614</v>
      </c>
      <c r="B6541" t="s">
        <v>5615</v>
      </c>
      <c r="C6541">
        <v>6</v>
      </c>
      <c r="D6541" t="s">
        <v>5627</v>
      </c>
      <c r="E6541" s="8" t="s">
        <v>5189</v>
      </c>
      <c r="F6541" t="s">
        <v>2218</v>
      </c>
      <c r="G6541">
        <v>29</v>
      </c>
    </row>
    <row r="6542" spans="1:17" x14ac:dyDescent="0.2">
      <c r="A6542" t="s">
        <v>5614</v>
      </c>
      <c r="B6542" t="s">
        <v>5615</v>
      </c>
      <c r="C6542">
        <v>6</v>
      </c>
      <c r="D6542" t="s">
        <v>5627</v>
      </c>
      <c r="E6542" s="8" t="s">
        <v>5182</v>
      </c>
      <c r="F6542" t="s">
        <v>5648</v>
      </c>
      <c r="G6542">
        <v>12</v>
      </c>
    </row>
    <row r="6543" spans="1:17" x14ac:dyDescent="0.2">
      <c r="A6543" t="s">
        <v>5614</v>
      </c>
      <c r="B6543" t="s">
        <v>5615</v>
      </c>
      <c r="C6543">
        <v>6</v>
      </c>
      <c r="D6543" t="s">
        <v>5627</v>
      </c>
      <c r="E6543" s="8" t="s">
        <v>5187</v>
      </c>
      <c r="F6543" t="s">
        <v>106</v>
      </c>
      <c r="G6543">
        <v>7</v>
      </c>
    </row>
    <row r="6544" spans="1:17" x14ac:dyDescent="0.2">
      <c r="A6544" t="s">
        <v>5614</v>
      </c>
      <c r="B6544" t="s">
        <v>5615</v>
      </c>
      <c r="C6544">
        <v>6</v>
      </c>
      <c r="D6544" t="s">
        <v>5627</v>
      </c>
      <c r="E6544" s="8" t="s">
        <v>5186</v>
      </c>
      <c r="F6544" t="s">
        <v>5641</v>
      </c>
      <c r="G6544" t="s">
        <v>114</v>
      </c>
    </row>
    <row r="6545" spans="1:17" x14ac:dyDescent="0.2">
      <c r="A6545" t="s">
        <v>5614</v>
      </c>
      <c r="B6545" t="s">
        <v>5615</v>
      </c>
      <c r="C6545">
        <v>6</v>
      </c>
      <c r="D6545" t="s">
        <v>5627</v>
      </c>
      <c r="E6545" s="8" t="s">
        <v>5223</v>
      </c>
      <c r="F6545" t="s">
        <v>5610</v>
      </c>
      <c r="G6545">
        <v>2</v>
      </c>
    </row>
    <row r="6546" spans="1:17" x14ac:dyDescent="0.2">
      <c r="A6546" t="s">
        <v>5614</v>
      </c>
      <c r="B6546" t="s">
        <v>5615</v>
      </c>
      <c r="C6546">
        <v>6</v>
      </c>
      <c r="D6546" t="s">
        <v>5627</v>
      </c>
      <c r="E6546" s="8" t="s">
        <v>5185</v>
      </c>
      <c r="F6546" t="s">
        <v>3875</v>
      </c>
      <c r="G6546">
        <v>2</v>
      </c>
    </row>
    <row r="6547" spans="1:17" x14ac:dyDescent="0.2">
      <c r="A6547" t="s">
        <v>5614</v>
      </c>
      <c r="B6547" t="s">
        <v>5615</v>
      </c>
      <c r="C6547">
        <v>6</v>
      </c>
      <c r="D6547" t="s">
        <v>5627</v>
      </c>
      <c r="E6547" s="8" t="s">
        <v>5188</v>
      </c>
      <c r="F6547" t="s">
        <v>3982</v>
      </c>
      <c r="G6547">
        <v>4</v>
      </c>
    </row>
    <row r="6548" spans="1:17" x14ac:dyDescent="0.2">
      <c r="A6548" t="s">
        <v>5614</v>
      </c>
      <c r="B6548" t="s">
        <v>5615</v>
      </c>
      <c r="C6548">
        <v>6</v>
      </c>
      <c r="D6548" t="s">
        <v>5627</v>
      </c>
      <c r="E6548" s="8" t="s">
        <v>5183</v>
      </c>
      <c r="F6548" t="s">
        <v>2836</v>
      </c>
      <c r="G6548">
        <v>2</v>
      </c>
    </row>
    <row r="6549" spans="1:17" x14ac:dyDescent="0.2">
      <c r="A6549" t="s">
        <v>5614</v>
      </c>
      <c r="B6549" t="s">
        <v>5615</v>
      </c>
      <c r="C6549">
        <v>6</v>
      </c>
      <c r="D6549" t="s">
        <v>5627</v>
      </c>
      <c r="E6549" s="8" t="s">
        <v>5184</v>
      </c>
      <c r="F6549" t="s">
        <v>3927</v>
      </c>
      <c r="G6549">
        <v>24</v>
      </c>
    </row>
    <row r="6550" spans="1:17" x14ac:dyDescent="0.2">
      <c r="A6550" t="s">
        <v>5614</v>
      </c>
      <c r="B6550" t="s">
        <v>5615</v>
      </c>
      <c r="C6550">
        <v>1</v>
      </c>
      <c r="D6550" t="s">
        <v>5627</v>
      </c>
      <c r="E6550" s="8" t="s">
        <v>5081</v>
      </c>
      <c r="F6550" t="s">
        <v>112</v>
      </c>
      <c r="G6550">
        <v>246</v>
      </c>
    </row>
    <row r="6551" spans="1:17" x14ac:dyDescent="0.2">
      <c r="A6551" t="s">
        <v>5614</v>
      </c>
      <c r="B6551" t="s">
        <v>5615</v>
      </c>
      <c r="C6551">
        <v>1</v>
      </c>
      <c r="D6551" t="s">
        <v>5627</v>
      </c>
      <c r="E6551" t="s">
        <v>5854</v>
      </c>
      <c r="F6551" t="s">
        <v>2185</v>
      </c>
      <c r="H6551">
        <f>3.3-0.345</f>
        <v>2.9550000000000001</v>
      </c>
    </row>
    <row r="6552" spans="1:17" x14ac:dyDescent="0.2">
      <c r="A6552" t="s">
        <v>5614</v>
      </c>
      <c r="B6552" t="s">
        <v>5615</v>
      </c>
      <c r="C6552">
        <v>1</v>
      </c>
      <c r="D6552" t="s">
        <v>5627</v>
      </c>
      <c r="E6552" s="8" t="s">
        <v>5082</v>
      </c>
      <c r="F6552" t="s">
        <v>2684</v>
      </c>
      <c r="G6552">
        <v>57</v>
      </c>
    </row>
    <row r="6553" spans="1:17" x14ac:dyDescent="0.2">
      <c r="A6553" t="s">
        <v>5614</v>
      </c>
      <c r="B6553" t="s">
        <v>5615</v>
      </c>
      <c r="C6553">
        <v>1</v>
      </c>
      <c r="D6553" t="s">
        <v>5627</v>
      </c>
      <c r="E6553" t="s">
        <v>5056</v>
      </c>
      <c r="F6553" t="s">
        <v>1264</v>
      </c>
      <c r="H6553">
        <f>28.2-1.8</f>
        <v>26.4</v>
      </c>
    </row>
    <row r="6554" spans="1:17" x14ac:dyDescent="0.2">
      <c r="A6554" t="s">
        <v>5614</v>
      </c>
      <c r="B6554" t="s">
        <v>5615</v>
      </c>
      <c r="C6554">
        <v>1</v>
      </c>
      <c r="D6554" t="s">
        <v>5627</v>
      </c>
      <c r="E6554" t="s">
        <v>5056</v>
      </c>
      <c r="F6554" t="s">
        <v>5652</v>
      </c>
      <c r="H6554">
        <f>1.56-0.328</f>
        <v>1.232</v>
      </c>
    </row>
    <row r="6555" spans="1:17" x14ac:dyDescent="0.2">
      <c r="A6555" t="s">
        <v>5614</v>
      </c>
      <c r="B6555" t="s">
        <v>5615</v>
      </c>
      <c r="C6555">
        <v>1</v>
      </c>
      <c r="D6555" t="s">
        <v>5627</v>
      </c>
      <c r="E6555" s="8" t="s">
        <v>5089</v>
      </c>
      <c r="F6555" t="s">
        <v>5651</v>
      </c>
      <c r="G6555">
        <v>325</v>
      </c>
    </row>
    <row r="6556" spans="1:17" x14ac:dyDescent="0.2">
      <c r="A6556" t="s">
        <v>5614</v>
      </c>
      <c r="B6556" t="s">
        <v>5615</v>
      </c>
      <c r="C6556" t="s">
        <v>462</v>
      </c>
      <c r="D6556" t="s">
        <v>5627</v>
      </c>
      <c r="E6556" t="s">
        <v>5056</v>
      </c>
      <c r="F6556" t="s">
        <v>5267</v>
      </c>
      <c r="G6556">
        <v>4</v>
      </c>
    </row>
    <row r="6557" spans="1:17" x14ac:dyDescent="0.2">
      <c r="A6557" t="s">
        <v>5614</v>
      </c>
      <c r="B6557" t="s">
        <v>5615</v>
      </c>
      <c r="C6557" t="s">
        <v>462</v>
      </c>
      <c r="D6557" t="s">
        <v>5627</v>
      </c>
      <c r="E6557" t="s">
        <v>5056</v>
      </c>
      <c r="F6557" t="s">
        <v>1425</v>
      </c>
      <c r="G6557">
        <v>3</v>
      </c>
    </row>
    <row r="6558" spans="1:17" s="12" customFormat="1" x14ac:dyDescent="0.2">
      <c r="B6558" s="12" t="s">
        <v>5789</v>
      </c>
      <c r="C6558" s="12">
        <v>2</v>
      </c>
      <c r="D6558" s="12" t="s">
        <v>5708</v>
      </c>
      <c r="E6558" s="43" t="s">
        <v>5081</v>
      </c>
      <c r="F6558" s="12" t="s">
        <v>5349</v>
      </c>
      <c r="G6558" s="12">
        <v>123</v>
      </c>
      <c r="I6558" s="15"/>
      <c r="J6558" s="15"/>
      <c r="K6558" s="15"/>
      <c r="L6558" s="15"/>
      <c r="Q6558" s="12" t="s">
        <v>8066</v>
      </c>
    </row>
    <row r="6559" spans="1:17" x14ac:dyDescent="0.2">
      <c r="B6559" t="s">
        <v>5789</v>
      </c>
      <c r="C6559">
        <v>2</v>
      </c>
      <c r="D6559" t="s">
        <v>5708</v>
      </c>
      <c r="E6559" s="8" t="s">
        <v>5082</v>
      </c>
      <c r="F6559" t="s">
        <v>5349</v>
      </c>
      <c r="G6559">
        <v>30</v>
      </c>
      <c r="Q6559" t="s">
        <v>8067</v>
      </c>
    </row>
    <row r="6560" spans="1:17" x14ac:dyDescent="0.2">
      <c r="B6560" t="s">
        <v>5789</v>
      </c>
      <c r="C6560">
        <v>2</v>
      </c>
      <c r="D6560" t="s">
        <v>5708</v>
      </c>
      <c r="E6560" s="8" t="s">
        <v>5089</v>
      </c>
      <c r="F6560" t="s">
        <v>6231</v>
      </c>
      <c r="G6560">
        <v>26</v>
      </c>
      <c r="Q6560" t="s">
        <v>8065</v>
      </c>
    </row>
    <row r="6561" spans="2:17" x14ac:dyDescent="0.2">
      <c r="B6561" t="s">
        <v>5789</v>
      </c>
      <c r="C6561">
        <v>2</v>
      </c>
      <c r="D6561" t="s">
        <v>5708</v>
      </c>
      <c r="E6561" s="8" t="s">
        <v>5090</v>
      </c>
      <c r="F6561" t="s">
        <v>6231</v>
      </c>
      <c r="G6561">
        <v>17</v>
      </c>
      <c r="Q6561" t="s">
        <v>8064</v>
      </c>
    </row>
    <row r="6562" spans="2:17" x14ac:dyDescent="0.2">
      <c r="B6562" t="s">
        <v>5789</v>
      </c>
      <c r="C6562">
        <v>2</v>
      </c>
      <c r="D6562" t="s">
        <v>5708</v>
      </c>
      <c r="E6562" s="8" t="s">
        <v>5091</v>
      </c>
      <c r="F6562" t="s">
        <v>6231</v>
      </c>
      <c r="G6562">
        <v>16</v>
      </c>
      <c r="Q6562" t="s">
        <v>8063</v>
      </c>
    </row>
    <row r="6563" spans="2:17" x14ac:dyDescent="0.2">
      <c r="B6563" t="s">
        <v>5789</v>
      </c>
      <c r="C6563">
        <v>2</v>
      </c>
      <c r="D6563" t="s">
        <v>5708</v>
      </c>
      <c r="E6563" s="8" t="s">
        <v>5092</v>
      </c>
      <c r="F6563" t="s">
        <v>5629</v>
      </c>
      <c r="G6563">
        <v>35</v>
      </c>
      <c r="Q6563" t="s">
        <v>8059</v>
      </c>
    </row>
    <row r="6564" spans="2:17" x14ac:dyDescent="0.2">
      <c r="B6564" t="s">
        <v>5789</v>
      </c>
      <c r="C6564">
        <v>2</v>
      </c>
      <c r="D6564" t="s">
        <v>5708</v>
      </c>
      <c r="E6564" s="8" t="s">
        <v>5094</v>
      </c>
      <c r="F6564" t="s">
        <v>5869</v>
      </c>
      <c r="G6564">
        <v>35</v>
      </c>
      <c r="Q6564" t="s">
        <v>5926</v>
      </c>
    </row>
    <row r="6565" spans="2:17" x14ac:dyDescent="0.2">
      <c r="B6565" t="s">
        <v>5789</v>
      </c>
      <c r="C6565">
        <v>2</v>
      </c>
      <c r="D6565" t="s">
        <v>5708</v>
      </c>
      <c r="E6565" s="8" t="s">
        <v>5097</v>
      </c>
      <c r="F6565" t="s">
        <v>1425</v>
      </c>
      <c r="G6565">
        <v>30</v>
      </c>
      <c r="Q6565" t="s">
        <v>8062</v>
      </c>
    </row>
    <row r="6566" spans="2:17" x14ac:dyDescent="0.2">
      <c r="B6566" t="s">
        <v>5789</v>
      </c>
      <c r="C6566">
        <v>2</v>
      </c>
      <c r="D6566" t="s">
        <v>5708</v>
      </c>
      <c r="E6566" s="8" t="s">
        <v>5098</v>
      </c>
      <c r="F6566" t="s">
        <v>1425</v>
      </c>
      <c r="G6566">
        <v>38</v>
      </c>
      <c r="Q6566" t="s">
        <v>8061</v>
      </c>
    </row>
    <row r="6567" spans="2:17" x14ac:dyDescent="0.2">
      <c r="B6567" t="s">
        <v>5789</v>
      </c>
      <c r="C6567">
        <v>2</v>
      </c>
      <c r="D6567" t="s">
        <v>5708</v>
      </c>
      <c r="E6567" s="8" t="s">
        <v>5166</v>
      </c>
      <c r="F6567" t="s">
        <v>1425</v>
      </c>
      <c r="G6567">
        <v>23</v>
      </c>
      <c r="Q6567" t="s">
        <v>8060</v>
      </c>
    </row>
    <row r="6568" spans="2:17" x14ac:dyDescent="0.2">
      <c r="B6568" t="s">
        <v>5789</v>
      </c>
      <c r="C6568">
        <v>2</v>
      </c>
      <c r="D6568" t="s">
        <v>5708</v>
      </c>
      <c r="E6568">
        <v>15</v>
      </c>
      <c r="F6568" t="s">
        <v>1538</v>
      </c>
      <c r="G6568">
        <v>4</v>
      </c>
      <c r="Q6568" t="s">
        <v>8068</v>
      </c>
    </row>
    <row r="6569" spans="2:17" x14ac:dyDescent="0.2">
      <c r="B6569" t="s">
        <v>5789</v>
      </c>
      <c r="C6569">
        <v>2</v>
      </c>
      <c r="D6569" t="s">
        <v>5708</v>
      </c>
      <c r="E6569">
        <v>16</v>
      </c>
      <c r="F6569" t="s">
        <v>1538</v>
      </c>
      <c r="G6569">
        <v>6</v>
      </c>
      <c r="Q6569" t="s">
        <v>8071</v>
      </c>
    </row>
    <row r="6570" spans="2:17" x14ac:dyDescent="0.2">
      <c r="B6570" t="s">
        <v>5789</v>
      </c>
      <c r="C6570">
        <v>2</v>
      </c>
      <c r="D6570" t="s">
        <v>5708</v>
      </c>
      <c r="E6570">
        <v>17</v>
      </c>
      <c r="F6570" t="s">
        <v>1538</v>
      </c>
      <c r="G6570">
        <v>7</v>
      </c>
      <c r="Q6570" t="s">
        <v>8072</v>
      </c>
    </row>
    <row r="6571" spans="2:17" x14ac:dyDescent="0.2">
      <c r="B6571" t="s">
        <v>5789</v>
      </c>
      <c r="C6571">
        <v>2</v>
      </c>
      <c r="D6571" t="s">
        <v>5708</v>
      </c>
      <c r="E6571">
        <v>18</v>
      </c>
      <c r="F6571" t="s">
        <v>1538</v>
      </c>
      <c r="G6571">
        <v>3</v>
      </c>
      <c r="Q6571" t="s">
        <v>8073</v>
      </c>
    </row>
    <row r="6572" spans="2:17" x14ac:dyDescent="0.2">
      <c r="B6572" t="s">
        <v>5789</v>
      </c>
      <c r="C6572">
        <v>2</v>
      </c>
      <c r="D6572" t="s">
        <v>5708</v>
      </c>
      <c r="E6572">
        <v>19</v>
      </c>
      <c r="F6572" t="s">
        <v>1538</v>
      </c>
      <c r="G6572">
        <v>2</v>
      </c>
      <c r="Q6572" t="s">
        <v>8070</v>
      </c>
    </row>
    <row r="6573" spans="2:17" x14ac:dyDescent="0.2">
      <c r="B6573" t="s">
        <v>5789</v>
      </c>
      <c r="C6573">
        <v>2</v>
      </c>
      <c r="D6573" t="s">
        <v>5708</v>
      </c>
      <c r="E6573">
        <v>20</v>
      </c>
      <c r="F6573" t="s">
        <v>1538</v>
      </c>
      <c r="G6573" t="s">
        <v>114</v>
      </c>
      <c r="Q6573" t="s">
        <v>8069</v>
      </c>
    </row>
    <row r="6574" spans="2:17" x14ac:dyDescent="0.2">
      <c r="B6574" t="s">
        <v>5789</v>
      </c>
      <c r="C6574">
        <v>2</v>
      </c>
      <c r="D6574" t="s">
        <v>5708</v>
      </c>
      <c r="E6574">
        <v>21</v>
      </c>
      <c r="F6574" t="s">
        <v>1538</v>
      </c>
      <c r="G6574">
        <v>30</v>
      </c>
      <c r="M6574">
        <v>5</v>
      </c>
    </row>
    <row r="6575" spans="2:17" x14ac:dyDescent="0.2">
      <c r="B6575" t="s">
        <v>5789</v>
      </c>
      <c r="C6575">
        <v>2</v>
      </c>
      <c r="D6575" t="s">
        <v>5708</v>
      </c>
      <c r="E6575">
        <v>23</v>
      </c>
      <c r="F6575" t="s">
        <v>6862</v>
      </c>
      <c r="G6575">
        <v>3</v>
      </c>
      <c r="Q6575" t="s">
        <v>8077</v>
      </c>
    </row>
    <row r="6576" spans="2:17" x14ac:dyDescent="0.2">
      <c r="B6576" t="s">
        <v>5789</v>
      </c>
      <c r="C6576">
        <v>2</v>
      </c>
      <c r="D6576" t="s">
        <v>5708</v>
      </c>
      <c r="E6576">
        <v>24</v>
      </c>
      <c r="F6576" t="s">
        <v>6978</v>
      </c>
      <c r="G6576">
        <v>1</v>
      </c>
      <c r="Q6576" t="s">
        <v>8079</v>
      </c>
    </row>
    <row r="6577" spans="2:17" x14ac:dyDescent="0.2">
      <c r="B6577" t="s">
        <v>5789</v>
      </c>
      <c r="C6577">
        <v>2</v>
      </c>
      <c r="D6577" t="s">
        <v>5708</v>
      </c>
      <c r="E6577">
        <v>25</v>
      </c>
      <c r="F6577" t="s">
        <v>6978</v>
      </c>
      <c r="G6577">
        <v>1</v>
      </c>
      <c r="Q6577" t="s">
        <v>8075</v>
      </c>
    </row>
    <row r="6578" spans="2:17" x14ac:dyDescent="0.2">
      <c r="B6578" t="s">
        <v>5789</v>
      </c>
      <c r="C6578">
        <v>2</v>
      </c>
      <c r="D6578" t="s">
        <v>5708</v>
      </c>
      <c r="E6578">
        <v>26</v>
      </c>
      <c r="F6578" t="s">
        <v>6978</v>
      </c>
      <c r="G6578">
        <v>1</v>
      </c>
      <c r="Q6578" t="s">
        <v>8078</v>
      </c>
    </row>
    <row r="6579" spans="2:17" x14ac:dyDescent="0.2">
      <c r="B6579" t="s">
        <v>5789</v>
      </c>
      <c r="C6579">
        <v>2</v>
      </c>
      <c r="D6579" t="s">
        <v>5708</v>
      </c>
      <c r="E6579">
        <v>27</v>
      </c>
      <c r="F6579" t="s">
        <v>6978</v>
      </c>
      <c r="G6579" t="s">
        <v>114</v>
      </c>
      <c r="Q6579" t="s">
        <v>8076</v>
      </c>
    </row>
    <row r="6580" spans="2:17" x14ac:dyDescent="0.2">
      <c r="B6580" t="s">
        <v>5789</v>
      </c>
      <c r="C6580">
        <v>2</v>
      </c>
      <c r="D6580" t="s">
        <v>5708</v>
      </c>
      <c r="E6580">
        <v>28</v>
      </c>
      <c r="F6580" t="s">
        <v>6978</v>
      </c>
      <c r="G6580">
        <v>1</v>
      </c>
      <c r="Q6580" t="s">
        <v>8074</v>
      </c>
    </row>
    <row r="6581" spans="2:17" x14ac:dyDescent="0.2">
      <c r="B6581" t="s">
        <v>5789</v>
      </c>
      <c r="C6581">
        <v>2</v>
      </c>
      <c r="D6581" t="s">
        <v>5708</v>
      </c>
      <c r="E6581" t="s">
        <v>5056</v>
      </c>
      <c r="F6581" t="s">
        <v>1538</v>
      </c>
      <c r="G6581">
        <v>108</v>
      </c>
      <c r="M6581">
        <v>30</v>
      </c>
    </row>
    <row r="6582" spans="2:17" x14ac:dyDescent="0.2">
      <c r="B6582" t="s">
        <v>5789</v>
      </c>
      <c r="C6582">
        <v>2</v>
      </c>
      <c r="D6582" t="s">
        <v>5708</v>
      </c>
      <c r="E6582">
        <v>11</v>
      </c>
      <c r="F6582" t="s">
        <v>1538</v>
      </c>
      <c r="G6582">
        <v>49</v>
      </c>
      <c r="Q6582" t="s">
        <v>8083</v>
      </c>
    </row>
    <row r="6583" spans="2:17" x14ac:dyDescent="0.2">
      <c r="B6583" t="s">
        <v>5789</v>
      </c>
      <c r="C6583">
        <v>2</v>
      </c>
      <c r="D6583" t="s">
        <v>5708</v>
      </c>
      <c r="E6583">
        <v>12</v>
      </c>
      <c r="F6583" t="s">
        <v>1538</v>
      </c>
      <c r="G6583">
        <v>20</v>
      </c>
      <c r="Q6583" t="s">
        <v>8082</v>
      </c>
    </row>
    <row r="6584" spans="2:17" x14ac:dyDescent="0.2">
      <c r="B6584" t="s">
        <v>5789</v>
      </c>
      <c r="C6584">
        <v>2</v>
      </c>
      <c r="D6584" t="s">
        <v>5708</v>
      </c>
      <c r="E6584">
        <v>13</v>
      </c>
      <c r="F6584" t="s">
        <v>1538</v>
      </c>
      <c r="G6584">
        <v>10</v>
      </c>
      <c r="Q6584" t="s">
        <v>8081</v>
      </c>
    </row>
    <row r="6585" spans="2:17" x14ac:dyDescent="0.2">
      <c r="B6585" t="s">
        <v>5789</v>
      </c>
      <c r="C6585">
        <v>2</v>
      </c>
      <c r="D6585" t="s">
        <v>5708</v>
      </c>
      <c r="E6585">
        <v>14</v>
      </c>
      <c r="F6585" t="s">
        <v>1538</v>
      </c>
      <c r="G6585">
        <v>34</v>
      </c>
      <c r="Q6585" t="s">
        <v>8080</v>
      </c>
    </row>
    <row r="6586" spans="2:17" x14ac:dyDescent="0.2">
      <c r="B6586" t="s">
        <v>5789</v>
      </c>
      <c r="C6586">
        <v>2</v>
      </c>
      <c r="D6586" t="s">
        <v>5708</v>
      </c>
      <c r="E6586">
        <v>22</v>
      </c>
      <c r="F6586" s="6" t="s">
        <v>1538</v>
      </c>
      <c r="G6586">
        <v>72</v>
      </c>
      <c r="M6586">
        <v>5</v>
      </c>
    </row>
    <row r="6587" spans="2:17" x14ac:dyDescent="0.2">
      <c r="B6587" t="s">
        <v>5789</v>
      </c>
      <c r="C6587">
        <v>2</v>
      </c>
      <c r="D6587" t="s">
        <v>5708</v>
      </c>
      <c r="E6587" t="s">
        <v>5056</v>
      </c>
      <c r="F6587" t="s">
        <v>1538</v>
      </c>
      <c r="G6587">
        <v>442</v>
      </c>
      <c r="M6587">
        <v>29</v>
      </c>
    </row>
    <row r="6588" spans="2:17" x14ac:dyDescent="0.2">
      <c r="B6588" t="s">
        <v>5789</v>
      </c>
      <c r="C6588">
        <v>2</v>
      </c>
      <c r="D6588" t="s">
        <v>5708</v>
      </c>
      <c r="E6588">
        <v>29</v>
      </c>
      <c r="F6588" t="s">
        <v>1389</v>
      </c>
      <c r="G6588">
        <v>15</v>
      </c>
      <c r="Q6588" t="s">
        <v>8089</v>
      </c>
    </row>
    <row r="6589" spans="2:17" x14ac:dyDescent="0.2">
      <c r="B6589" t="s">
        <v>5789</v>
      </c>
      <c r="C6589">
        <v>2</v>
      </c>
      <c r="D6589" t="s">
        <v>5708</v>
      </c>
      <c r="E6589">
        <v>30</v>
      </c>
      <c r="F6589" t="s">
        <v>1389</v>
      </c>
      <c r="G6589">
        <v>1</v>
      </c>
      <c r="Q6589" t="s">
        <v>8092</v>
      </c>
    </row>
    <row r="6590" spans="2:17" x14ac:dyDescent="0.2">
      <c r="B6590" t="s">
        <v>5789</v>
      </c>
      <c r="C6590">
        <v>2</v>
      </c>
      <c r="D6590" t="s">
        <v>5708</v>
      </c>
      <c r="E6590">
        <v>31</v>
      </c>
      <c r="F6590" t="s">
        <v>1389</v>
      </c>
      <c r="G6590">
        <v>4</v>
      </c>
      <c r="Q6590" t="s">
        <v>8093</v>
      </c>
    </row>
    <row r="6591" spans="2:17" x14ac:dyDescent="0.2">
      <c r="B6591" t="s">
        <v>5789</v>
      </c>
      <c r="C6591">
        <v>2</v>
      </c>
      <c r="D6591" t="s">
        <v>5708</v>
      </c>
      <c r="E6591">
        <v>32</v>
      </c>
      <c r="F6591" t="s">
        <v>1389</v>
      </c>
      <c r="G6591">
        <v>2</v>
      </c>
      <c r="Q6591" t="s">
        <v>8091</v>
      </c>
    </row>
    <row r="6592" spans="2:17" x14ac:dyDescent="0.2">
      <c r="B6592" t="s">
        <v>5789</v>
      </c>
      <c r="C6592">
        <v>2</v>
      </c>
      <c r="D6592" t="s">
        <v>5708</v>
      </c>
      <c r="E6592">
        <v>33</v>
      </c>
      <c r="F6592" t="s">
        <v>1389</v>
      </c>
      <c r="G6592">
        <v>3</v>
      </c>
      <c r="Q6592" t="s">
        <v>8090</v>
      </c>
    </row>
    <row r="6593" spans="2:17" x14ac:dyDescent="0.2">
      <c r="B6593" t="s">
        <v>5789</v>
      </c>
      <c r="C6593">
        <v>2</v>
      </c>
      <c r="D6593" t="s">
        <v>5708</v>
      </c>
      <c r="E6593">
        <v>34</v>
      </c>
      <c r="F6593" t="s">
        <v>1389</v>
      </c>
      <c r="G6593">
        <v>7</v>
      </c>
      <c r="Q6593" t="s">
        <v>8094</v>
      </c>
    </row>
    <row r="6594" spans="2:17" x14ac:dyDescent="0.2">
      <c r="B6594" t="s">
        <v>5789</v>
      </c>
      <c r="C6594">
        <v>2</v>
      </c>
      <c r="D6594" t="s">
        <v>5708</v>
      </c>
      <c r="E6594">
        <v>35</v>
      </c>
      <c r="F6594" t="s">
        <v>1389</v>
      </c>
      <c r="G6594">
        <v>17</v>
      </c>
      <c r="M6594">
        <v>7</v>
      </c>
    </row>
    <row r="6595" spans="2:17" x14ac:dyDescent="0.2">
      <c r="B6595" t="s">
        <v>5789</v>
      </c>
      <c r="C6595">
        <v>2</v>
      </c>
      <c r="D6595" t="s">
        <v>5708</v>
      </c>
      <c r="E6595">
        <v>36</v>
      </c>
      <c r="F6595" t="s">
        <v>5385</v>
      </c>
      <c r="G6595">
        <v>4</v>
      </c>
      <c r="Q6595" t="s">
        <v>8086</v>
      </c>
    </row>
    <row r="6596" spans="2:17" x14ac:dyDescent="0.2">
      <c r="B6596" t="s">
        <v>5789</v>
      </c>
      <c r="C6596">
        <v>2</v>
      </c>
      <c r="D6596" t="s">
        <v>5708</v>
      </c>
      <c r="E6596">
        <v>37</v>
      </c>
      <c r="F6596" t="s">
        <v>5385</v>
      </c>
      <c r="G6596">
        <v>4</v>
      </c>
      <c r="Q6596" t="s">
        <v>8087</v>
      </c>
    </row>
    <row r="6597" spans="2:17" x14ac:dyDescent="0.2">
      <c r="B6597" t="s">
        <v>5789</v>
      </c>
      <c r="C6597">
        <v>2</v>
      </c>
      <c r="D6597" t="s">
        <v>5708</v>
      </c>
      <c r="E6597">
        <v>38</v>
      </c>
      <c r="F6597" t="s">
        <v>5385</v>
      </c>
      <c r="G6597">
        <v>2</v>
      </c>
      <c r="Q6597" t="s">
        <v>8088</v>
      </c>
    </row>
    <row r="6598" spans="2:17" x14ac:dyDescent="0.2">
      <c r="B6598" t="s">
        <v>5789</v>
      </c>
      <c r="C6598">
        <v>2</v>
      </c>
      <c r="D6598" t="s">
        <v>5708</v>
      </c>
      <c r="E6598">
        <v>39</v>
      </c>
      <c r="F6598" t="s">
        <v>5385</v>
      </c>
      <c r="G6598">
        <v>4</v>
      </c>
      <c r="Q6598" t="s">
        <v>8084</v>
      </c>
    </row>
    <row r="6599" spans="2:17" x14ac:dyDescent="0.2">
      <c r="B6599" t="s">
        <v>5789</v>
      </c>
      <c r="C6599">
        <v>2</v>
      </c>
      <c r="D6599" t="s">
        <v>5708</v>
      </c>
      <c r="E6599">
        <v>40</v>
      </c>
      <c r="F6599" t="s">
        <v>5385</v>
      </c>
      <c r="G6599">
        <v>2</v>
      </c>
      <c r="Q6599" t="s">
        <v>8085</v>
      </c>
    </row>
    <row r="6600" spans="2:17" x14ac:dyDescent="0.2">
      <c r="B6600" t="s">
        <v>5789</v>
      </c>
      <c r="C6600">
        <v>2</v>
      </c>
      <c r="D6600" t="s">
        <v>5708</v>
      </c>
      <c r="E6600">
        <v>41</v>
      </c>
      <c r="F6600" t="s">
        <v>5385</v>
      </c>
      <c r="G6600">
        <v>17</v>
      </c>
      <c r="M6600">
        <v>5</v>
      </c>
    </row>
    <row r="6601" spans="2:17" x14ac:dyDescent="0.2">
      <c r="B6601" t="s">
        <v>5789</v>
      </c>
      <c r="C6601">
        <v>2</v>
      </c>
      <c r="D6601" t="s">
        <v>5708</v>
      </c>
      <c r="E6601" t="s">
        <v>5056</v>
      </c>
      <c r="F6601" t="s">
        <v>5385</v>
      </c>
      <c r="G6601">
        <v>74</v>
      </c>
      <c r="M6601">
        <v>22</v>
      </c>
    </row>
    <row r="6602" spans="2:17" x14ac:dyDescent="0.2">
      <c r="B6602" t="s">
        <v>5789</v>
      </c>
      <c r="C6602">
        <v>2</v>
      </c>
      <c r="D6602" t="s">
        <v>5708</v>
      </c>
      <c r="E6602">
        <v>42</v>
      </c>
      <c r="F6602" t="s">
        <v>1264</v>
      </c>
      <c r="G6602">
        <f>6400-285</f>
        <v>6115</v>
      </c>
      <c r="O6602" t="s">
        <v>5899</v>
      </c>
    </row>
    <row r="6603" spans="2:17" x14ac:dyDescent="0.2">
      <c r="B6603" t="s">
        <v>5789</v>
      </c>
      <c r="C6603">
        <v>2</v>
      </c>
      <c r="D6603" t="s">
        <v>5708</v>
      </c>
      <c r="E6603">
        <v>48</v>
      </c>
      <c r="F6603" t="s">
        <v>1425</v>
      </c>
      <c r="G6603">
        <v>6</v>
      </c>
      <c r="Q6603" t="s">
        <v>8097</v>
      </c>
    </row>
    <row r="6604" spans="2:17" x14ac:dyDescent="0.2">
      <c r="B6604" t="s">
        <v>5789</v>
      </c>
      <c r="C6604">
        <v>2</v>
      </c>
      <c r="D6604" t="s">
        <v>5708</v>
      </c>
      <c r="E6604">
        <v>49</v>
      </c>
      <c r="F6604" t="s">
        <v>1425</v>
      </c>
      <c r="G6604">
        <v>6</v>
      </c>
      <c r="Q6604" t="s">
        <v>8096</v>
      </c>
    </row>
    <row r="6605" spans="2:17" x14ac:dyDescent="0.2">
      <c r="B6605" t="s">
        <v>5789</v>
      </c>
      <c r="C6605">
        <v>2</v>
      </c>
      <c r="D6605" t="s">
        <v>5708</v>
      </c>
      <c r="E6605">
        <v>50</v>
      </c>
      <c r="F6605" t="s">
        <v>1425</v>
      </c>
      <c r="G6605">
        <v>4</v>
      </c>
      <c r="Q6605" t="s">
        <v>8095</v>
      </c>
    </row>
    <row r="6606" spans="2:17" x14ac:dyDescent="0.2">
      <c r="B6606" t="s">
        <v>5789</v>
      </c>
      <c r="C6606">
        <v>2</v>
      </c>
      <c r="D6606" t="s">
        <v>5708</v>
      </c>
      <c r="E6606">
        <v>52</v>
      </c>
      <c r="F6606" t="s">
        <v>1425</v>
      </c>
      <c r="G6606">
        <v>25</v>
      </c>
      <c r="M6606">
        <v>5</v>
      </c>
    </row>
    <row r="6607" spans="2:17" x14ac:dyDescent="0.2">
      <c r="B6607" t="s">
        <v>5789</v>
      </c>
      <c r="C6607">
        <v>2</v>
      </c>
      <c r="D6607" t="s">
        <v>5708</v>
      </c>
      <c r="E6607">
        <v>51</v>
      </c>
      <c r="F6607" t="s">
        <v>1425</v>
      </c>
      <c r="G6607">
        <v>2</v>
      </c>
      <c r="Q6607" t="s">
        <v>8099</v>
      </c>
    </row>
    <row r="6608" spans="2:17" x14ac:dyDescent="0.2">
      <c r="B6608" t="s">
        <v>5789</v>
      </c>
      <c r="C6608">
        <v>2</v>
      </c>
      <c r="D6608" t="s">
        <v>5708</v>
      </c>
      <c r="E6608" t="s">
        <v>5056</v>
      </c>
      <c r="F6608" t="s">
        <v>1425</v>
      </c>
      <c r="G6608">
        <v>188</v>
      </c>
      <c r="M6608">
        <v>37</v>
      </c>
    </row>
    <row r="6609" spans="2:17" x14ac:dyDescent="0.2">
      <c r="B6609" t="s">
        <v>5789</v>
      </c>
      <c r="C6609">
        <v>2</v>
      </c>
      <c r="D6609" t="s">
        <v>5708</v>
      </c>
      <c r="E6609">
        <v>45</v>
      </c>
      <c r="F6609" s="6" t="s">
        <v>5221</v>
      </c>
      <c r="G6609">
        <v>38</v>
      </c>
      <c r="Q6609" t="s">
        <v>8098</v>
      </c>
    </row>
    <row r="6610" spans="2:17" x14ac:dyDescent="0.2">
      <c r="B6610" t="s">
        <v>5789</v>
      </c>
      <c r="C6610">
        <v>2</v>
      </c>
      <c r="D6610" t="s">
        <v>5708</v>
      </c>
      <c r="E6610">
        <v>46</v>
      </c>
      <c r="F6610" t="s">
        <v>4973</v>
      </c>
      <c r="G6610" t="s">
        <v>114</v>
      </c>
      <c r="Q6610" t="s">
        <v>8100</v>
      </c>
    </row>
    <row r="6611" spans="2:17" x14ac:dyDescent="0.2">
      <c r="B6611" t="s">
        <v>5789</v>
      </c>
      <c r="C6611">
        <v>2</v>
      </c>
      <c r="D6611" t="s">
        <v>5708</v>
      </c>
      <c r="E6611">
        <v>47</v>
      </c>
      <c r="F6611" t="s">
        <v>4973</v>
      </c>
      <c r="G6611">
        <v>1</v>
      </c>
      <c r="Q6611" t="s">
        <v>8101</v>
      </c>
    </row>
    <row r="6612" spans="2:17" x14ac:dyDescent="0.2">
      <c r="B6612" t="s">
        <v>5789</v>
      </c>
      <c r="C6612">
        <v>2</v>
      </c>
      <c r="D6612" t="s">
        <v>5708</v>
      </c>
      <c r="E6612">
        <v>48</v>
      </c>
      <c r="F6612" t="s">
        <v>504</v>
      </c>
      <c r="G6612">
        <f>1932-295</f>
        <v>1637</v>
      </c>
      <c r="O6612" t="s">
        <v>5900</v>
      </c>
    </row>
    <row r="6613" spans="2:17" x14ac:dyDescent="0.2">
      <c r="B6613" t="s">
        <v>5789</v>
      </c>
      <c r="C6613">
        <v>2</v>
      </c>
      <c r="D6613" t="s">
        <v>5708</v>
      </c>
      <c r="E6613">
        <v>53</v>
      </c>
      <c r="F6613" t="s">
        <v>8103</v>
      </c>
      <c r="G6613">
        <v>74</v>
      </c>
      <c r="M6613">
        <v>12</v>
      </c>
      <c r="O6613" t="s">
        <v>8104</v>
      </c>
      <c r="Q6613" t="s">
        <v>8102</v>
      </c>
    </row>
    <row r="6614" spans="2:17" x14ac:dyDescent="0.2">
      <c r="B6614" t="s">
        <v>5789</v>
      </c>
      <c r="C6614">
        <v>2</v>
      </c>
      <c r="D6614" t="s">
        <v>5708</v>
      </c>
      <c r="E6614">
        <v>58</v>
      </c>
      <c r="F6614" t="s">
        <v>5390</v>
      </c>
      <c r="G6614">
        <v>11</v>
      </c>
    </row>
    <row r="6615" spans="2:17" x14ac:dyDescent="0.2">
      <c r="B6615" t="s">
        <v>5789</v>
      </c>
      <c r="C6615">
        <v>2</v>
      </c>
      <c r="D6615" t="s">
        <v>5708</v>
      </c>
      <c r="E6615">
        <v>59</v>
      </c>
      <c r="F6615" s="6" t="s">
        <v>3503</v>
      </c>
      <c r="G6615">
        <v>1</v>
      </c>
    </row>
    <row r="6616" spans="2:17" x14ac:dyDescent="0.2">
      <c r="B6616" t="s">
        <v>5789</v>
      </c>
      <c r="C6616">
        <v>2</v>
      </c>
      <c r="D6616" t="s">
        <v>5708</v>
      </c>
      <c r="E6616">
        <v>44</v>
      </c>
      <c r="F6616" t="s">
        <v>810</v>
      </c>
      <c r="G6616">
        <v>33</v>
      </c>
    </row>
    <row r="6617" spans="2:17" x14ac:dyDescent="0.2">
      <c r="B6617" t="s">
        <v>5789</v>
      </c>
      <c r="C6617">
        <v>2</v>
      </c>
      <c r="D6617" t="s">
        <v>5708</v>
      </c>
      <c r="E6617">
        <v>54</v>
      </c>
      <c r="F6617" t="s">
        <v>121</v>
      </c>
      <c r="G6617">
        <v>27</v>
      </c>
    </row>
    <row r="6618" spans="2:17" x14ac:dyDescent="0.2">
      <c r="B6618" t="s">
        <v>5789</v>
      </c>
      <c r="C6618">
        <v>2</v>
      </c>
      <c r="D6618" t="s">
        <v>5708</v>
      </c>
      <c r="E6618">
        <v>55</v>
      </c>
      <c r="F6618" t="s">
        <v>3431</v>
      </c>
      <c r="G6618">
        <v>7</v>
      </c>
    </row>
    <row r="6619" spans="2:17" x14ac:dyDescent="0.2">
      <c r="B6619" t="s">
        <v>5789</v>
      </c>
      <c r="C6619">
        <v>2</v>
      </c>
      <c r="D6619" t="s">
        <v>5708</v>
      </c>
      <c r="E6619">
        <v>56</v>
      </c>
      <c r="F6619" t="s">
        <v>3875</v>
      </c>
      <c r="G6619">
        <v>11</v>
      </c>
      <c r="M6619">
        <v>3</v>
      </c>
    </row>
    <row r="6620" spans="2:17" x14ac:dyDescent="0.2">
      <c r="B6620" t="s">
        <v>5789</v>
      </c>
      <c r="C6620">
        <v>2</v>
      </c>
      <c r="D6620" t="s">
        <v>5708</v>
      </c>
      <c r="E6620">
        <v>57</v>
      </c>
      <c r="F6620" t="s">
        <v>7363</v>
      </c>
      <c r="G6620">
        <v>3</v>
      </c>
      <c r="M6620">
        <v>7</v>
      </c>
    </row>
    <row r="6621" spans="2:17" x14ac:dyDescent="0.2">
      <c r="B6621" t="s">
        <v>5789</v>
      </c>
      <c r="C6621">
        <v>2</v>
      </c>
      <c r="D6621" t="s">
        <v>5708</v>
      </c>
      <c r="E6621" t="s">
        <v>5056</v>
      </c>
      <c r="F6621" t="s">
        <v>5901</v>
      </c>
      <c r="G6621">
        <v>10</v>
      </c>
    </row>
    <row r="6622" spans="2:17" x14ac:dyDescent="0.2">
      <c r="B6622" t="s">
        <v>5789</v>
      </c>
      <c r="C6622">
        <v>3</v>
      </c>
      <c r="D6622" t="s">
        <v>5708</v>
      </c>
      <c r="E6622" s="8" t="s">
        <v>5081</v>
      </c>
      <c r="F6622" t="s">
        <v>1264</v>
      </c>
      <c r="G6622">
        <v>607</v>
      </c>
      <c r="O6622" t="s">
        <v>5902</v>
      </c>
    </row>
    <row r="6623" spans="2:17" x14ac:dyDescent="0.2">
      <c r="B6623" t="s">
        <v>5789</v>
      </c>
      <c r="C6623">
        <v>3</v>
      </c>
      <c r="D6623" t="s">
        <v>5708</v>
      </c>
      <c r="E6623" s="8" t="s">
        <v>5082</v>
      </c>
      <c r="F6623" t="s">
        <v>504</v>
      </c>
      <c r="G6623">
        <v>1200</v>
      </c>
      <c r="O6623" t="s">
        <v>5903</v>
      </c>
    </row>
    <row r="6624" spans="2:17" x14ac:dyDescent="0.2">
      <c r="B6624" t="s">
        <v>5789</v>
      </c>
      <c r="C6624">
        <v>3</v>
      </c>
      <c r="D6624" t="s">
        <v>5708</v>
      </c>
      <c r="E6624" s="8" t="s">
        <v>5089</v>
      </c>
      <c r="F6624" t="s">
        <v>1425</v>
      </c>
      <c r="G6624">
        <v>6</v>
      </c>
      <c r="Q6624" t="s">
        <v>8110</v>
      </c>
    </row>
    <row r="6625" spans="2:17" x14ac:dyDescent="0.2">
      <c r="B6625" t="s">
        <v>5789</v>
      </c>
      <c r="C6625">
        <v>3</v>
      </c>
      <c r="D6625" t="s">
        <v>5708</v>
      </c>
      <c r="E6625" s="8" t="s">
        <v>5091</v>
      </c>
      <c r="F6625" t="s">
        <v>1425</v>
      </c>
      <c r="G6625">
        <v>3</v>
      </c>
      <c r="Q6625" t="s">
        <v>8107</v>
      </c>
    </row>
    <row r="6626" spans="2:17" x14ac:dyDescent="0.2">
      <c r="B6626" t="s">
        <v>5789</v>
      </c>
      <c r="C6626">
        <v>3</v>
      </c>
      <c r="D6626" t="s">
        <v>5708</v>
      </c>
      <c r="E6626" s="8" t="s">
        <v>5092</v>
      </c>
      <c r="F6626" t="s">
        <v>1425</v>
      </c>
      <c r="G6626">
        <v>9</v>
      </c>
      <c r="Q6626" t="s">
        <v>8108</v>
      </c>
    </row>
    <row r="6627" spans="2:17" x14ac:dyDescent="0.2">
      <c r="B6627" t="s">
        <v>5789</v>
      </c>
      <c r="C6627">
        <v>3</v>
      </c>
      <c r="D6627" t="s">
        <v>5708</v>
      </c>
      <c r="E6627" s="8" t="s">
        <v>5094</v>
      </c>
      <c r="F6627" t="s">
        <v>1425</v>
      </c>
      <c r="G6627">
        <v>3</v>
      </c>
      <c r="Q6627" t="s">
        <v>8105</v>
      </c>
    </row>
    <row r="6628" spans="2:17" x14ac:dyDescent="0.2">
      <c r="B6628" t="s">
        <v>5789</v>
      </c>
      <c r="C6628">
        <v>3</v>
      </c>
      <c r="D6628" t="s">
        <v>5708</v>
      </c>
      <c r="E6628" s="8" t="s">
        <v>5097</v>
      </c>
      <c r="F6628" t="s">
        <v>1425</v>
      </c>
      <c r="G6628">
        <v>4</v>
      </c>
      <c r="Q6628" t="s">
        <v>8106</v>
      </c>
    </row>
    <row r="6629" spans="2:17" x14ac:dyDescent="0.2">
      <c r="B6629" t="s">
        <v>5789</v>
      </c>
      <c r="C6629">
        <v>3</v>
      </c>
      <c r="D6629" t="s">
        <v>5708</v>
      </c>
      <c r="E6629" s="8" t="s">
        <v>5098</v>
      </c>
      <c r="F6629" t="s">
        <v>1425</v>
      </c>
      <c r="G6629">
        <v>32</v>
      </c>
      <c r="M6629">
        <v>5</v>
      </c>
    </row>
    <row r="6630" spans="2:17" x14ac:dyDescent="0.2">
      <c r="B6630" t="s">
        <v>5789</v>
      </c>
      <c r="C6630">
        <v>3</v>
      </c>
      <c r="D6630" t="s">
        <v>5708</v>
      </c>
      <c r="E6630" s="8" t="s">
        <v>5090</v>
      </c>
      <c r="F6630" t="s">
        <v>7990</v>
      </c>
      <c r="G6630">
        <v>27</v>
      </c>
      <c r="Q6630" t="s">
        <v>8109</v>
      </c>
    </row>
    <row r="6631" spans="2:17" x14ac:dyDescent="0.2">
      <c r="B6631" t="s">
        <v>5789</v>
      </c>
      <c r="C6631">
        <v>3</v>
      </c>
      <c r="D6631" t="s">
        <v>5708</v>
      </c>
      <c r="E6631" t="s">
        <v>5056</v>
      </c>
      <c r="F6631" t="s">
        <v>1425</v>
      </c>
      <c r="G6631">
        <v>53</v>
      </c>
      <c r="M6631">
        <v>14</v>
      </c>
    </row>
    <row r="6632" spans="2:17" x14ac:dyDescent="0.2">
      <c r="B6632" t="s">
        <v>5789</v>
      </c>
      <c r="C6632">
        <v>3</v>
      </c>
      <c r="D6632" t="s">
        <v>5708</v>
      </c>
      <c r="E6632">
        <v>11</v>
      </c>
      <c r="F6632" t="s">
        <v>6978</v>
      </c>
      <c r="G6632">
        <v>1</v>
      </c>
      <c r="Q6632" t="s">
        <v>8111</v>
      </c>
    </row>
    <row r="6633" spans="2:17" x14ac:dyDescent="0.2">
      <c r="B6633" t="s">
        <v>5789</v>
      </c>
      <c r="C6633">
        <v>3</v>
      </c>
      <c r="D6633" t="s">
        <v>5708</v>
      </c>
      <c r="E6633">
        <v>12</v>
      </c>
      <c r="F6633" t="s">
        <v>6978</v>
      </c>
      <c r="G6633">
        <v>1</v>
      </c>
      <c r="Q6633" t="s">
        <v>8112</v>
      </c>
    </row>
    <row r="6634" spans="2:17" x14ac:dyDescent="0.2">
      <c r="B6634" t="s">
        <v>5789</v>
      </c>
      <c r="C6634">
        <v>3</v>
      </c>
      <c r="D6634" t="s">
        <v>5708</v>
      </c>
      <c r="E6634">
        <v>13</v>
      </c>
      <c r="F6634" t="s">
        <v>6978</v>
      </c>
      <c r="G6634">
        <v>1</v>
      </c>
      <c r="Q6634" t="s">
        <v>8113</v>
      </c>
    </row>
    <row r="6635" spans="2:17" x14ac:dyDescent="0.2">
      <c r="B6635" t="s">
        <v>5789</v>
      </c>
      <c r="C6635">
        <v>3</v>
      </c>
      <c r="D6635" t="s">
        <v>5708</v>
      </c>
      <c r="E6635">
        <v>14</v>
      </c>
      <c r="F6635" t="s">
        <v>6978</v>
      </c>
      <c r="G6635" t="s">
        <v>114</v>
      </c>
      <c r="Q6635" t="s">
        <v>8114</v>
      </c>
    </row>
    <row r="6636" spans="2:17" x14ac:dyDescent="0.2">
      <c r="B6636" t="s">
        <v>5789</v>
      </c>
      <c r="C6636">
        <v>3</v>
      </c>
      <c r="D6636" t="s">
        <v>5708</v>
      </c>
      <c r="E6636">
        <v>15</v>
      </c>
      <c r="F6636" t="s">
        <v>6978</v>
      </c>
      <c r="G6636">
        <v>1</v>
      </c>
      <c r="Q6636" t="s">
        <v>8115</v>
      </c>
    </row>
    <row r="6637" spans="2:17" x14ac:dyDescent="0.2">
      <c r="B6637" t="s">
        <v>5789</v>
      </c>
      <c r="C6637">
        <v>3</v>
      </c>
      <c r="D6637" t="s">
        <v>5708</v>
      </c>
      <c r="E6637">
        <v>16</v>
      </c>
      <c r="F6637" t="s">
        <v>1559</v>
      </c>
      <c r="G6637">
        <v>1</v>
      </c>
      <c r="Q6637" t="s">
        <v>8129</v>
      </c>
    </row>
    <row r="6638" spans="2:17" x14ac:dyDescent="0.2">
      <c r="B6638" t="s">
        <v>5789</v>
      </c>
      <c r="C6638">
        <v>3</v>
      </c>
      <c r="D6638" t="s">
        <v>5708</v>
      </c>
      <c r="E6638">
        <v>17</v>
      </c>
      <c r="F6638" t="s">
        <v>1538</v>
      </c>
      <c r="G6638">
        <v>2</v>
      </c>
      <c r="Q6638" t="s">
        <v>8122</v>
      </c>
    </row>
    <row r="6639" spans="2:17" x14ac:dyDescent="0.2">
      <c r="B6639" t="s">
        <v>5789</v>
      </c>
      <c r="C6639">
        <v>3</v>
      </c>
      <c r="D6639" t="s">
        <v>5708</v>
      </c>
      <c r="E6639">
        <v>18</v>
      </c>
      <c r="F6639" t="s">
        <v>1538</v>
      </c>
      <c r="G6639">
        <v>5</v>
      </c>
      <c r="Q6639" t="s">
        <v>8121</v>
      </c>
    </row>
    <row r="6640" spans="2:17" x14ac:dyDescent="0.2">
      <c r="B6640" t="s">
        <v>5789</v>
      </c>
      <c r="C6640">
        <v>3</v>
      </c>
      <c r="D6640" t="s">
        <v>5708</v>
      </c>
      <c r="E6640">
        <v>10</v>
      </c>
      <c r="F6640" t="s">
        <v>1538</v>
      </c>
      <c r="G6640">
        <v>2</v>
      </c>
      <c r="Q6640" t="s">
        <v>8123</v>
      </c>
    </row>
    <row r="6641" spans="2:17" x14ac:dyDescent="0.2">
      <c r="B6641" t="s">
        <v>5789</v>
      </c>
      <c r="C6641">
        <v>3</v>
      </c>
      <c r="D6641" t="s">
        <v>5708</v>
      </c>
      <c r="E6641">
        <v>19</v>
      </c>
      <c r="F6641" t="s">
        <v>5385</v>
      </c>
      <c r="G6641">
        <v>4</v>
      </c>
      <c r="Q6641" t="s">
        <v>8118</v>
      </c>
    </row>
    <row r="6642" spans="2:17" x14ac:dyDescent="0.2">
      <c r="B6642" t="s">
        <v>5789</v>
      </c>
      <c r="C6642">
        <v>3</v>
      </c>
      <c r="D6642" t="s">
        <v>5708</v>
      </c>
      <c r="E6642">
        <v>20</v>
      </c>
      <c r="F6642" t="s">
        <v>5385</v>
      </c>
      <c r="G6642">
        <v>2</v>
      </c>
      <c r="Q6642" t="s">
        <v>8116</v>
      </c>
    </row>
    <row r="6643" spans="2:17" x14ac:dyDescent="0.2">
      <c r="B6643" t="s">
        <v>5789</v>
      </c>
      <c r="C6643">
        <v>3</v>
      </c>
      <c r="D6643" t="s">
        <v>5708</v>
      </c>
      <c r="E6643">
        <v>21</v>
      </c>
      <c r="F6643" t="s">
        <v>5385</v>
      </c>
      <c r="G6643">
        <v>4</v>
      </c>
      <c r="Q6643" t="s">
        <v>8119</v>
      </c>
    </row>
    <row r="6644" spans="2:17" x14ac:dyDescent="0.2">
      <c r="B6644" t="s">
        <v>5789</v>
      </c>
      <c r="C6644">
        <v>3</v>
      </c>
      <c r="D6644" t="s">
        <v>5708</v>
      </c>
      <c r="E6644">
        <v>22</v>
      </c>
      <c r="F6644" t="s">
        <v>5385</v>
      </c>
      <c r="G6644">
        <v>2</v>
      </c>
      <c r="Q6644" t="s">
        <v>8120</v>
      </c>
    </row>
    <row r="6645" spans="2:17" x14ac:dyDescent="0.2">
      <c r="B6645" t="s">
        <v>5789</v>
      </c>
      <c r="C6645">
        <v>3</v>
      </c>
      <c r="D6645" t="s">
        <v>5708</v>
      </c>
      <c r="E6645">
        <v>23</v>
      </c>
      <c r="F6645" t="s">
        <v>5385</v>
      </c>
      <c r="G6645">
        <v>1</v>
      </c>
      <c r="Q6645" t="s">
        <v>8117</v>
      </c>
    </row>
    <row r="6646" spans="2:17" x14ac:dyDescent="0.2">
      <c r="B6646" t="s">
        <v>5789</v>
      </c>
      <c r="C6646">
        <v>3</v>
      </c>
      <c r="D6646" t="s">
        <v>5708</v>
      </c>
      <c r="E6646">
        <v>24</v>
      </c>
      <c r="F6646" t="s">
        <v>5385</v>
      </c>
      <c r="G6646">
        <v>11</v>
      </c>
      <c r="M6646">
        <v>5</v>
      </c>
    </row>
    <row r="6647" spans="2:17" x14ac:dyDescent="0.2">
      <c r="B6647" t="s">
        <v>5789</v>
      </c>
      <c r="C6647">
        <v>3</v>
      </c>
      <c r="D6647" t="s">
        <v>5708</v>
      </c>
      <c r="E6647" t="s">
        <v>5056</v>
      </c>
      <c r="F6647" t="s">
        <v>5385</v>
      </c>
      <c r="G6647">
        <v>7</v>
      </c>
      <c r="M6647">
        <v>4</v>
      </c>
      <c r="O6647" t="s">
        <v>5392</v>
      </c>
    </row>
    <row r="6648" spans="2:17" x14ac:dyDescent="0.2">
      <c r="B6648" t="s">
        <v>5789</v>
      </c>
      <c r="C6648">
        <v>3</v>
      </c>
      <c r="D6648" t="s">
        <v>5708</v>
      </c>
      <c r="E6648">
        <v>25</v>
      </c>
      <c r="F6648" t="s">
        <v>1389</v>
      </c>
      <c r="G6648">
        <v>9</v>
      </c>
      <c r="Q6648" t="s">
        <v>8124</v>
      </c>
    </row>
    <row r="6649" spans="2:17" x14ac:dyDescent="0.2">
      <c r="B6649" t="s">
        <v>5789</v>
      </c>
      <c r="C6649">
        <v>3</v>
      </c>
      <c r="D6649" t="s">
        <v>5708</v>
      </c>
      <c r="E6649">
        <v>26</v>
      </c>
      <c r="F6649" t="s">
        <v>1389</v>
      </c>
      <c r="G6649">
        <v>9</v>
      </c>
      <c r="Q6649" t="s">
        <v>8125</v>
      </c>
    </row>
    <row r="6650" spans="2:17" x14ac:dyDescent="0.2">
      <c r="B6650" t="s">
        <v>5789</v>
      </c>
      <c r="C6650">
        <v>3</v>
      </c>
      <c r="D6650" t="s">
        <v>5708</v>
      </c>
      <c r="E6650">
        <v>27</v>
      </c>
      <c r="F6650" t="s">
        <v>1389</v>
      </c>
      <c r="G6650">
        <v>3</v>
      </c>
      <c r="Q6650" t="s">
        <v>8126</v>
      </c>
    </row>
    <row r="6651" spans="2:17" x14ac:dyDescent="0.2">
      <c r="B6651" t="s">
        <v>5789</v>
      </c>
      <c r="C6651">
        <v>3</v>
      </c>
      <c r="D6651" t="s">
        <v>5708</v>
      </c>
      <c r="E6651">
        <v>28</v>
      </c>
      <c r="F6651" t="s">
        <v>1389</v>
      </c>
      <c r="G6651">
        <v>2</v>
      </c>
      <c r="Q6651" t="s">
        <v>8127</v>
      </c>
    </row>
    <row r="6652" spans="2:17" x14ac:dyDescent="0.2">
      <c r="B6652" t="s">
        <v>5789</v>
      </c>
      <c r="C6652">
        <v>3</v>
      </c>
      <c r="D6652" t="s">
        <v>5708</v>
      </c>
      <c r="E6652">
        <v>29</v>
      </c>
      <c r="F6652" t="s">
        <v>1389</v>
      </c>
      <c r="G6652">
        <v>1</v>
      </c>
      <c r="Q6652" t="s">
        <v>8128</v>
      </c>
    </row>
    <row r="6653" spans="2:17" x14ac:dyDescent="0.2">
      <c r="B6653" t="s">
        <v>5789</v>
      </c>
      <c r="C6653">
        <v>3</v>
      </c>
      <c r="D6653" t="s">
        <v>5708</v>
      </c>
      <c r="E6653">
        <v>30</v>
      </c>
      <c r="F6653" t="s">
        <v>1389</v>
      </c>
      <c r="G6653">
        <v>24</v>
      </c>
      <c r="M6653">
        <v>5</v>
      </c>
    </row>
    <row r="6654" spans="2:17" x14ac:dyDescent="0.2">
      <c r="B6654" t="s">
        <v>5789</v>
      </c>
      <c r="C6654">
        <v>3</v>
      </c>
      <c r="D6654" t="s">
        <v>5708</v>
      </c>
      <c r="E6654" t="s">
        <v>5056</v>
      </c>
      <c r="F6654" t="s">
        <v>1389</v>
      </c>
      <c r="G6654">
        <v>31</v>
      </c>
      <c r="M6654">
        <v>8</v>
      </c>
    </row>
    <row r="6655" spans="2:17" x14ac:dyDescent="0.2">
      <c r="B6655" t="s">
        <v>5789</v>
      </c>
      <c r="C6655">
        <v>3</v>
      </c>
      <c r="D6655" t="s">
        <v>5708</v>
      </c>
      <c r="E6655">
        <v>31</v>
      </c>
      <c r="F6655" t="s">
        <v>3431</v>
      </c>
      <c r="G6655">
        <v>6</v>
      </c>
    </row>
    <row r="6656" spans="2:17" x14ac:dyDescent="0.2">
      <c r="B6656" t="s">
        <v>5789</v>
      </c>
      <c r="C6656">
        <v>3</v>
      </c>
      <c r="D6656" t="s">
        <v>5708</v>
      </c>
      <c r="E6656">
        <v>32</v>
      </c>
      <c r="F6656" t="s">
        <v>5574</v>
      </c>
      <c r="G6656">
        <v>4</v>
      </c>
    </row>
    <row r="6657" spans="2:17" x14ac:dyDescent="0.2">
      <c r="B6657" t="s">
        <v>5789</v>
      </c>
      <c r="C6657">
        <v>3</v>
      </c>
      <c r="D6657" t="s">
        <v>5708</v>
      </c>
      <c r="E6657">
        <v>33</v>
      </c>
      <c r="F6657" t="s">
        <v>121</v>
      </c>
      <c r="G6657">
        <v>6</v>
      </c>
    </row>
    <row r="6658" spans="2:17" x14ac:dyDescent="0.2">
      <c r="B6658" t="s">
        <v>5789</v>
      </c>
      <c r="C6658">
        <v>3</v>
      </c>
      <c r="D6658" t="s">
        <v>5708</v>
      </c>
      <c r="E6658">
        <v>34</v>
      </c>
      <c r="F6658" t="s">
        <v>810</v>
      </c>
      <c r="G6658">
        <v>27</v>
      </c>
    </row>
    <row r="6659" spans="2:17" x14ac:dyDescent="0.2">
      <c r="B6659" t="s">
        <v>5789</v>
      </c>
      <c r="C6659">
        <v>3</v>
      </c>
      <c r="D6659" t="s">
        <v>5708</v>
      </c>
      <c r="E6659">
        <v>35</v>
      </c>
      <c r="F6659" t="s">
        <v>3875</v>
      </c>
      <c r="G6659">
        <v>22</v>
      </c>
      <c r="M6659">
        <v>7</v>
      </c>
    </row>
    <row r="6660" spans="2:17" x14ac:dyDescent="0.2">
      <c r="B6660" t="s">
        <v>5789</v>
      </c>
      <c r="C6660">
        <v>3</v>
      </c>
      <c r="D6660" t="s">
        <v>5708</v>
      </c>
      <c r="E6660">
        <v>36</v>
      </c>
      <c r="F6660" t="s">
        <v>106</v>
      </c>
      <c r="G6660">
        <v>11</v>
      </c>
    </row>
    <row r="6661" spans="2:17" x14ac:dyDescent="0.2">
      <c r="B6661" t="s">
        <v>5789</v>
      </c>
      <c r="C6661">
        <v>3</v>
      </c>
      <c r="D6661" t="s">
        <v>5708</v>
      </c>
      <c r="E6661">
        <v>37</v>
      </c>
      <c r="F6661" t="s">
        <v>7138</v>
      </c>
      <c r="G6661">
        <v>25</v>
      </c>
      <c r="M6661">
        <v>4</v>
      </c>
      <c r="Q6661" t="s">
        <v>8130</v>
      </c>
    </row>
    <row r="6662" spans="2:17" x14ac:dyDescent="0.2">
      <c r="B6662" t="s">
        <v>5789</v>
      </c>
      <c r="C6662">
        <v>3</v>
      </c>
      <c r="D6662" t="s">
        <v>5708</v>
      </c>
      <c r="E6662">
        <v>38</v>
      </c>
      <c r="F6662" t="s">
        <v>5600</v>
      </c>
      <c r="G6662">
        <v>26</v>
      </c>
    </row>
    <row r="6663" spans="2:17" x14ac:dyDescent="0.2">
      <c r="B6663" t="s">
        <v>5789</v>
      </c>
      <c r="C6663">
        <v>4</v>
      </c>
      <c r="D6663" t="s">
        <v>5708</v>
      </c>
      <c r="E6663" s="8" t="s">
        <v>5082</v>
      </c>
      <c r="F6663" t="s">
        <v>1425</v>
      </c>
      <c r="G6663">
        <v>16</v>
      </c>
    </row>
    <row r="6664" spans="2:17" x14ac:dyDescent="0.2">
      <c r="B6664" t="s">
        <v>5789</v>
      </c>
      <c r="C6664">
        <v>4</v>
      </c>
      <c r="D6664" t="s">
        <v>5708</v>
      </c>
      <c r="E6664" s="8" t="s">
        <v>5089</v>
      </c>
      <c r="F6664" t="s">
        <v>1425</v>
      </c>
      <c r="G6664">
        <v>10</v>
      </c>
    </row>
    <row r="6665" spans="2:17" x14ac:dyDescent="0.2">
      <c r="B6665" t="s">
        <v>5789</v>
      </c>
      <c r="C6665">
        <v>4</v>
      </c>
      <c r="D6665" t="s">
        <v>5708</v>
      </c>
      <c r="E6665" s="8" t="s">
        <v>5090</v>
      </c>
      <c r="F6665" t="s">
        <v>1425</v>
      </c>
      <c r="G6665">
        <v>20</v>
      </c>
    </row>
    <row r="6666" spans="2:17" x14ac:dyDescent="0.2">
      <c r="B6666" t="s">
        <v>5789</v>
      </c>
      <c r="C6666">
        <v>4</v>
      </c>
      <c r="D6666" t="s">
        <v>5708</v>
      </c>
      <c r="E6666" s="8" t="s">
        <v>5091</v>
      </c>
      <c r="F6666" t="s">
        <v>1425</v>
      </c>
      <c r="G6666">
        <v>31</v>
      </c>
    </row>
    <row r="6667" spans="2:17" x14ac:dyDescent="0.2">
      <c r="B6667" t="s">
        <v>5789</v>
      </c>
      <c r="C6667">
        <v>4</v>
      </c>
      <c r="D6667" t="s">
        <v>5708</v>
      </c>
      <c r="E6667" s="8" t="s">
        <v>5092</v>
      </c>
      <c r="F6667" t="s">
        <v>1538</v>
      </c>
      <c r="G6667">
        <v>9</v>
      </c>
    </row>
    <row r="6668" spans="2:17" x14ac:dyDescent="0.2">
      <c r="B6668" t="s">
        <v>5789</v>
      </c>
      <c r="C6668">
        <v>4</v>
      </c>
      <c r="D6668" t="s">
        <v>5708</v>
      </c>
      <c r="E6668" s="8" t="s">
        <v>5094</v>
      </c>
      <c r="F6668" t="s">
        <v>1582</v>
      </c>
      <c r="G6668">
        <v>4</v>
      </c>
    </row>
    <row r="6669" spans="2:17" x14ac:dyDescent="0.2">
      <c r="B6669" t="s">
        <v>5789</v>
      </c>
      <c r="C6669">
        <v>4</v>
      </c>
      <c r="D6669" t="s">
        <v>5708</v>
      </c>
      <c r="E6669" s="8" t="s">
        <v>5097</v>
      </c>
      <c r="F6669" t="s">
        <v>827</v>
      </c>
      <c r="G6669">
        <v>2</v>
      </c>
    </row>
    <row r="6670" spans="2:17" x14ac:dyDescent="0.2">
      <c r="B6670" t="s">
        <v>5789</v>
      </c>
      <c r="C6670">
        <v>4</v>
      </c>
      <c r="D6670" t="s">
        <v>5708</v>
      </c>
      <c r="E6670" s="8" t="s">
        <v>5098</v>
      </c>
      <c r="F6670" t="s">
        <v>827</v>
      </c>
      <c r="G6670" t="s">
        <v>114</v>
      </c>
    </row>
    <row r="6671" spans="2:17" x14ac:dyDescent="0.2">
      <c r="B6671" t="s">
        <v>5789</v>
      </c>
      <c r="C6671">
        <v>4</v>
      </c>
      <c r="D6671" t="s">
        <v>5708</v>
      </c>
      <c r="E6671">
        <v>12</v>
      </c>
      <c r="F6671" t="s">
        <v>1559</v>
      </c>
      <c r="G6671">
        <v>1</v>
      </c>
      <c r="Q6671" t="s">
        <v>8135</v>
      </c>
    </row>
    <row r="6672" spans="2:17" x14ac:dyDescent="0.2">
      <c r="B6672" t="s">
        <v>5789</v>
      </c>
      <c r="C6672">
        <v>4</v>
      </c>
      <c r="D6672" t="s">
        <v>5708</v>
      </c>
      <c r="E6672">
        <v>13</v>
      </c>
      <c r="F6672" t="s">
        <v>1559</v>
      </c>
      <c r="G6672">
        <v>1</v>
      </c>
      <c r="Q6672" t="s">
        <v>8131</v>
      </c>
    </row>
    <row r="6673" spans="2:17" x14ac:dyDescent="0.2">
      <c r="B6673" t="s">
        <v>5789</v>
      </c>
      <c r="C6673">
        <v>4</v>
      </c>
      <c r="D6673" t="s">
        <v>5708</v>
      </c>
      <c r="E6673">
        <v>14</v>
      </c>
      <c r="F6673" t="s">
        <v>1559</v>
      </c>
      <c r="G6673">
        <v>1</v>
      </c>
      <c r="Q6673" t="s">
        <v>8134</v>
      </c>
    </row>
    <row r="6674" spans="2:17" x14ac:dyDescent="0.2">
      <c r="B6674" t="s">
        <v>5789</v>
      </c>
      <c r="C6674">
        <v>4</v>
      </c>
      <c r="D6674" t="s">
        <v>5708</v>
      </c>
      <c r="E6674">
        <v>15</v>
      </c>
      <c r="F6674" t="s">
        <v>1559</v>
      </c>
      <c r="G6674">
        <v>1</v>
      </c>
      <c r="Q6674" t="s">
        <v>8132</v>
      </c>
    </row>
    <row r="6675" spans="2:17" x14ac:dyDescent="0.2">
      <c r="B6675" t="s">
        <v>5789</v>
      </c>
      <c r="C6675">
        <v>4</v>
      </c>
      <c r="D6675" t="s">
        <v>5708</v>
      </c>
      <c r="E6675">
        <v>16</v>
      </c>
      <c r="F6675" t="s">
        <v>1559</v>
      </c>
      <c r="G6675">
        <v>1</v>
      </c>
      <c r="Q6675" t="s">
        <v>8133</v>
      </c>
    </row>
    <row r="6676" spans="2:17" x14ac:dyDescent="0.2">
      <c r="B6676" t="s">
        <v>5789</v>
      </c>
      <c r="C6676">
        <v>4</v>
      </c>
      <c r="D6676" t="s">
        <v>5708</v>
      </c>
      <c r="E6676">
        <v>17</v>
      </c>
      <c r="F6676" t="s">
        <v>1559</v>
      </c>
      <c r="G6676">
        <v>7</v>
      </c>
      <c r="M6676">
        <v>7</v>
      </c>
      <c r="O6676" t="s">
        <v>5904</v>
      </c>
    </row>
    <row r="6677" spans="2:17" x14ac:dyDescent="0.2">
      <c r="B6677" t="s">
        <v>5789</v>
      </c>
      <c r="C6677">
        <v>4</v>
      </c>
      <c r="D6677" t="s">
        <v>5708</v>
      </c>
      <c r="E6677">
        <v>18</v>
      </c>
      <c r="F6677" t="s">
        <v>1389</v>
      </c>
      <c r="G6677" t="s">
        <v>114</v>
      </c>
      <c r="Q6677" t="s">
        <v>8139</v>
      </c>
    </row>
    <row r="6678" spans="2:17" x14ac:dyDescent="0.2">
      <c r="B6678" t="s">
        <v>5789</v>
      </c>
      <c r="C6678">
        <v>4</v>
      </c>
      <c r="D6678" t="s">
        <v>5708</v>
      </c>
      <c r="E6678">
        <v>19</v>
      </c>
      <c r="F6678" t="s">
        <v>1389</v>
      </c>
      <c r="G6678">
        <v>1</v>
      </c>
      <c r="Q6678" t="s">
        <v>8140</v>
      </c>
    </row>
    <row r="6679" spans="2:17" x14ac:dyDescent="0.2">
      <c r="B6679" t="s">
        <v>5789</v>
      </c>
      <c r="C6679">
        <v>4</v>
      </c>
      <c r="D6679" t="s">
        <v>5708</v>
      </c>
      <c r="E6679">
        <v>20</v>
      </c>
      <c r="F6679" t="s">
        <v>1389</v>
      </c>
      <c r="G6679">
        <v>8</v>
      </c>
      <c r="Q6679" t="s">
        <v>8137</v>
      </c>
    </row>
    <row r="6680" spans="2:17" x14ac:dyDescent="0.2">
      <c r="B6680" t="s">
        <v>5789</v>
      </c>
      <c r="C6680">
        <v>4</v>
      </c>
      <c r="D6680" t="s">
        <v>5708</v>
      </c>
      <c r="E6680">
        <v>21</v>
      </c>
      <c r="F6680" t="s">
        <v>1389</v>
      </c>
      <c r="G6680">
        <v>1</v>
      </c>
      <c r="Q6680" t="s">
        <v>8138</v>
      </c>
    </row>
    <row r="6681" spans="2:17" x14ac:dyDescent="0.2">
      <c r="B6681" t="s">
        <v>5789</v>
      </c>
      <c r="C6681">
        <v>4</v>
      </c>
      <c r="D6681" t="s">
        <v>5708</v>
      </c>
      <c r="E6681">
        <v>22</v>
      </c>
      <c r="F6681" t="s">
        <v>1389</v>
      </c>
      <c r="G6681" t="s">
        <v>114</v>
      </c>
    </row>
    <row r="6682" spans="2:17" x14ac:dyDescent="0.2">
      <c r="B6682" t="s">
        <v>5789</v>
      </c>
      <c r="C6682">
        <v>4</v>
      </c>
      <c r="D6682" t="s">
        <v>5708</v>
      </c>
      <c r="E6682">
        <v>23</v>
      </c>
      <c r="F6682" t="s">
        <v>1389</v>
      </c>
      <c r="G6682">
        <v>10</v>
      </c>
      <c r="M6682">
        <v>6</v>
      </c>
    </row>
    <row r="6683" spans="2:17" x14ac:dyDescent="0.2">
      <c r="B6683" t="s">
        <v>5789</v>
      </c>
      <c r="C6683">
        <v>4</v>
      </c>
      <c r="D6683" t="s">
        <v>5708</v>
      </c>
      <c r="E6683">
        <v>24</v>
      </c>
      <c r="F6683" t="s">
        <v>7138</v>
      </c>
      <c r="G6683" t="s">
        <v>114</v>
      </c>
      <c r="M6683">
        <v>3</v>
      </c>
      <c r="Q6683" t="s">
        <v>8136</v>
      </c>
    </row>
    <row r="6684" spans="2:17" x14ac:dyDescent="0.2">
      <c r="B6684" t="s">
        <v>5789</v>
      </c>
      <c r="C6684">
        <v>4</v>
      </c>
      <c r="D6684" t="s">
        <v>5708</v>
      </c>
      <c r="E6684">
        <v>25</v>
      </c>
      <c r="F6684" t="s">
        <v>118</v>
      </c>
      <c r="G6684">
        <v>2</v>
      </c>
      <c r="O6684" t="s">
        <v>5905</v>
      </c>
    </row>
    <row r="6685" spans="2:17" x14ac:dyDescent="0.2">
      <c r="B6685" t="s">
        <v>5789</v>
      </c>
      <c r="C6685">
        <v>4</v>
      </c>
      <c r="D6685" t="s">
        <v>5708</v>
      </c>
      <c r="E6685">
        <v>26</v>
      </c>
      <c r="F6685" t="s">
        <v>5574</v>
      </c>
      <c r="G6685">
        <v>27</v>
      </c>
    </row>
    <row r="6686" spans="2:17" x14ac:dyDescent="0.2">
      <c r="B6686" t="s">
        <v>5789</v>
      </c>
      <c r="C6686">
        <v>4</v>
      </c>
      <c r="D6686" t="s">
        <v>5708</v>
      </c>
      <c r="E6686">
        <v>27</v>
      </c>
      <c r="F6686" t="s">
        <v>106</v>
      </c>
      <c r="G6686">
        <v>9</v>
      </c>
    </row>
    <row r="6687" spans="2:17" x14ac:dyDescent="0.2">
      <c r="B6687" t="s">
        <v>5789</v>
      </c>
      <c r="C6687">
        <v>4</v>
      </c>
      <c r="D6687" t="s">
        <v>5708</v>
      </c>
      <c r="E6687">
        <v>1</v>
      </c>
      <c r="F6687" t="s">
        <v>1264</v>
      </c>
      <c r="H6687">
        <f>7.8-0.261+3.6-0.295</f>
        <v>10.843999999999999</v>
      </c>
      <c r="O6687" t="s">
        <v>5906</v>
      </c>
    </row>
    <row r="6688" spans="2:17" x14ac:dyDescent="0.2">
      <c r="B6688" t="s">
        <v>5789</v>
      </c>
      <c r="C6688">
        <v>4</v>
      </c>
      <c r="D6688" t="s">
        <v>5708</v>
      </c>
      <c r="E6688">
        <v>10</v>
      </c>
      <c r="F6688" t="s">
        <v>3875</v>
      </c>
      <c r="G6688">
        <v>264</v>
      </c>
      <c r="O6688" t="s">
        <v>5907</v>
      </c>
    </row>
    <row r="6689" spans="2:17" x14ac:dyDescent="0.2">
      <c r="B6689" t="s">
        <v>5789</v>
      </c>
      <c r="C6689">
        <v>4</v>
      </c>
      <c r="D6689" t="s">
        <v>5708</v>
      </c>
      <c r="E6689">
        <v>11</v>
      </c>
      <c r="F6689" t="s">
        <v>504</v>
      </c>
      <c r="G6689">
        <v>498</v>
      </c>
      <c r="O6689" t="s">
        <v>5908</v>
      </c>
    </row>
    <row r="6690" spans="2:17" x14ac:dyDescent="0.2">
      <c r="B6690" t="s">
        <v>5789</v>
      </c>
      <c r="C6690">
        <v>5</v>
      </c>
      <c r="D6690" t="s">
        <v>5708</v>
      </c>
      <c r="E6690" t="s">
        <v>5056</v>
      </c>
      <c r="F6690" t="s">
        <v>5909</v>
      </c>
      <c r="G6690">
        <v>74</v>
      </c>
    </row>
    <row r="6691" spans="2:17" x14ac:dyDescent="0.2">
      <c r="B6691" t="s">
        <v>5789</v>
      </c>
      <c r="C6691">
        <v>5</v>
      </c>
      <c r="D6691" t="s">
        <v>5708</v>
      </c>
      <c r="E6691" s="8" t="s">
        <v>5081</v>
      </c>
      <c r="F6691" t="s">
        <v>106</v>
      </c>
      <c r="G6691">
        <v>3</v>
      </c>
    </row>
    <row r="6692" spans="2:17" x14ac:dyDescent="0.2">
      <c r="B6692" t="s">
        <v>5789</v>
      </c>
      <c r="C6692">
        <v>5</v>
      </c>
      <c r="D6692" t="s">
        <v>5708</v>
      </c>
      <c r="E6692" s="8" t="s">
        <v>5082</v>
      </c>
      <c r="F6692" t="s">
        <v>5574</v>
      </c>
      <c r="G6692">
        <v>7</v>
      </c>
      <c r="M6692">
        <v>3</v>
      </c>
    </row>
    <row r="6693" spans="2:17" x14ac:dyDescent="0.2">
      <c r="B6693" t="s">
        <v>5789</v>
      </c>
      <c r="C6693">
        <v>5</v>
      </c>
      <c r="D6693" t="s">
        <v>5708</v>
      </c>
      <c r="E6693" s="8" t="s">
        <v>5089</v>
      </c>
      <c r="F6693" t="s">
        <v>7138</v>
      </c>
      <c r="G6693">
        <v>1</v>
      </c>
      <c r="M6693">
        <v>3</v>
      </c>
      <c r="Q6693" t="s">
        <v>8142</v>
      </c>
    </row>
    <row r="6694" spans="2:17" x14ac:dyDescent="0.2">
      <c r="B6694" t="s">
        <v>5789</v>
      </c>
      <c r="C6694">
        <v>5</v>
      </c>
      <c r="D6694" t="s">
        <v>5708</v>
      </c>
      <c r="E6694" s="8" t="s">
        <v>5090</v>
      </c>
      <c r="F6694" t="s">
        <v>2836</v>
      </c>
      <c r="G6694">
        <v>3</v>
      </c>
    </row>
    <row r="6695" spans="2:17" x14ac:dyDescent="0.2">
      <c r="B6695" t="s">
        <v>5789</v>
      </c>
      <c r="C6695">
        <v>5</v>
      </c>
      <c r="D6695" t="s">
        <v>5708</v>
      </c>
      <c r="E6695" s="8" t="s">
        <v>5091</v>
      </c>
      <c r="F6695" t="s">
        <v>5385</v>
      </c>
      <c r="G6695">
        <v>3</v>
      </c>
      <c r="Q6695" t="s">
        <v>8144</v>
      </c>
    </row>
    <row r="6696" spans="2:17" x14ac:dyDescent="0.2">
      <c r="B6696" t="s">
        <v>5789</v>
      </c>
      <c r="C6696">
        <v>5</v>
      </c>
      <c r="D6696" t="s">
        <v>5708</v>
      </c>
      <c r="E6696" s="8" t="s">
        <v>5092</v>
      </c>
      <c r="F6696" t="s">
        <v>7845</v>
      </c>
      <c r="G6696" t="s">
        <v>114</v>
      </c>
      <c r="Q6696" t="s">
        <v>8143</v>
      </c>
    </row>
    <row r="6697" spans="2:17" x14ac:dyDescent="0.2">
      <c r="B6697" t="s">
        <v>5789</v>
      </c>
      <c r="C6697">
        <v>5</v>
      </c>
      <c r="D6697" t="s">
        <v>5708</v>
      </c>
      <c r="E6697" s="8" t="s">
        <v>5094</v>
      </c>
      <c r="F6697" t="s">
        <v>2553</v>
      </c>
      <c r="G6697" t="s">
        <v>114</v>
      </c>
    </row>
    <row r="6698" spans="2:17" x14ac:dyDescent="0.2">
      <c r="B6698" t="s">
        <v>5789</v>
      </c>
      <c r="C6698">
        <v>5</v>
      </c>
      <c r="D6698" t="s">
        <v>5708</v>
      </c>
      <c r="E6698" s="8" t="s">
        <v>5097</v>
      </c>
      <c r="F6698" t="s">
        <v>6978</v>
      </c>
      <c r="G6698" t="s">
        <v>114</v>
      </c>
      <c r="Q6698" t="s">
        <v>8141</v>
      </c>
    </row>
    <row r="6699" spans="2:17" x14ac:dyDescent="0.2">
      <c r="B6699" t="s">
        <v>5789</v>
      </c>
      <c r="C6699">
        <v>5</v>
      </c>
      <c r="D6699" t="s">
        <v>5708</v>
      </c>
      <c r="E6699" s="8" t="s">
        <v>5098</v>
      </c>
      <c r="F6699" t="s">
        <v>3875</v>
      </c>
      <c r="G6699">
        <v>9</v>
      </c>
      <c r="M6699">
        <v>2</v>
      </c>
    </row>
    <row r="6700" spans="2:17" x14ac:dyDescent="0.2">
      <c r="B6700" t="s">
        <v>5789</v>
      </c>
      <c r="C6700">
        <v>5</v>
      </c>
      <c r="D6700" t="s">
        <v>5708</v>
      </c>
      <c r="E6700" s="8" t="s">
        <v>5166</v>
      </c>
      <c r="F6700" t="s">
        <v>698</v>
      </c>
      <c r="G6700" t="s">
        <v>114</v>
      </c>
      <c r="M6700">
        <v>2</v>
      </c>
      <c r="Q6700" t="s">
        <v>8142</v>
      </c>
    </row>
    <row r="6701" spans="2:17" x14ac:dyDescent="0.2">
      <c r="B6701" t="s">
        <v>5789</v>
      </c>
      <c r="C6701">
        <v>5</v>
      </c>
      <c r="D6701" t="s">
        <v>5708</v>
      </c>
      <c r="E6701">
        <v>14</v>
      </c>
      <c r="F6701" t="s">
        <v>2553</v>
      </c>
      <c r="G6701" t="s">
        <v>114</v>
      </c>
    </row>
    <row r="6702" spans="2:17" x14ac:dyDescent="0.2">
      <c r="B6702" t="s">
        <v>5789</v>
      </c>
      <c r="C6702">
        <v>5</v>
      </c>
      <c r="D6702" t="s">
        <v>5708</v>
      </c>
      <c r="E6702">
        <v>13</v>
      </c>
      <c r="F6702" t="s">
        <v>6756</v>
      </c>
      <c r="G6702">
        <v>5</v>
      </c>
    </row>
    <row r="6703" spans="2:17" x14ac:dyDescent="0.2">
      <c r="B6703" t="s">
        <v>5789</v>
      </c>
      <c r="C6703">
        <v>5</v>
      </c>
      <c r="D6703" t="s">
        <v>5708</v>
      </c>
      <c r="E6703">
        <v>11</v>
      </c>
      <c r="F6703" t="s">
        <v>1264</v>
      </c>
      <c r="G6703">
        <v>207</v>
      </c>
    </row>
    <row r="6704" spans="2:17" x14ac:dyDescent="0.2">
      <c r="B6704" t="s">
        <v>5789</v>
      </c>
      <c r="C6704">
        <v>5</v>
      </c>
      <c r="D6704" t="s">
        <v>5708</v>
      </c>
      <c r="E6704">
        <v>12</v>
      </c>
      <c r="F6704" t="s">
        <v>504</v>
      </c>
      <c r="G6704">
        <v>164</v>
      </c>
    </row>
    <row r="6705" spans="2:17" x14ac:dyDescent="0.2">
      <c r="B6705" t="s">
        <v>5789</v>
      </c>
      <c r="C6705">
        <v>1</v>
      </c>
      <c r="D6705" t="s">
        <v>5708</v>
      </c>
      <c r="E6705" t="s">
        <v>5056</v>
      </c>
      <c r="F6705" t="s">
        <v>1264</v>
      </c>
      <c r="G6705">
        <v>31.6</v>
      </c>
    </row>
    <row r="6706" spans="2:17" x14ac:dyDescent="0.2">
      <c r="B6706" t="s">
        <v>5789</v>
      </c>
      <c r="C6706">
        <v>6</v>
      </c>
      <c r="D6706" t="s">
        <v>5708</v>
      </c>
      <c r="E6706" s="8" t="s">
        <v>5081</v>
      </c>
      <c r="F6706" t="s">
        <v>5385</v>
      </c>
      <c r="G6706">
        <v>4</v>
      </c>
    </row>
    <row r="6707" spans="2:17" x14ac:dyDescent="0.2">
      <c r="B6707" t="s">
        <v>5789</v>
      </c>
      <c r="C6707">
        <v>6</v>
      </c>
      <c r="D6707" t="s">
        <v>5708</v>
      </c>
      <c r="E6707" s="8" t="s">
        <v>5082</v>
      </c>
      <c r="F6707" t="s">
        <v>5385</v>
      </c>
      <c r="G6707">
        <v>2</v>
      </c>
      <c r="Q6707" t="s">
        <v>8163</v>
      </c>
    </row>
    <row r="6708" spans="2:17" x14ac:dyDescent="0.2">
      <c r="B6708" t="s">
        <v>5789</v>
      </c>
      <c r="C6708">
        <v>6</v>
      </c>
      <c r="D6708" t="s">
        <v>5708</v>
      </c>
      <c r="E6708" s="8" t="s">
        <v>5089</v>
      </c>
      <c r="F6708" t="s">
        <v>5385</v>
      </c>
      <c r="G6708">
        <v>1</v>
      </c>
      <c r="Q6708" t="s">
        <v>8162</v>
      </c>
    </row>
    <row r="6709" spans="2:17" x14ac:dyDescent="0.2">
      <c r="B6709" t="s">
        <v>5789</v>
      </c>
      <c r="C6709">
        <v>6</v>
      </c>
      <c r="D6709" t="s">
        <v>5708</v>
      </c>
      <c r="E6709" s="8" t="s">
        <v>5090</v>
      </c>
      <c r="F6709" t="s">
        <v>5385</v>
      </c>
      <c r="G6709">
        <v>2</v>
      </c>
      <c r="Q6709" t="s">
        <v>8161</v>
      </c>
    </row>
    <row r="6710" spans="2:17" x14ac:dyDescent="0.2">
      <c r="B6710" t="s">
        <v>5789</v>
      </c>
      <c r="C6710">
        <v>6</v>
      </c>
      <c r="D6710" t="s">
        <v>5708</v>
      </c>
      <c r="E6710" s="8" t="s">
        <v>5091</v>
      </c>
      <c r="F6710" t="s">
        <v>5385</v>
      </c>
      <c r="G6710">
        <v>2</v>
      </c>
      <c r="Q6710" t="s">
        <v>8160</v>
      </c>
    </row>
    <row r="6711" spans="2:17" x14ac:dyDescent="0.2">
      <c r="B6711" t="s">
        <v>5789</v>
      </c>
      <c r="C6711">
        <v>6</v>
      </c>
      <c r="D6711" t="s">
        <v>5708</v>
      </c>
      <c r="E6711" s="8" t="s">
        <v>5092</v>
      </c>
      <c r="F6711" t="s">
        <v>5385</v>
      </c>
      <c r="G6711">
        <v>10</v>
      </c>
      <c r="M6711">
        <v>5</v>
      </c>
    </row>
    <row r="6712" spans="2:17" x14ac:dyDescent="0.2">
      <c r="B6712" t="s">
        <v>5789</v>
      </c>
      <c r="C6712">
        <v>6</v>
      </c>
      <c r="D6712" t="s">
        <v>5708</v>
      </c>
      <c r="E6712" t="s">
        <v>5056</v>
      </c>
      <c r="F6712" t="s">
        <v>5385</v>
      </c>
      <c r="G6712">
        <v>18</v>
      </c>
      <c r="M6712">
        <v>11</v>
      </c>
      <c r="O6712" t="s">
        <v>5910</v>
      </c>
    </row>
    <row r="6713" spans="2:17" x14ac:dyDescent="0.2">
      <c r="B6713" t="s">
        <v>5789</v>
      </c>
      <c r="C6713">
        <v>6</v>
      </c>
      <c r="D6713" t="s">
        <v>5708</v>
      </c>
      <c r="E6713" s="8" t="s">
        <v>5094</v>
      </c>
      <c r="F6713" t="s">
        <v>1425</v>
      </c>
      <c r="G6713">
        <v>3</v>
      </c>
      <c r="Q6713" t="s">
        <v>8145</v>
      </c>
    </row>
    <row r="6714" spans="2:17" x14ac:dyDescent="0.2">
      <c r="B6714" t="s">
        <v>5789</v>
      </c>
      <c r="C6714">
        <v>6</v>
      </c>
      <c r="D6714" t="s">
        <v>5708</v>
      </c>
      <c r="E6714" s="8" t="s">
        <v>5097</v>
      </c>
      <c r="F6714" t="s">
        <v>1538</v>
      </c>
      <c r="G6714">
        <v>2</v>
      </c>
      <c r="Q6714" t="s">
        <v>8148</v>
      </c>
    </row>
    <row r="6715" spans="2:17" x14ac:dyDescent="0.2">
      <c r="B6715" t="s">
        <v>5789</v>
      </c>
      <c r="C6715">
        <v>6</v>
      </c>
      <c r="D6715" t="s">
        <v>5708</v>
      </c>
      <c r="E6715" s="8" t="s">
        <v>5098</v>
      </c>
      <c r="F6715" t="s">
        <v>1538</v>
      </c>
      <c r="G6715">
        <v>2</v>
      </c>
      <c r="Q6715" t="s">
        <v>8147</v>
      </c>
    </row>
    <row r="6716" spans="2:17" x14ac:dyDescent="0.2">
      <c r="B6716" t="s">
        <v>5789</v>
      </c>
      <c r="C6716">
        <v>6</v>
      </c>
      <c r="D6716" t="s">
        <v>5708</v>
      </c>
      <c r="E6716" s="8" t="s">
        <v>5166</v>
      </c>
      <c r="F6716" t="s">
        <v>1538</v>
      </c>
      <c r="G6716">
        <v>2</v>
      </c>
      <c r="Q6716" t="s">
        <v>8146</v>
      </c>
    </row>
    <row r="6717" spans="2:17" x14ac:dyDescent="0.2">
      <c r="B6717" t="s">
        <v>5789</v>
      </c>
      <c r="C6717">
        <v>6</v>
      </c>
      <c r="D6717" t="s">
        <v>5708</v>
      </c>
      <c r="E6717" s="8" t="s">
        <v>5167</v>
      </c>
      <c r="F6717" t="s">
        <v>1538</v>
      </c>
      <c r="G6717">
        <v>4</v>
      </c>
      <c r="M6717">
        <v>3</v>
      </c>
      <c r="O6717" t="s">
        <v>5692</v>
      </c>
    </row>
    <row r="6718" spans="2:17" x14ac:dyDescent="0.2">
      <c r="B6718" t="s">
        <v>5789</v>
      </c>
      <c r="C6718">
        <v>6</v>
      </c>
      <c r="D6718" t="s">
        <v>5708</v>
      </c>
      <c r="E6718" s="8" t="s">
        <v>5168</v>
      </c>
      <c r="F6718" t="s">
        <v>5353</v>
      </c>
      <c r="G6718">
        <v>2</v>
      </c>
      <c r="Q6718" t="s">
        <v>8149</v>
      </c>
    </row>
    <row r="6719" spans="2:17" x14ac:dyDescent="0.2">
      <c r="B6719" t="s">
        <v>5789</v>
      </c>
      <c r="C6719">
        <v>6</v>
      </c>
      <c r="D6719" t="s">
        <v>5708</v>
      </c>
      <c r="E6719" s="8" t="s">
        <v>5169</v>
      </c>
      <c r="F6719" t="s">
        <v>5353</v>
      </c>
      <c r="G6719" t="s">
        <v>114</v>
      </c>
      <c r="Q6719" t="s">
        <v>8151</v>
      </c>
    </row>
    <row r="6720" spans="2:17" x14ac:dyDescent="0.2">
      <c r="B6720" t="s">
        <v>5789</v>
      </c>
      <c r="C6720">
        <v>6</v>
      </c>
      <c r="D6720" t="s">
        <v>5708</v>
      </c>
      <c r="E6720" s="8" t="s">
        <v>5170</v>
      </c>
      <c r="F6720" t="s">
        <v>5353</v>
      </c>
      <c r="G6720" t="s">
        <v>114</v>
      </c>
      <c r="Q6720" t="s">
        <v>8152</v>
      </c>
    </row>
    <row r="6721" spans="2:17" x14ac:dyDescent="0.2">
      <c r="B6721" t="s">
        <v>5789</v>
      </c>
      <c r="C6721">
        <v>6</v>
      </c>
      <c r="D6721" t="s">
        <v>5708</v>
      </c>
      <c r="E6721" s="8" t="s">
        <v>5171</v>
      </c>
      <c r="F6721" t="s">
        <v>5353</v>
      </c>
      <c r="G6721" t="s">
        <v>114</v>
      </c>
      <c r="Q6721" t="s">
        <v>8150</v>
      </c>
    </row>
    <row r="6722" spans="2:17" x14ac:dyDescent="0.2">
      <c r="B6722" t="s">
        <v>5789</v>
      </c>
      <c r="C6722">
        <v>6</v>
      </c>
      <c r="D6722" t="s">
        <v>5708</v>
      </c>
      <c r="E6722" s="8" t="s">
        <v>5140</v>
      </c>
      <c r="F6722" t="s">
        <v>5353</v>
      </c>
      <c r="G6722" t="s">
        <v>114</v>
      </c>
      <c r="Q6722" t="s">
        <v>8153</v>
      </c>
    </row>
    <row r="6723" spans="2:17" x14ac:dyDescent="0.2">
      <c r="B6723" t="s">
        <v>5789</v>
      </c>
      <c r="C6723">
        <v>6</v>
      </c>
      <c r="D6723" t="s">
        <v>5708</v>
      </c>
      <c r="E6723" s="8" t="s">
        <v>5141</v>
      </c>
      <c r="F6723" t="s">
        <v>6978</v>
      </c>
      <c r="G6723">
        <v>1</v>
      </c>
      <c r="Q6723" t="s">
        <v>8159</v>
      </c>
    </row>
    <row r="6724" spans="2:17" x14ac:dyDescent="0.2">
      <c r="B6724" t="s">
        <v>5789</v>
      </c>
      <c r="C6724">
        <v>6</v>
      </c>
      <c r="D6724" t="s">
        <v>5708</v>
      </c>
      <c r="E6724" s="8" t="s">
        <v>5142</v>
      </c>
      <c r="F6724" t="s">
        <v>6978</v>
      </c>
      <c r="G6724">
        <v>1</v>
      </c>
      <c r="Q6724" t="s">
        <v>8158</v>
      </c>
    </row>
    <row r="6725" spans="2:17" x14ac:dyDescent="0.2">
      <c r="B6725" t="s">
        <v>5789</v>
      </c>
      <c r="C6725">
        <v>6</v>
      </c>
      <c r="D6725" t="s">
        <v>5708</v>
      </c>
      <c r="E6725" s="8" t="s">
        <v>5143</v>
      </c>
      <c r="F6725" t="s">
        <v>6978</v>
      </c>
      <c r="G6725" t="s">
        <v>114</v>
      </c>
      <c r="M6725">
        <v>2</v>
      </c>
      <c r="Q6725" t="s">
        <v>8157</v>
      </c>
    </row>
    <row r="6726" spans="2:17" x14ac:dyDescent="0.2">
      <c r="B6726" t="s">
        <v>5789</v>
      </c>
      <c r="C6726">
        <v>6</v>
      </c>
      <c r="D6726" t="s">
        <v>5708</v>
      </c>
      <c r="E6726" s="8" t="s">
        <v>5144</v>
      </c>
      <c r="F6726" t="s">
        <v>6978</v>
      </c>
      <c r="G6726">
        <v>1</v>
      </c>
      <c r="Q6726" t="s">
        <v>8156</v>
      </c>
    </row>
    <row r="6727" spans="2:17" x14ac:dyDescent="0.2">
      <c r="B6727" t="s">
        <v>5789</v>
      </c>
      <c r="C6727">
        <v>6</v>
      </c>
      <c r="D6727" t="s">
        <v>5708</v>
      </c>
      <c r="E6727" s="8" t="s">
        <v>5145</v>
      </c>
      <c r="F6727" t="s">
        <v>6978</v>
      </c>
      <c r="G6727" t="s">
        <v>114</v>
      </c>
      <c r="Q6727" t="s">
        <v>8155</v>
      </c>
    </row>
    <row r="6728" spans="2:17" x14ac:dyDescent="0.2">
      <c r="B6728" t="s">
        <v>5789</v>
      </c>
      <c r="C6728">
        <v>6</v>
      </c>
      <c r="D6728" t="s">
        <v>5708</v>
      </c>
      <c r="E6728" s="8" t="s">
        <v>5146</v>
      </c>
      <c r="F6728" t="s">
        <v>6978</v>
      </c>
      <c r="G6728">
        <v>2</v>
      </c>
      <c r="M6728">
        <v>3</v>
      </c>
      <c r="Q6728" t="s">
        <v>8154</v>
      </c>
    </row>
    <row r="6729" spans="2:17" x14ac:dyDescent="0.2">
      <c r="B6729" t="s">
        <v>5789</v>
      </c>
      <c r="C6729">
        <v>6</v>
      </c>
      <c r="D6729" t="s">
        <v>5708</v>
      </c>
      <c r="E6729" t="s">
        <v>5056</v>
      </c>
      <c r="F6729" t="s">
        <v>5369</v>
      </c>
      <c r="G6729">
        <v>2</v>
      </c>
      <c r="M6729">
        <v>11</v>
      </c>
      <c r="O6729" t="s">
        <v>5911</v>
      </c>
    </row>
    <row r="6730" spans="2:17" x14ac:dyDescent="0.2">
      <c r="B6730" t="s">
        <v>5789</v>
      </c>
      <c r="C6730">
        <v>6</v>
      </c>
      <c r="D6730" t="s">
        <v>5708</v>
      </c>
      <c r="E6730">
        <v>23</v>
      </c>
      <c r="F6730" t="s">
        <v>7363</v>
      </c>
      <c r="G6730">
        <v>16</v>
      </c>
    </row>
    <row r="6731" spans="2:17" x14ac:dyDescent="0.2">
      <c r="B6731" t="s">
        <v>5789</v>
      </c>
      <c r="C6731">
        <v>6</v>
      </c>
      <c r="D6731" t="s">
        <v>5708</v>
      </c>
      <c r="E6731">
        <v>24</v>
      </c>
      <c r="F6731" t="s">
        <v>8164</v>
      </c>
      <c r="G6731">
        <v>18</v>
      </c>
      <c r="M6731">
        <v>5.5</v>
      </c>
      <c r="N6731" t="s">
        <v>8165</v>
      </c>
      <c r="Q6731" t="s">
        <v>8166</v>
      </c>
    </row>
    <row r="6732" spans="2:17" x14ac:dyDescent="0.2">
      <c r="B6732" t="s">
        <v>5789</v>
      </c>
      <c r="C6732">
        <v>6</v>
      </c>
      <c r="D6732" t="s">
        <v>5708</v>
      </c>
      <c r="E6732">
        <v>25</v>
      </c>
      <c r="F6732" t="s">
        <v>121</v>
      </c>
      <c r="G6732">
        <v>15</v>
      </c>
    </row>
    <row r="6733" spans="2:17" x14ac:dyDescent="0.2">
      <c r="B6733" t="s">
        <v>5789</v>
      </c>
      <c r="C6733">
        <v>6</v>
      </c>
      <c r="D6733" t="s">
        <v>5708</v>
      </c>
      <c r="E6733">
        <v>26</v>
      </c>
      <c r="F6733" t="s">
        <v>6756</v>
      </c>
      <c r="G6733" t="s">
        <v>114</v>
      </c>
    </row>
    <row r="6734" spans="2:17" x14ac:dyDescent="0.2">
      <c r="B6734" t="s">
        <v>5789</v>
      </c>
      <c r="C6734">
        <v>6</v>
      </c>
      <c r="D6734" t="s">
        <v>5708</v>
      </c>
      <c r="E6734">
        <v>27</v>
      </c>
      <c r="F6734" t="s">
        <v>5390</v>
      </c>
      <c r="G6734">
        <v>3</v>
      </c>
    </row>
    <row r="6735" spans="2:17" x14ac:dyDescent="0.2">
      <c r="B6735" t="s">
        <v>5789</v>
      </c>
      <c r="C6735">
        <v>6</v>
      </c>
      <c r="D6735" t="s">
        <v>5708</v>
      </c>
      <c r="E6735">
        <v>28</v>
      </c>
      <c r="F6735" t="s">
        <v>116</v>
      </c>
      <c r="G6735">
        <v>17</v>
      </c>
    </row>
    <row r="6736" spans="2:17" x14ac:dyDescent="0.2">
      <c r="B6736" t="s">
        <v>5789</v>
      </c>
      <c r="C6736">
        <v>6</v>
      </c>
      <c r="D6736" t="s">
        <v>5708</v>
      </c>
      <c r="E6736">
        <v>29</v>
      </c>
      <c r="F6736" t="s">
        <v>5912</v>
      </c>
      <c r="G6736" t="s">
        <v>114</v>
      </c>
    </row>
    <row r="6737" spans="1:17" x14ac:dyDescent="0.2">
      <c r="B6737" t="s">
        <v>5789</v>
      </c>
      <c r="C6737">
        <v>6</v>
      </c>
      <c r="D6737" t="s">
        <v>5708</v>
      </c>
      <c r="E6737">
        <v>30</v>
      </c>
      <c r="F6737" t="s">
        <v>2553</v>
      </c>
      <c r="G6737" t="s">
        <v>114</v>
      </c>
      <c r="M6737">
        <v>3</v>
      </c>
      <c r="O6737" t="s">
        <v>5913</v>
      </c>
    </row>
    <row r="6738" spans="1:17" x14ac:dyDescent="0.2">
      <c r="B6738" t="s">
        <v>5789</v>
      </c>
      <c r="C6738">
        <v>6</v>
      </c>
      <c r="D6738" t="s">
        <v>5708</v>
      </c>
      <c r="E6738">
        <v>32</v>
      </c>
      <c r="F6738" t="s">
        <v>504</v>
      </c>
      <c r="G6738">
        <f>1431-427</f>
        <v>1004</v>
      </c>
      <c r="O6738" t="s">
        <v>5914</v>
      </c>
    </row>
    <row r="6739" spans="1:17" x14ac:dyDescent="0.2">
      <c r="B6739" t="s">
        <v>5789</v>
      </c>
      <c r="C6739">
        <v>6</v>
      </c>
      <c r="D6739" t="s">
        <v>5708</v>
      </c>
      <c r="E6739">
        <v>31</v>
      </c>
      <c r="F6739" t="s">
        <v>1264</v>
      </c>
      <c r="G6739">
        <f>2250-285</f>
        <v>1965</v>
      </c>
      <c r="O6739" t="s">
        <v>5915</v>
      </c>
    </row>
    <row r="6740" spans="1:17" x14ac:dyDescent="0.2">
      <c r="B6740" t="s">
        <v>5789</v>
      </c>
      <c r="C6740">
        <v>1</v>
      </c>
      <c r="D6740" t="s">
        <v>5708</v>
      </c>
      <c r="E6740" s="8" t="s">
        <v>5089</v>
      </c>
      <c r="F6740" t="s">
        <v>112</v>
      </c>
      <c r="G6740">
        <v>177</v>
      </c>
    </row>
    <row r="6741" spans="1:17" x14ac:dyDescent="0.2">
      <c r="B6741" t="s">
        <v>5789</v>
      </c>
      <c r="C6741">
        <v>1</v>
      </c>
      <c r="D6741" t="s">
        <v>5708</v>
      </c>
      <c r="E6741" s="8" t="s">
        <v>5081</v>
      </c>
      <c r="F6741" t="s">
        <v>740</v>
      </c>
      <c r="G6741">
        <v>3600</v>
      </c>
    </row>
    <row r="6742" spans="1:17" x14ac:dyDescent="0.2">
      <c r="B6742" t="s">
        <v>5789</v>
      </c>
      <c r="C6742">
        <v>1</v>
      </c>
      <c r="D6742" t="s">
        <v>5708</v>
      </c>
      <c r="E6742" s="8" t="s">
        <v>5082</v>
      </c>
      <c r="F6742" t="s">
        <v>5916</v>
      </c>
      <c r="G6742">
        <v>287</v>
      </c>
    </row>
    <row r="6743" spans="1:17" x14ac:dyDescent="0.2">
      <c r="B6743" t="s">
        <v>5789</v>
      </c>
      <c r="C6743">
        <v>1</v>
      </c>
      <c r="D6743" t="s">
        <v>5708</v>
      </c>
      <c r="E6743" t="s">
        <v>5056</v>
      </c>
      <c r="F6743" t="s">
        <v>5917</v>
      </c>
      <c r="G6743">
        <v>443</v>
      </c>
      <c r="O6743" t="s">
        <v>5918</v>
      </c>
    </row>
    <row r="6744" spans="1:17" x14ac:dyDescent="0.2">
      <c r="B6744" t="s">
        <v>5789</v>
      </c>
      <c r="C6744">
        <v>1</v>
      </c>
      <c r="D6744" t="s">
        <v>5708</v>
      </c>
      <c r="E6744" t="s">
        <v>5056</v>
      </c>
      <c r="F6744" t="s">
        <v>5919</v>
      </c>
      <c r="H6744">
        <f>9.9-1.8</f>
        <v>8.1</v>
      </c>
    </row>
    <row r="6745" spans="1:17" x14ac:dyDescent="0.2">
      <c r="A6745" t="s">
        <v>5706</v>
      </c>
      <c r="B6745" t="s">
        <v>5707</v>
      </c>
      <c r="C6745">
        <v>2</v>
      </c>
      <c r="D6745" t="s">
        <v>5708</v>
      </c>
      <c r="E6745" s="8" t="s">
        <v>5081</v>
      </c>
      <c r="F6745" t="s">
        <v>7337</v>
      </c>
      <c r="G6745">
        <v>98</v>
      </c>
      <c r="Q6745" t="s">
        <v>8292</v>
      </c>
    </row>
    <row r="6746" spans="1:17" x14ac:dyDescent="0.2">
      <c r="A6746" t="s">
        <v>5706</v>
      </c>
      <c r="B6746" t="s">
        <v>5707</v>
      </c>
      <c r="C6746">
        <v>2</v>
      </c>
      <c r="D6746" t="s">
        <v>5708</v>
      </c>
      <c r="E6746" s="8" t="s">
        <v>5082</v>
      </c>
      <c r="F6746" t="s">
        <v>7337</v>
      </c>
      <c r="G6746">
        <v>64</v>
      </c>
      <c r="Q6746" t="s">
        <v>8293</v>
      </c>
    </row>
    <row r="6747" spans="1:17" x14ac:dyDescent="0.2">
      <c r="A6747" t="s">
        <v>5706</v>
      </c>
      <c r="B6747" t="s">
        <v>5707</v>
      </c>
      <c r="C6747">
        <v>2</v>
      </c>
      <c r="D6747" t="s">
        <v>5708</v>
      </c>
      <c r="E6747" s="8" t="s">
        <v>5089</v>
      </c>
      <c r="F6747" t="s">
        <v>7337</v>
      </c>
      <c r="G6747">
        <v>6</v>
      </c>
      <c r="Q6747" t="s">
        <v>8294</v>
      </c>
    </row>
    <row r="6748" spans="1:17" x14ac:dyDescent="0.2">
      <c r="A6748" t="s">
        <v>5706</v>
      </c>
      <c r="B6748" t="s">
        <v>5707</v>
      </c>
      <c r="C6748">
        <v>2</v>
      </c>
      <c r="D6748" t="s">
        <v>5708</v>
      </c>
      <c r="E6748" s="8" t="s">
        <v>5090</v>
      </c>
      <c r="F6748" t="s">
        <v>7337</v>
      </c>
      <c r="G6748">
        <v>10</v>
      </c>
      <c r="Q6748" t="s">
        <v>8295</v>
      </c>
    </row>
    <row r="6749" spans="1:17" x14ac:dyDescent="0.2">
      <c r="A6749" t="s">
        <v>5706</v>
      </c>
      <c r="B6749" t="s">
        <v>5707</v>
      </c>
      <c r="C6749">
        <v>2</v>
      </c>
      <c r="D6749" t="s">
        <v>5708</v>
      </c>
      <c r="E6749" s="8" t="s">
        <v>5155</v>
      </c>
      <c r="F6749" t="s">
        <v>1264</v>
      </c>
      <c r="H6749">
        <f>3-0.285</f>
        <v>2.7149999999999999</v>
      </c>
      <c r="O6749" t="s">
        <v>5264</v>
      </c>
    </row>
    <row r="6750" spans="1:17" x14ac:dyDescent="0.2">
      <c r="A6750" t="s">
        <v>5706</v>
      </c>
      <c r="B6750" t="s">
        <v>5707</v>
      </c>
      <c r="C6750">
        <v>2</v>
      </c>
      <c r="D6750" t="s">
        <v>5708</v>
      </c>
      <c r="E6750" s="8" t="s">
        <v>5091</v>
      </c>
      <c r="F6750" t="s">
        <v>1538</v>
      </c>
      <c r="G6750">
        <v>66</v>
      </c>
      <c r="Q6750" t="s">
        <v>8300</v>
      </c>
    </row>
    <row r="6751" spans="1:17" x14ac:dyDescent="0.2">
      <c r="A6751" t="s">
        <v>5706</v>
      </c>
      <c r="B6751" t="s">
        <v>5707</v>
      </c>
      <c r="C6751">
        <v>2</v>
      </c>
      <c r="D6751" t="s">
        <v>5708</v>
      </c>
      <c r="E6751" s="8" t="s">
        <v>5092</v>
      </c>
      <c r="F6751" t="s">
        <v>1538</v>
      </c>
      <c r="G6751">
        <v>18</v>
      </c>
      <c r="Q6751" t="s">
        <v>8298</v>
      </c>
    </row>
    <row r="6752" spans="1:17" x14ac:dyDescent="0.2">
      <c r="A6752" t="s">
        <v>5706</v>
      </c>
      <c r="B6752" t="s">
        <v>5707</v>
      </c>
      <c r="C6752">
        <v>2</v>
      </c>
      <c r="D6752" t="s">
        <v>5708</v>
      </c>
      <c r="E6752" s="8" t="s">
        <v>5094</v>
      </c>
      <c r="F6752" t="s">
        <v>1538</v>
      </c>
      <c r="G6752">
        <v>72</v>
      </c>
      <c r="Q6752" t="s">
        <v>8296</v>
      </c>
    </row>
    <row r="6753" spans="1:17" x14ac:dyDescent="0.2">
      <c r="A6753" t="s">
        <v>5706</v>
      </c>
      <c r="B6753" t="s">
        <v>5707</v>
      </c>
      <c r="C6753">
        <v>2</v>
      </c>
      <c r="D6753" t="s">
        <v>5708</v>
      </c>
      <c r="E6753" s="8" t="s">
        <v>5097</v>
      </c>
      <c r="F6753" t="s">
        <v>1538</v>
      </c>
      <c r="G6753">
        <v>49</v>
      </c>
      <c r="Q6753" t="s">
        <v>8299</v>
      </c>
    </row>
    <row r="6754" spans="1:17" x14ac:dyDescent="0.2">
      <c r="A6754" t="s">
        <v>5706</v>
      </c>
      <c r="B6754" t="s">
        <v>5707</v>
      </c>
      <c r="C6754">
        <v>2</v>
      </c>
      <c r="D6754" t="s">
        <v>5708</v>
      </c>
      <c r="E6754" s="8" t="s">
        <v>5098</v>
      </c>
      <c r="F6754" t="s">
        <v>1538</v>
      </c>
      <c r="G6754">
        <v>35</v>
      </c>
      <c r="Q6754" t="s">
        <v>8297</v>
      </c>
    </row>
    <row r="6755" spans="1:17" x14ac:dyDescent="0.2">
      <c r="A6755" t="s">
        <v>5706</v>
      </c>
      <c r="B6755" t="s">
        <v>5707</v>
      </c>
      <c r="C6755">
        <v>2</v>
      </c>
      <c r="D6755" t="s">
        <v>5708</v>
      </c>
      <c r="E6755" s="8" t="s">
        <v>5166</v>
      </c>
      <c r="F6755" t="s">
        <v>1538</v>
      </c>
      <c r="G6755">
        <v>202</v>
      </c>
      <c r="M6755">
        <v>5</v>
      </c>
    </row>
    <row r="6756" spans="1:17" x14ac:dyDescent="0.2">
      <c r="A6756" t="s">
        <v>5706</v>
      </c>
      <c r="B6756" t="s">
        <v>5707</v>
      </c>
      <c r="C6756">
        <v>2</v>
      </c>
      <c r="D6756" t="s">
        <v>5708</v>
      </c>
      <c r="E6756" t="s">
        <v>5056</v>
      </c>
      <c r="F6756" t="s">
        <v>5709</v>
      </c>
      <c r="G6756">
        <f>428-261</f>
        <v>167</v>
      </c>
      <c r="O6756" t="s">
        <v>5710</v>
      </c>
    </row>
    <row r="6757" spans="1:17" x14ac:dyDescent="0.2">
      <c r="A6757" t="s">
        <v>5706</v>
      </c>
      <c r="B6757" t="s">
        <v>5707</v>
      </c>
      <c r="C6757">
        <v>2</v>
      </c>
      <c r="D6757" t="s">
        <v>5708</v>
      </c>
      <c r="E6757" t="s">
        <v>5056</v>
      </c>
      <c r="F6757" t="s">
        <v>1538</v>
      </c>
      <c r="G6757">
        <v>310</v>
      </c>
      <c r="M6757">
        <v>6</v>
      </c>
    </row>
    <row r="6758" spans="1:17" x14ac:dyDescent="0.2">
      <c r="A6758" t="s">
        <v>5706</v>
      </c>
      <c r="B6758" t="s">
        <v>5707</v>
      </c>
      <c r="C6758">
        <v>2</v>
      </c>
      <c r="D6758" t="s">
        <v>5708</v>
      </c>
      <c r="E6758" s="8" t="s">
        <v>5167</v>
      </c>
      <c r="F6758" t="s">
        <v>1538</v>
      </c>
      <c r="G6758">
        <v>5</v>
      </c>
      <c r="Q6758" t="s">
        <v>8303</v>
      </c>
    </row>
    <row r="6759" spans="1:17" x14ac:dyDescent="0.2">
      <c r="A6759" t="s">
        <v>5706</v>
      </c>
      <c r="B6759" t="s">
        <v>5707</v>
      </c>
      <c r="C6759">
        <v>2</v>
      </c>
      <c r="D6759" t="s">
        <v>5708</v>
      </c>
      <c r="E6759" s="8" t="s">
        <v>5168</v>
      </c>
      <c r="F6759" t="s">
        <v>1538</v>
      </c>
      <c r="G6759">
        <v>4</v>
      </c>
      <c r="Q6759" t="s">
        <v>8302</v>
      </c>
    </row>
    <row r="6760" spans="1:17" x14ac:dyDescent="0.2">
      <c r="A6760" t="s">
        <v>5706</v>
      </c>
      <c r="B6760" t="s">
        <v>5707</v>
      </c>
      <c r="C6760">
        <v>2</v>
      </c>
      <c r="D6760" t="s">
        <v>5708</v>
      </c>
      <c r="E6760" s="8" t="s">
        <v>5169</v>
      </c>
      <c r="F6760" t="s">
        <v>1538</v>
      </c>
      <c r="G6760">
        <v>7</v>
      </c>
      <c r="Q6760" t="s">
        <v>8301</v>
      </c>
    </row>
    <row r="6761" spans="1:17" x14ac:dyDescent="0.2">
      <c r="A6761" t="s">
        <v>5706</v>
      </c>
      <c r="B6761" t="s">
        <v>5707</v>
      </c>
      <c r="C6761">
        <v>2</v>
      </c>
      <c r="D6761" t="s">
        <v>5708</v>
      </c>
      <c r="E6761" s="8" t="s">
        <v>5170</v>
      </c>
      <c r="F6761" t="s">
        <v>1538</v>
      </c>
      <c r="G6761">
        <v>5</v>
      </c>
      <c r="Q6761" t="s">
        <v>8304</v>
      </c>
    </row>
    <row r="6762" spans="1:17" x14ac:dyDescent="0.2">
      <c r="A6762" t="s">
        <v>5706</v>
      </c>
      <c r="B6762" t="s">
        <v>5707</v>
      </c>
      <c r="C6762">
        <v>2</v>
      </c>
      <c r="D6762" t="s">
        <v>5708</v>
      </c>
      <c r="E6762" s="8" t="s">
        <v>5171</v>
      </c>
      <c r="F6762" t="s">
        <v>6239</v>
      </c>
      <c r="G6762">
        <v>2</v>
      </c>
      <c r="Q6762" t="s">
        <v>8310</v>
      </c>
    </row>
    <row r="6763" spans="1:17" x14ac:dyDescent="0.2">
      <c r="A6763" t="s">
        <v>5706</v>
      </c>
      <c r="B6763" t="s">
        <v>5707</v>
      </c>
      <c r="C6763">
        <v>2</v>
      </c>
      <c r="D6763" t="s">
        <v>5708</v>
      </c>
      <c r="E6763" s="8" t="s">
        <v>5143</v>
      </c>
      <c r="F6763" t="s">
        <v>1538</v>
      </c>
      <c r="G6763">
        <v>2</v>
      </c>
      <c r="Q6763" t="s">
        <v>8307</v>
      </c>
    </row>
    <row r="6764" spans="1:17" x14ac:dyDescent="0.2">
      <c r="A6764" t="s">
        <v>5706</v>
      </c>
      <c r="B6764" t="s">
        <v>5707</v>
      </c>
      <c r="C6764">
        <v>2</v>
      </c>
      <c r="D6764" t="s">
        <v>5708</v>
      </c>
      <c r="E6764" s="8" t="s">
        <v>5144</v>
      </c>
      <c r="F6764" t="s">
        <v>1538</v>
      </c>
      <c r="G6764">
        <v>1</v>
      </c>
      <c r="Q6764" t="s">
        <v>8306</v>
      </c>
    </row>
    <row r="6765" spans="1:17" x14ac:dyDescent="0.2">
      <c r="A6765" t="s">
        <v>5706</v>
      </c>
      <c r="B6765" t="s">
        <v>5707</v>
      </c>
      <c r="C6765">
        <v>2</v>
      </c>
      <c r="D6765" t="s">
        <v>5708</v>
      </c>
      <c r="E6765" s="8" t="s">
        <v>5145</v>
      </c>
      <c r="F6765" t="s">
        <v>1538</v>
      </c>
      <c r="G6765">
        <v>1</v>
      </c>
      <c r="Q6765" t="s">
        <v>8305</v>
      </c>
    </row>
    <row r="6766" spans="1:17" x14ac:dyDescent="0.2">
      <c r="A6766" t="s">
        <v>5706</v>
      </c>
      <c r="B6766" t="s">
        <v>5707</v>
      </c>
      <c r="C6766">
        <v>2</v>
      </c>
      <c r="D6766" t="s">
        <v>5708</v>
      </c>
      <c r="E6766" s="8" t="s">
        <v>5142</v>
      </c>
      <c r="F6766" t="s">
        <v>1538</v>
      </c>
      <c r="G6766" t="s">
        <v>114</v>
      </c>
      <c r="Q6766" t="s">
        <v>8308</v>
      </c>
    </row>
    <row r="6767" spans="1:17" x14ac:dyDescent="0.2">
      <c r="A6767" t="s">
        <v>5706</v>
      </c>
      <c r="B6767" t="s">
        <v>5707</v>
      </c>
      <c r="C6767">
        <v>2</v>
      </c>
      <c r="D6767" t="s">
        <v>5708</v>
      </c>
      <c r="E6767" s="8" t="s">
        <v>5140</v>
      </c>
      <c r="F6767" t="s">
        <v>6239</v>
      </c>
      <c r="G6767">
        <v>1</v>
      </c>
      <c r="Q6767" t="s">
        <v>8311</v>
      </c>
    </row>
    <row r="6768" spans="1:17" x14ac:dyDescent="0.2">
      <c r="A6768" t="s">
        <v>5706</v>
      </c>
      <c r="B6768" t="s">
        <v>5707</v>
      </c>
      <c r="C6768">
        <v>2</v>
      </c>
      <c r="D6768" t="s">
        <v>5708</v>
      </c>
      <c r="E6768" s="8" t="s">
        <v>5141</v>
      </c>
      <c r="F6768" t="s">
        <v>1425</v>
      </c>
      <c r="G6768">
        <v>1</v>
      </c>
      <c r="Q6768" t="s">
        <v>8309</v>
      </c>
    </row>
    <row r="6769" spans="1:17" x14ac:dyDescent="0.2">
      <c r="A6769" t="s">
        <v>5706</v>
      </c>
      <c r="B6769" t="s">
        <v>5707</v>
      </c>
      <c r="C6769">
        <v>2</v>
      </c>
      <c r="D6769" t="s">
        <v>5708</v>
      </c>
      <c r="E6769" s="8" t="s">
        <v>5156</v>
      </c>
      <c r="F6769" t="s">
        <v>1389</v>
      </c>
      <c r="G6769">
        <v>7</v>
      </c>
      <c r="Q6769" t="s">
        <v>8312</v>
      </c>
    </row>
    <row r="6770" spans="1:17" x14ac:dyDescent="0.2">
      <c r="A6770" t="s">
        <v>5706</v>
      </c>
      <c r="B6770" t="s">
        <v>5707</v>
      </c>
      <c r="C6770">
        <v>2</v>
      </c>
      <c r="D6770" t="s">
        <v>5708</v>
      </c>
      <c r="E6770" s="8" t="s">
        <v>5157</v>
      </c>
      <c r="F6770" t="s">
        <v>1389</v>
      </c>
      <c r="G6770">
        <v>6</v>
      </c>
      <c r="Q6770" t="s">
        <v>8313</v>
      </c>
    </row>
    <row r="6771" spans="1:17" x14ac:dyDescent="0.2">
      <c r="A6771" t="s">
        <v>5706</v>
      </c>
      <c r="B6771" t="s">
        <v>5707</v>
      </c>
      <c r="C6771">
        <v>2</v>
      </c>
      <c r="D6771" t="s">
        <v>5708</v>
      </c>
      <c r="E6771" s="8" t="s">
        <v>5158</v>
      </c>
      <c r="F6771" t="s">
        <v>1389</v>
      </c>
      <c r="G6771">
        <v>2</v>
      </c>
      <c r="Q6771" t="s">
        <v>8314</v>
      </c>
    </row>
    <row r="6772" spans="1:17" x14ac:dyDescent="0.2">
      <c r="A6772" t="s">
        <v>5706</v>
      </c>
      <c r="B6772" t="s">
        <v>5707</v>
      </c>
      <c r="C6772">
        <v>2</v>
      </c>
      <c r="D6772" t="s">
        <v>5708</v>
      </c>
      <c r="E6772" s="8" t="s">
        <v>5172</v>
      </c>
      <c r="F6772" t="s">
        <v>1389</v>
      </c>
      <c r="G6772">
        <v>3</v>
      </c>
      <c r="Q6772" t="s">
        <v>8315</v>
      </c>
    </row>
    <row r="6773" spans="1:17" x14ac:dyDescent="0.2">
      <c r="A6773" t="s">
        <v>5706</v>
      </c>
      <c r="B6773" t="s">
        <v>5707</v>
      </c>
      <c r="C6773">
        <v>2</v>
      </c>
      <c r="D6773" t="s">
        <v>5708</v>
      </c>
      <c r="E6773" s="8" t="s">
        <v>5173</v>
      </c>
      <c r="F6773" t="s">
        <v>7845</v>
      </c>
      <c r="G6773" t="s">
        <v>114</v>
      </c>
      <c r="Q6773" t="s">
        <v>8316</v>
      </c>
    </row>
    <row r="6774" spans="1:17" x14ac:dyDescent="0.2">
      <c r="A6774" t="s">
        <v>5706</v>
      </c>
      <c r="B6774" t="s">
        <v>5707</v>
      </c>
      <c r="C6774">
        <v>2</v>
      </c>
      <c r="D6774" t="s">
        <v>5708</v>
      </c>
      <c r="E6774" s="8" t="s">
        <v>5174</v>
      </c>
      <c r="F6774" t="s">
        <v>1389</v>
      </c>
      <c r="G6774">
        <v>12</v>
      </c>
      <c r="M6774">
        <v>2</v>
      </c>
    </row>
    <row r="6775" spans="1:17" x14ac:dyDescent="0.2">
      <c r="A6775" t="s">
        <v>5706</v>
      </c>
      <c r="B6775" t="s">
        <v>5707</v>
      </c>
      <c r="C6775">
        <v>2</v>
      </c>
      <c r="D6775" t="s">
        <v>5708</v>
      </c>
      <c r="E6775" s="8" t="s">
        <v>5175</v>
      </c>
      <c r="F6775" t="s">
        <v>6978</v>
      </c>
      <c r="G6775">
        <v>2</v>
      </c>
      <c r="Q6775" t="s">
        <v>8317</v>
      </c>
    </row>
    <row r="6776" spans="1:17" x14ac:dyDescent="0.2">
      <c r="A6776" t="s">
        <v>5706</v>
      </c>
      <c r="B6776" t="s">
        <v>5707</v>
      </c>
      <c r="C6776">
        <v>2</v>
      </c>
      <c r="D6776" t="s">
        <v>5708</v>
      </c>
      <c r="E6776" s="8" t="s">
        <v>5139</v>
      </c>
      <c r="F6776" t="s">
        <v>6978</v>
      </c>
      <c r="G6776">
        <v>1</v>
      </c>
      <c r="Q6776" t="s">
        <v>8318</v>
      </c>
    </row>
    <row r="6777" spans="1:17" x14ac:dyDescent="0.2">
      <c r="A6777" t="s">
        <v>5706</v>
      </c>
      <c r="B6777" t="s">
        <v>5707</v>
      </c>
      <c r="C6777">
        <v>2</v>
      </c>
      <c r="D6777" t="s">
        <v>5708</v>
      </c>
      <c r="E6777" s="8" t="s">
        <v>5162</v>
      </c>
      <c r="F6777" t="s">
        <v>6978</v>
      </c>
      <c r="G6777">
        <v>1</v>
      </c>
      <c r="Q6777" t="s">
        <v>8319</v>
      </c>
    </row>
    <row r="6778" spans="1:17" x14ac:dyDescent="0.2">
      <c r="A6778" t="s">
        <v>5706</v>
      </c>
      <c r="B6778" t="s">
        <v>5707</v>
      </c>
      <c r="C6778">
        <v>2</v>
      </c>
      <c r="D6778" t="s">
        <v>5708</v>
      </c>
      <c r="E6778" s="8" t="s">
        <v>5159</v>
      </c>
      <c r="F6778" t="s">
        <v>6978</v>
      </c>
      <c r="G6778">
        <v>1</v>
      </c>
      <c r="Q6778" t="s">
        <v>8320</v>
      </c>
    </row>
    <row r="6779" spans="1:17" x14ac:dyDescent="0.2">
      <c r="A6779" t="s">
        <v>5706</v>
      </c>
      <c r="B6779" t="s">
        <v>5707</v>
      </c>
      <c r="C6779">
        <v>2</v>
      </c>
      <c r="D6779" t="s">
        <v>5708</v>
      </c>
      <c r="E6779" s="8" t="s">
        <v>5146</v>
      </c>
      <c r="F6779" t="s">
        <v>504</v>
      </c>
      <c r="G6779">
        <v>91</v>
      </c>
      <c r="O6779" t="s">
        <v>5714</v>
      </c>
    </row>
    <row r="6780" spans="1:17" x14ac:dyDescent="0.2">
      <c r="A6780" t="s">
        <v>5706</v>
      </c>
      <c r="B6780" t="s">
        <v>5707</v>
      </c>
      <c r="C6780">
        <v>2</v>
      </c>
      <c r="D6780" t="s">
        <v>5708</v>
      </c>
      <c r="E6780" s="8" t="s">
        <v>5147</v>
      </c>
      <c r="F6780" t="s">
        <v>5711</v>
      </c>
      <c r="G6780">
        <v>17</v>
      </c>
    </row>
    <row r="6781" spans="1:17" x14ac:dyDescent="0.2">
      <c r="A6781" t="s">
        <v>5706</v>
      </c>
      <c r="B6781" t="s">
        <v>5707</v>
      </c>
      <c r="C6781">
        <v>2</v>
      </c>
      <c r="D6781" t="s">
        <v>5708</v>
      </c>
      <c r="E6781" s="8" t="s">
        <v>5148</v>
      </c>
      <c r="F6781" t="s">
        <v>121</v>
      </c>
      <c r="G6781">
        <v>5</v>
      </c>
      <c r="M6781">
        <v>3</v>
      </c>
    </row>
    <row r="6782" spans="1:17" x14ac:dyDescent="0.2">
      <c r="A6782" t="s">
        <v>5706</v>
      </c>
      <c r="B6782" t="s">
        <v>5707</v>
      </c>
      <c r="C6782">
        <v>2</v>
      </c>
      <c r="D6782" t="s">
        <v>5708</v>
      </c>
      <c r="E6782" s="8" t="s">
        <v>5149</v>
      </c>
      <c r="F6782" t="s">
        <v>810</v>
      </c>
      <c r="G6782">
        <v>2</v>
      </c>
      <c r="M6782">
        <v>1</v>
      </c>
    </row>
    <row r="6783" spans="1:17" x14ac:dyDescent="0.2">
      <c r="A6783" t="s">
        <v>5706</v>
      </c>
      <c r="B6783" t="s">
        <v>5707</v>
      </c>
      <c r="C6783">
        <v>2</v>
      </c>
      <c r="D6783" t="s">
        <v>5708</v>
      </c>
      <c r="E6783" s="8" t="s">
        <v>5150</v>
      </c>
      <c r="F6783" t="s">
        <v>3431</v>
      </c>
      <c r="G6783">
        <v>3</v>
      </c>
      <c r="M6783">
        <v>8</v>
      </c>
    </row>
    <row r="6784" spans="1:17" x14ac:dyDescent="0.2">
      <c r="A6784" t="s">
        <v>5706</v>
      </c>
      <c r="B6784" t="s">
        <v>5707</v>
      </c>
      <c r="C6784">
        <v>2</v>
      </c>
      <c r="D6784" t="s">
        <v>5708</v>
      </c>
      <c r="E6784" s="8" t="s">
        <v>5151</v>
      </c>
      <c r="F6784" t="s">
        <v>5610</v>
      </c>
      <c r="G6784">
        <v>1</v>
      </c>
      <c r="M6784">
        <v>6</v>
      </c>
    </row>
    <row r="6785" spans="1:17" x14ac:dyDescent="0.2">
      <c r="A6785" t="s">
        <v>5706</v>
      </c>
      <c r="B6785" t="s">
        <v>5707</v>
      </c>
      <c r="C6785">
        <v>2</v>
      </c>
      <c r="D6785" t="s">
        <v>5708</v>
      </c>
      <c r="E6785" s="8" t="s">
        <v>5152</v>
      </c>
      <c r="F6785" t="s">
        <v>3927</v>
      </c>
      <c r="G6785">
        <v>1</v>
      </c>
      <c r="M6785">
        <v>2</v>
      </c>
    </row>
    <row r="6786" spans="1:17" x14ac:dyDescent="0.2">
      <c r="A6786" t="s">
        <v>5706</v>
      </c>
      <c r="B6786" t="s">
        <v>5707</v>
      </c>
      <c r="C6786">
        <v>2</v>
      </c>
      <c r="D6786" t="s">
        <v>5708</v>
      </c>
      <c r="E6786" s="8" t="s">
        <v>5153</v>
      </c>
      <c r="F6786" t="s">
        <v>2836</v>
      </c>
      <c r="G6786">
        <v>1</v>
      </c>
      <c r="M6786">
        <v>1</v>
      </c>
    </row>
    <row r="6787" spans="1:17" x14ac:dyDescent="0.2">
      <c r="A6787" t="s">
        <v>5706</v>
      </c>
      <c r="B6787" t="s">
        <v>5707</v>
      </c>
      <c r="C6787">
        <v>2</v>
      </c>
      <c r="D6787" t="s">
        <v>5708</v>
      </c>
      <c r="E6787" s="8" t="s">
        <v>5154</v>
      </c>
      <c r="F6787" t="s">
        <v>5712</v>
      </c>
      <c r="G6787">
        <v>5</v>
      </c>
      <c r="O6787" t="s">
        <v>5713</v>
      </c>
    </row>
    <row r="6788" spans="1:17" x14ac:dyDescent="0.2">
      <c r="A6788" t="s">
        <v>5706</v>
      </c>
      <c r="B6788" t="s">
        <v>5707</v>
      </c>
      <c r="C6788">
        <v>3</v>
      </c>
      <c r="D6788" t="s">
        <v>5708</v>
      </c>
      <c r="E6788">
        <v>24</v>
      </c>
      <c r="F6788" t="s">
        <v>504</v>
      </c>
      <c r="G6788">
        <f>864-308</f>
        <v>556</v>
      </c>
      <c r="O6788" t="s">
        <v>5716</v>
      </c>
    </row>
    <row r="6789" spans="1:17" x14ac:dyDescent="0.2">
      <c r="A6789" t="s">
        <v>5706</v>
      </c>
      <c r="B6789" t="s">
        <v>5707</v>
      </c>
      <c r="C6789">
        <v>3</v>
      </c>
      <c r="D6789" t="s">
        <v>5708</v>
      </c>
      <c r="E6789" t="s">
        <v>5056</v>
      </c>
      <c r="F6789" t="s">
        <v>5715</v>
      </c>
      <c r="G6789">
        <f>431-295</f>
        <v>136</v>
      </c>
    </row>
    <row r="6790" spans="1:17" x14ac:dyDescent="0.2">
      <c r="A6790" t="s">
        <v>5706</v>
      </c>
      <c r="B6790" t="s">
        <v>5707</v>
      </c>
      <c r="C6790">
        <v>3</v>
      </c>
      <c r="D6790" t="s">
        <v>5708</v>
      </c>
      <c r="E6790">
        <v>25</v>
      </c>
      <c r="F6790" t="s">
        <v>1264</v>
      </c>
      <c r="H6790">
        <f>4.6-0.345</f>
        <v>4.2549999999999999</v>
      </c>
      <c r="O6790" t="s">
        <v>5717</v>
      </c>
    </row>
    <row r="6791" spans="1:17" x14ac:dyDescent="0.2">
      <c r="A6791" t="s">
        <v>5706</v>
      </c>
      <c r="B6791" t="s">
        <v>5707</v>
      </c>
      <c r="C6791">
        <v>3</v>
      </c>
      <c r="D6791" t="s">
        <v>5708</v>
      </c>
      <c r="E6791" s="8" t="s">
        <v>5081</v>
      </c>
      <c r="F6791" t="s">
        <v>1538</v>
      </c>
      <c r="G6791">
        <v>62</v>
      </c>
      <c r="Q6791" t="s">
        <v>8287</v>
      </c>
    </row>
    <row r="6792" spans="1:17" x14ac:dyDescent="0.2">
      <c r="A6792" t="s">
        <v>5706</v>
      </c>
      <c r="B6792" t="s">
        <v>5707</v>
      </c>
      <c r="C6792">
        <v>3</v>
      </c>
      <c r="D6792" t="s">
        <v>5708</v>
      </c>
      <c r="E6792" s="8" t="s">
        <v>5082</v>
      </c>
      <c r="F6792" t="s">
        <v>1538</v>
      </c>
      <c r="G6792">
        <v>3</v>
      </c>
      <c r="Q6792" t="s">
        <v>8291</v>
      </c>
    </row>
    <row r="6793" spans="1:17" x14ac:dyDescent="0.2">
      <c r="A6793" t="s">
        <v>5706</v>
      </c>
      <c r="B6793" t="s">
        <v>5707</v>
      </c>
      <c r="C6793">
        <v>3</v>
      </c>
      <c r="D6793" t="s">
        <v>5708</v>
      </c>
      <c r="E6793" s="8" t="s">
        <v>5089</v>
      </c>
      <c r="F6793" t="s">
        <v>1538</v>
      </c>
      <c r="G6793">
        <v>2</v>
      </c>
      <c r="Q6793" t="s">
        <v>8290</v>
      </c>
    </row>
    <row r="6794" spans="1:17" x14ac:dyDescent="0.2">
      <c r="A6794" t="s">
        <v>5706</v>
      </c>
      <c r="B6794" t="s">
        <v>5707</v>
      </c>
      <c r="C6794">
        <v>3</v>
      </c>
      <c r="D6794" t="s">
        <v>5708</v>
      </c>
      <c r="E6794" s="8" t="s">
        <v>5090</v>
      </c>
      <c r="F6794" t="s">
        <v>1538</v>
      </c>
      <c r="G6794">
        <v>13</v>
      </c>
      <c r="Q6794" t="s">
        <v>8289</v>
      </c>
    </row>
    <row r="6795" spans="1:17" x14ac:dyDescent="0.2">
      <c r="A6795" t="s">
        <v>5706</v>
      </c>
      <c r="B6795" t="s">
        <v>5707</v>
      </c>
      <c r="C6795">
        <v>3</v>
      </c>
      <c r="D6795" t="s">
        <v>5708</v>
      </c>
      <c r="E6795" s="8" t="s">
        <v>5091</v>
      </c>
      <c r="F6795" t="s">
        <v>1538</v>
      </c>
      <c r="G6795">
        <v>23</v>
      </c>
      <c r="Q6795" t="s">
        <v>8288</v>
      </c>
    </row>
    <row r="6796" spans="1:17" x14ac:dyDescent="0.2">
      <c r="A6796" t="s">
        <v>5706</v>
      </c>
      <c r="B6796" t="s">
        <v>5707</v>
      </c>
      <c r="C6796">
        <v>3</v>
      </c>
      <c r="D6796" t="s">
        <v>5708</v>
      </c>
      <c r="E6796" s="8" t="s">
        <v>5092</v>
      </c>
      <c r="F6796" t="s">
        <v>1538</v>
      </c>
      <c r="G6796">
        <v>78</v>
      </c>
      <c r="M6796">
        <v>5</v>
      </c>
    </row>
    <row r="6797" spans="1:17" x14ac:dyDescent="0.2">
      <c r="A6797" t="s">
        <v>5706</v>
      </c>
      <c r="B6797" t="s">
        <v>5707</v>
      </c>
      <c r="C6797">
        <v>3</v>
      </c>
      <c r="D6797" t="s">
        <v>5708</v>
      </c>
      <c r="E6797" t="s">
        <v>5056</v>
      </c>
      <c r="F6797" t="s">
        <v>1538</v>
      </c>
      <c r="G6797">
        <v>689</v>
      </c>
      <c r="M6797">
        <v>23</v>
      </c>
    </row>
    <row r="6798" spans="1:17" x14ac:dyDescent="0.2">
      <c r="A6798" t="s">
        <v>5706</v>
      </c>
      <c r="B6798" t="s">
        <v>5707</v>
      </c>
      <c r="C6798">
        <v>3</v>
      </c>
      <c r="D6798" t="s">
        <v>5708</v>
      </c>
      <c r="E6798" s="8" t="s">
        <v>5094</v>
      </c>
      <c r="F6798" t="s">
        <v>1538</v>
      </c>
      <c r="G6798">
        <v>2</v>
      </c>
      <c r="Q6798" t="s">
        <v>8282</v>
      </c>
    </row>
    <row r="6799" spans="1:17" x14ac:dyDescent="0.2">
      <c r="A6799" t="s">
        <v>5706</v>
      </c>
      <c r="B6799" t="s">
        <v>5707</v>
      </c>
      <c r="C6799">
        <v>3</v>
      </c>
      <c r="D6799" t="s">
        <v>5708</v>
      </c>
      <c r="E6799" s="8" t="s">
        <v>5097</v>
      </c>
      <c r="F6799" t="s">
        <v>1538</v>
      </c>
      <c r="G6799">
        <v>6</v>
      </c>
      <c r="Q6799" t="s">
        <v>8284</v>
      </c>
    </row>
    <row r="6800" spans="1:17" x14ac:dyDescent="0.2">
      <c r="A6800" t="s">
        <v>5706</v>
      </c>
      <c r="B6800" t="s">
        <v>5707</v>
      </c>
      <c r="C6800">
        <v>3</v>
      </c>
      <c r="D6800" t="s">
        <v>5708</v>
      </c>
      <c r="E6800" s="8" t="s">
        <v>5098</v>
      </c>
      <c r="F6800" t="s">
        <v>1538</v>
      </c>
      <c r="G6800" t="s">
        <v>114</v>
      </c>
      <c r="Q6800" t="s">
        <v>8286</v>
      </c>
    </row>
    <row r="6801" spans="1:17" x14ac:dyDescent="0.2">
      <c r="A6801" t="s">
        <v>5706</v>
      </c>
      <c r="B6801" t="s">
        <v>5707</v>
      </c>
      <c r="C6801">
        <v>3</v>
      </c>
      <c r="D6801" t="s">
        <v>5708</v>
      </c>
      <c r="E6801">
        <v>10</v>
      </c>
      <c r="F6801" t="s">
        <v>1538</v>
      </c>
      <c r="G6801" t="s">
        <v>114</v>
      </c>
      <c r="Q6801" t="s">
        <v>8285</v>
      </c>
    </row>
    <row r="6802" spans="1:17" x14ac:dyDescent="0.2">
      <c r="A6802" t="s">
        <v>5706</v>
      </c>
      <c r="B6802" t="s">
        <v>5707</v>
      </c>
      <c r="C6802">
        <v>3</v>
      </c>
      <c r="D6802" t="s">
        <v>5708</v>
      </c>
      <c r="E6802">
        <v>11</v>
      </c>
      <c r="F6802" t="s">
        <v>1538</v>
      </c>
      <c r="G6802">
        <v>2</v>
      </c>
      <c r="Q6802" t="s">
        <v>8283</v>
      </c>
    </row>
    <row r="6803" spans="1:17" x14ac:dyDescent="0.2">
      <c r="A6803" t="s">
        <v>5706</v>
      </c>
      <c r="B6803" t="s">
        <v>5707</v>
      </c>
      <c r="C6803">
        <v>3</v>
      </c>
      <c r="D6803" t="s">
        <v>5708</v>
      </c>
      <c r="E6803">
        <v>12</v>
      </c>
      <c r="F6803" t="s">
        <v>1538</v>
      </c>
      <c r="G6803">
        <v>3</v>
      </c>
      <c r="M6803">
        <v>3</v>
      </c>
    </row>
    <row r="6804" spans="1:17" x14ac:dyDescent="0.2">
      <c r="A6804" t="s">
        <v>5706</v>
      </c>
      <c r="B6804" t="s">
        <v>5707</v>
      </c>
      <c r="C6804">
        <v>3</v>
      </c>
      <c r="D6804" t="s">
        <v>5708</v>
      </c>
      <c r="E6804">
        <v>13</v>
      </c>
      <c r="F6804" t="s">
        <v>8278</v>
      </c>
      <c r="G6804">
        <v>66</v>
      </c>
      <c r="Q6804" t="s">
        <v>8277</v>
      </c>
    </row>
    <row r="6805" spans="1:17" x14ac:dyDescent="0.2">
      <c r="A6805" t="s">
        <v>5706</v>
      </c>
      <c r="B6805" t="s">
        <v>5707</v>
      </c>
      <c r="C6805">
        <v>3</v>
      </c>
      <c r="D6805" t="s">
        <v>5708</v>
      </c>
      <c r="E6805">
        <v>14</v>
      </c>
      <c r="F6805" s="6" t="s">
        <v>7990</v>
      </c>
      <c r="G6805">
        <v>36</v>
      </c>
      <c r="Q6805" t="s">
        <v>8276</v>
      </c>
    </row>
    <row r="6806" spans="1:17" x14ac:dyDescent="0.2">
      <c r="A6806" t="s">
        <v>5706</v>
      </c>
      <c r="B6806" t="s">
        <v>5707</v>
      </c>
      <c r="C6806">
        <v>3</v>
      </c>
      <c r="D6806" t="s">
        <v>5708</v>
      </c>
      <c r="E6806">
        <v>15</v>
      </c>
      <c r="F6806" t="s">
        <v>1389</v>
      </c>
      <c r="G6806">
        <v>17</v>
      </c>
      <c r="Q6806" t="s">
        <v>8274</v>
      </c>
    </row>
    <row r="6807" spans="1:17" x14ac:dyDescent="0.2">
      <c r="A6807" t="s">
        <v>5706</v>
      </c>
      <c r="B6807" t="s">
        <v>5707</v>
      </c>
      <c r="C6807">
        <v>3</v>
      </c>
      <c r="D6807" t="s">
        <v>5708</v>
      </c>
      <c r="E6807">
        <v>18</v>
      </c>
      <c r="F6807" t="s">
        <v>1389</v>
      </c>
      <c r="G6807">
        <v>7</v>
      </c>
      <c r="Q6807" t="s">
        <v>8273</v>
      </c>
    </row>
    <row r="6808" spans="1:17" x14ac:dyDescent="0.2">
      <c r="A6808" t="s">
        <v>5706</v>
      </c>
      <c r="B6808" t="s">
        <v>5707</v>
      </c>
      <c r="C6808">
        <v>3</v>
      </c>
      <c r="D6808" t="s">
        <v>5708</v>
      </c>
      <c r="E6808">
        <v>16</v>
      </c>
      <c r="F6808" t="s">
        <v>1389</v>
      </c>
      <c r="G6808">
        <v>3</v>
      </c>
      <c r="Q6808" t="s">
        <v>8272</v>
      </c>
    </row>
    <row r="6809" spans="1:17" x14ac:dyDescent="0.2">
      <c r="A6809" t="s">
        <v>5706</v>
      </c>
      <c r="B6809" t="s">
        <v>5707</v>
      </c>
      <c r="C6809">
        <v>3</v>
      </c>
      <c r="D6809" t="s">
        <v>5708</v>
      </c>
      <c r="E6809">
        <v>17</v>
      </c>
      <c r="F6809" t="s">
        <v>1389</v>
      </c>
      <c r="G6809">
        <v>7</v>
      </c>
      <c r="Q6809" t="s">
        <v>8271</v>
      </c>
    </row>
    <row r="6810" spans="1:17" x14ac:dyDescent="0.2">
      <c r="A6810" t="s">
        <v>5706</v>
      </c>
      <c r="B6810" t="s">
        <v>5707</v>
      </c>
      <c r="C6810">
        <v>3</v>
      </c>
      <c r="D6810" t="s">
        <v>5708</v>
      </c>
      <c r="E6810">
        <v>19</v>
      </c>
      <c r="F6810" t="s">
        <v>1389</v>
      </c>
      <c r="G6810">
        <v>7</v>
      </c>
      <c r="Q6810" t="s">
        <v>8275</v>
      </c>
    </row>
    <row r="6811" spans="1:17" x14ac:dyDescent="0.2">
      <c r="A6811" t="s">
        <v>5706</v>
      </c>
      <c r="B6811" t="s">
        <v>5707</v>
      </c>
      <c r="C6811">
        <v>3</v>
      </c>
      <c r="D6811" t="s">
        <v>5708</v>
      </c>
      <c r="E6811">
        <v>20</v>
      </c>
      <c r="F6811" t="s">
        <v>1389</v>
      </c>
      <c r="G6811">
        <v>4.5</v>
      </c>
    </row>
    <row r="6812" spans="1:17" x14ac:dyDescent="0.2">
      <c r="A6812" t="s">
        <v>5706</v>
      </c>
      <c r="B6812" t="s">
        <v>5707</v>
      </c>
      <c r="C6812">
        <v>3</v>
      </c>
      <c r="D6812" t="s">
        <v>5708</v>
      </c>
      <c r="E6812" t="s">
        <v>5056</v>
      </c>
      <c r="F6812" t="s">
        <v>1389</v>
      </c>
      <c r="G6812">
        <v>23</v>
      </c>
    </row>
    <row r="6813" spans="1:17" x14ac:dyDescent="0.2">
      <c r="A6813" t="s">
        <v>5706</v>
      </c>
      <c r="B6813" t="s">
        <v>5707</v>
      </c>
      <c r="C6813">
        <v>3</v>
      </c>
      <c r="D6813" t="s">
        <v>5708</v>
      </c>
      <c r="E6813">
        <v>21</v>
      </c>
      <c r="F6813" t="s">
        <v>1425</v>
      </c>
      <c r="G6813">
        <v>3</v>
      </c>
      <c r="Q6813" t="s">
        <v>8279</v>
      </c>
    </row>
    <row r="6814" spans="1:17" x14ac:dyDescent="0.2">
      <c r="A6814" t="s">
        <v>5706</v>
      </c>
      <c r="B6814" t="s">
        <v>5707</v>
      </c>
      <c r="C6814">
        <v>3</v>
      </c>
      <c r="D6814" t="s">
        <v>5708</v>
      </c>
      <c r="E6814">
        <v>22</v>
      </c>
      <c r="F6814" t="s">
        <v>1425</v>
      </c>
      <c r="G6814">
        <v>4</v>
      </c>
      <c r="Q6814" t="s">
        <v>8280</v>
      </c>
    </row>
    <row r="6815" spans="1:17" x14ac:dyDescent="0.2">
      <c r="A6815" t="s">
        <v>5706</v>
      </c>
      <c r="B6815" t="s">
        <v>5707</v>
      </c>
      <c r="C6815">
        <v>3</v>
      </c>
      <c r="D6815" t="s">
        <v>5708</v>
      </c>
      <c r="E6815">
        <v>23</v>
      </c>
      <c r="F6815" t="s">
        <v>1425</v>
      </c>
      <c r="G6815">
        <v>1</v>
      </c>
      <c r="Q6815" t="s">
        <v>8281</v>
      </c>
    </row>
    <row r="6816" spans="1:17" x14ac:dyDescent="0.2">
      <c r="A6816" t="s">
        <v>5706</v>
      </c>
      <c r="B6816" t="s">
        <v>5707</v>
      </c>
      <c r="C6816">
        <v>3</v>
      </c>
      <c r="D6816" t="s">
        <v>5708</v>
      </c>
      <c r="E6816">
        <v>27</v>
      </c>
      <c r="F6816" t="s">
        <v>2789</v>
      </c>
      <c r="G6816">
        <v>2</v>
      </c>
      <c r="M6816">
        <v>13</v>
      </c>
      <c r="O6816" t="s">
        <v>5720</v>
      </c>
    </row>
    <row r="6817" spans="1:17" x14ac:dyDescent="0.2">
      <c r="A6817" t="s">
        <v>5706</v>
      </c>
      <c r="B6817" t="s">
        <v>5707</v>
      </c>
      <c r="C6817">
        <v>3</v>
      </c>
      <c r="D6817" t="s">
        <v>5708</v>
      </c>
      <c r="E6817">
        <v>28</v>
      </c>
      <c r="F6817" t="s">
        <v>3503</v>
      </c>
      <c r="G6817" t="s">
        <v>114</v>
      </c>
    </row>
    <row r="6818" spans="1:17" x14ac:dyDescent="0.2">
      <c r="A6818" t="s">
        <v>5706</v>
      </c>
      <c r="B6818" t="s">
        <v>5707</v>
      </c>
      <c r="C6818">
        <v>3</v>
      </c>
      <c r="D6818" t="s">
        <v>5708</v>
      </c>
      <c r="E6818">
        <v>30</v>
      </c>
      <c r="F6818" t="s">
        <v>810</v>
      </c>
      <c r="G6818">
        <v>12</v>
      </c>
    </row>
    <row r="6819" spans="1:17" x14ac:dyDescent="0.2">
      <c r="A6819" t="s">
        <v>5706</v>
      </c>
      <c r="B6819" t="s">
        <v>5707</v>
      </c>
      <c r="C6819">
        <v>3</v>
      </c>
      <c r="D6819" t="s">
        <v>5708</v>
      </c>
      <c r="E6819">
        <v>29</v>
      </c>
      <c r="F6819" t="s">
        <v>106</v>
      </c>
      <c r="G6819" t="s">
        <v>114</v>
      </c>
    </row>
    <row r="6820" spans="1:17" x14ac:dyDescent="0.2">
      <c r="A6820" t="s">
        <v>5706</v>
      </c>
      <c r="B6820" t="s">
        <v>5707</v>
      </c>
      <c r="C6820">
        <v>3</v>
      </c>
      <c r="D6820" t="s">
        <v>5708</v>
      </c>
      <c r="E6820">
        <v>31</v>
      </c>
      <c r="F6820" t="s">
        <v>125</v>
      </c>
      <c r="G6820">
        <v>2</v>
      </c>
    </row>
    <row r="6821" spans="1:17" x14ac:dyDescent="0.2">
      <c r="A6821" t="s">
        <v>5706</v>
      </c>
      <c r="B6821" t="s">
        <v>5707</v>
      </c>
      <c r="C6821">
        <v>3</v>
      </c>
      <c r="D6821" t="s">
        <v>5708</v>
      </c>
      <c r="E6821">
        <v>26</v>
      </c>
      <c r="F6821" t="s">
        <v>3875</v>
      </c>
      <c r="G6821">
        <v>22</v>
      </c>
    </row>
    <row r="6822" spans="1:17" x14ac:dyDescent="0.2">
      <c r="A6822" t="s">
        <v>5706</v>
      </c>
      <c r="B6822" t="s">
        <v>5707</v>
      </c>
      <c r="C6822">
        <v>3</v>
      </c>
      <c r="D6822" t="s">
        <v>5708</v>
      </c>
      <c r="E6822">
        <v>33</v>
      </c>
      <c r="F6822" t="s">
        <v>7138</v>
      </c>
      <c r="G6822">
        <v>10</v>
      </c>
      <c r="M6822">
        <v>6</v>
      </c>
      <c r="Q6822" t="s">
        <v>8262</v>
      </c>
    </row>
    <row r="6823" spans="1:17" x14ac:dyDescent="0.2">
      <c r="A6823" t="s">
        <v>5706</v>
      </c>
      <c r="B6823" t="s">
        <v>5707</v>
      </c>
      <c r="C6823">
        <v>3</v>
      </c>
      <c r="D6823" t="s">
        <v>5708</v>
      </c>
      <c r="E6823">
        <v>32</v>
      </c>
      <c r="F6823" t="s">
        <v>3431</v>
      </c>
      <c r="G6823">
        <v>10</v>
      </c>
    </row>
    <row r="6824" spans="1:17" x14ac:dyDescent="0.2">
      <c r="A6824" t="s">
        <v>5706</v>
      </c>
      <c r="B6824" t="s">
        <v>5707</v>
      </c>
      <c r="C6824">
        <v>4</v>
      </c>
      <c r="D6824" t="s">
        <v>5708</v>
      </c>
      <c r="E6824">
        <v>33</v>
      </c>
      <c r="F6824" t="s">
        <v>504</v>
      </c>
      <c r="G6824">
        <f>993-40</f>
        <v>953</v>
      </c>
      <c r="O6824" t="s">
        <v>5718</v>
      </c>
      <c r="P6824" t="s">
        <v>5721</v>
      </c>
    </row>
    <row r="6825" spans="1:17" x14ac:dyDescent="0.2">
      <c r="A6825" t="s">
        <v>5706</v>
      </c>
      <c r="B6825" t="s">
        <v>5707</v>
      </c>
      <c r="C6825">
        <v>4</v>
      </c>
      <c r="D6825" t="s">
        <v>5708</v>
      </c>
      <c r="E6825" s="8" t="s">
        <v>5081</v>
      </c>
      <c r="F6825" t="s">
        <v>1264</v>
      </c>
      <c r="H6825">
        <f>10.3-0.357</f>
        <v>9.9430000000000014</v>
      </c>
      <c r="O6825" t="s">
        <v>5719</v>
      </c>
    </row>
    <row r="6826" spans="1:17" x14ac:dyDescent="0.2">
      <c r="A6826" t="s">
        <v>5706</v>
      </c>
      <c r="B6826" t="s">
        <v>5707</v>
      </c>
      <c r="C6826">
        <v>4</v>
      </c>
      <c r="D6826" t="s">
        <v>5708</v>
      </c>
      <c r="E6826" s="8" t="s">
        <v>5082</v>
      </c>
      <c r="F6826" t="s">
        <v>1538</v>
      </c>
      <c r="G6826">
        <v>72</v>
      </c>
      <c r="Q6826" t="s">
        <v>8257</v>
      </c>
    </row>
    <row r="6827" spans="1:17" x14ac:dyDescent="0.2">
      <c r="A6827" t="s">
        <v>5706</v>
      </c>
      <c r="B6827" t="s">
        <v>5707</v>
      </c>
      <c r="C6827">
        <v>4</v>
      </c>
      <c r="D6827" t="s">
        <v>5708</v>
      </c>
      <c r="E6827" s="8" t="s">
        <v>5089</v>
      </c>
      <c r="F6827" t="s">
        <v>1538</v>
      </c>
      <c r="G6827">
        <v>7</v>
      </c>
      <c r="Q6827" t="s">
        <v>8261</v>
      </c>
    </row>
    <row r="6828" spans="1:17" x14ac:dyDescent="0.2">
      <c r="A6828" t="s">
        <v>5706</v>
      </c>
      <c r="B6828" t="s">
        <v>5707</v>
      </c>
      <c r="C6828">
        <v>4</v>
      </c>
      <c r="D6828" t="s">
        <v>5708</v>
      </c>
      <c r="E6828" s="8" t="s">
        <v>5090</v>
      </c>
      <c r="F6828" t="s">
        <v>1538</v>
      </c>
      <c r="G6828">
        <v>43</v>
      </c>
      <c r="Q6828" t="s">
        <v>8258</v>
      </c>
    </row>
    <row r="6829" spans="1:17" x14ac:dyDescent="0.2">
      <c r="A6829" t="s">
        <v>5706</v>
      </c>
      <c r="B6829" t="s">
        <v>5707</v>
      </c>
      <c r="C6829">
        <v>4</v>
      </c>
      <c r="D6829" t="s">
        <v>5708</v>
      </c>
      <c r="E6829" s="8" t="s">
        <v>5091</v>
      </c>
      <c r="F6829" t="s">
        <v>1538</v>
      </c>
      <c r="G6829">
        <v>19</v>
      </c>
      <c r="Q6829" t="s">
        <v>8259</v>
      </c>
    </row>
    <row r="6830" spans="1:17" x14ac:dyDescent="0.2">
      <c r="A6830" t="s">
        <v>5706</v>
      </c>
      <c r="B6830" t="s">
        <v>5707</v>
      </c>
      <c r="C6830">
        <v>4</v>
      </c>
      <c r="D6830" t="s">
        <v>5708</v>
      </c>
      <c r="E6830" s="8" t="s">
        <v>5092</v>
      </c>
      <c r="F6830" t="s">
        <v>1538</v>
      </c>
      <c r="G6830">
        <v>1</v>
      </c>
      <c r="Q6830" t="s">
        <v>8260</v>
      </c>
    </row>
    <row r="6831" spans="1:17" x14ac:dyDescent="0.2">
      <c r="A6831" t="s">
        <v>5706</v>
      </c>
      <c r="B6831" t="s">
        <v>5707</v>
      </c>
      <c r="C6831">
        <v>4</v>
      </c>
      <c r="D6831" t="s">
        <v>5708</v>
      </c>
      <c r="E6831" s="8" t="s">
        <v>5094</v>
      </c>
      <c r="F6831" t="s">
        <v>1538</v>
      </c>
      <c r="G6831">
        <v>128</v>
      </c>
      <c r="M6831">
        <v>5</v>
      </c>
    </row>
    <row r="6832" spans="1:17" x14ac:dyDescent="0.2">
      <c r="A6832" t="s">
        <v>5706</v>
      </c>
      <c r="B6832" t="s">
        <v>5707</v>
      </c>
      <c r="C6832">
        <v>4</v>
      </c>
      <c r="D6832" t="s">
        <v>5708</v>
      </c>
      <c r="E6832" t="s">
        <v>5056</v>
      </c>
      <c r="F6832" t="s">
        <v>1538</v>
      </c>
      <c r="G6832">
        <v>1026</v>
      </c>
      <c r="M6832">
        <v>30</v>
      </c>
    </row>
    <row r="6833" spans="1:17" x14ac:dyDescent="0.2">
      <c r="A6833" t="s">
        <v>5706</v>
      </c>
      <c r="B6833" t="s">
        <v>5707</v>
      </c>
      <c r="C6833">
        <v>4</v>
      </c>
      <c r="D6833" t="s">
        <v>5708</v>
      </c>
      <c r="E6833">
        <v>12</v>
      </c>
      <c r="F6833" t="s">
        <v>5869</v>
      </c>
      <c r="G6833">
        <v>75</v>
      </c>
      <c r="Q6833" t="s">
        <v>5921</v>
      </c>
    </row>
    <row r="6834" spans="1:17" x14ac:dyDescent="0.2">
      <c r="A6834" t="s">
        <v>5706</v>
      </c>
      <c r="B6834" t="s">
        <v>5707</v>
      </c>
      <c r="C6834">
        <v>4</v>
      </c>
      <c r="D6834" t="s">
        <v>5708</v>
      </c>
      <c r="E6834">
        <v>11</v>
      </c>
      <c r="F6834" t="s">
        <v>5869</v>
      </c>
      <c r="G6834">
        <v>57</v>
      </c>
      <c r="Q6834" t="s">
        <v>5920</v>
      </c>
    </row>
    <row r="6835" spans="1:17" x14ac:dyDescent="0.2">
      <c r="A6835" t="s">
        <v>5706</v>
      </c>
      <c r="B6835" t="s">
        <v>5707</v>
      </c>
      <c r="C6835">
        <v>4</v>
      </c>
      <c r="D6835" t="s">
        <v>5708</v>
      </c>
      <c r="E6835">
        <v>10</v>
      </c>
      <c r="F6835" t="s">
        <v>6978</v>
      </c>
      <c r="G6835" t="s">
        <v>114</v>
      </c>
      <c r="Q6835" t="s">
        <v>8263</v>
      </c>
    </row>
    <row r="6836" spans="1:17" x14ac:dyDescent="0.2">
      <c r="A6836" t="s">
        <v>5706</v>
      </c>
      <c r="B6836" t="s">
        <v>5707</v>
      </c>
      <c r="C6836">
        <v>4</v>
      </c>
      <c r="D6836" t="s">
        <v>5708</v>
      </c>
      <c r="E6836" s="8" t="s">
        <v>5098</v>
      </c>
      <c r="F6836" t="s">
        <v>6978</v>
      </c>
      <c r="G6836">
        <v>2</v>
      </c>
      <c r="Q6836" t="s">
        <v>8264</v>
      </c>
    </row>
    <row r="6837" spans="1:17" x14ac:dyDescent="0.2">
      <c r="A6837" t="s">
        <v>5706</v>
      </c>
      <c r="B6837" t="s">
        <v>5707</v>
      </c>
      <c r="C6837">
        <v>4</v>
      </c>
      <c r="D6837" t="s">
        <v>5708</v>
      </c>
      <c r="E6837" s="8" t="s">
        <v>5097</v>
      </c>
      <c r="F6837" t="s">
        <v>698</v>
      </c>
      <c r="G6837" t="s">
        <v>114</v>
      </c>
      <c r="Q6837" t="s">
        <v>8265</v>
      </c>
    </row>
    <row r="6838" spans="1:17" x14ac:dyDescent="0.2">
      <c r="A6838" t="s">
        <v>5706</v>
      </c>
      <c r="B6838" t="s">
        <v>5707</v>
      </c>
      <c r="C6838">
        <v>4</v>
      </c>
      <c r="D6838" t="s">
        <v>5708</v>
      </c>
      <c r="E6838">
        <v>13</v>
      </c>
      <c r="F6838" t="s">
        <v>1538</v>
      </c>
      <c r="G6838">
        <v>1</v>
      </c>
      <c r="Q6838" t="s">
        <v>8266</v>
      </c>
    </row>
    <row r="6839" spans="1:17" x14ac:dyDescent="0.2">
      <c r="A6839" t="s">
        <v>5706</v>
      </c>
      <c r="B6839" t="s">
        <v>5707</v>
      </c>
      <c r="C6839">
        <v>4</v>
      </c>
      <c r="D6839" t="s">
        <v>5708</v>
      </c>
      <c r="E6839">
        <v>15</v>
      </c>
      <c r="F6839" t="s">
        <v>1538</v>
      </c>
      <c r="G6839">
        <v>2</v>
      </c>
      <c r="Q6839" t="s">
        <v>8268</v>
      </c>
    </row>
    <row r="6840" spans="1:17" x14ac:dyDescent="0.2">
      <c r="A6840" t="s">
        <v>5706</v>
      </c>
      <c r="B6840" t="s">
        <v>5707</v>
      </c>
      <c r="C6840">
        <v>4</v>
      </c>
      <c r="D6840" t="s">
        <v>5708</v>
      </c>
      <c r="E6840">
        <v>14</v>
      </c>
      <c r="F6840" t="s">
        <v>1538</v>
      </c>
      <c r="G6840">
        <v>4</v>
      </c>
      <c r="Q6840" t="s">
        <v>8267</v>
      </c>
    </row>
    <row r="6841" spans="1:17" x14ac:dyDescent="0.2">
      <c r="A6841" t="s">
        <v>5706</v>
      </c>
      <c r="B6841" t="s">
        <v>5707</v>
      </c>
      <c r="C6841">
        <v>4</v>
      </c>
      <c r="D6841" t="s">
        <v>5708</v>
      </c>
      <c r="E6841">
        <v>16</v>
      </c>
      <c r="F6841" t="s">
        <v>1538</v>
      </c>
      <c r="G6841">
        <v>1</v>
      </c>
      <c r="Q6841" t="s">
        <v>8269</v>
      </c>
    </row>
    <row r="6842" spans="1:17" x14ac:dyDescent="0.2">
      <c r="A6842" t="s">
        <v>5706</v>
      </c>
      <c r="B6842" t="s">
        <v>5707</v>
      </c>
      <c r="C6842">
        <v>4</v>
      </c>
      <c r="D6842" t="s">
        <v>5708</v>
      </c>
      <c r="E6842">
        <v>17</v>
      </c>
      <c r="F6842" t="s">
        <v>1538</v>
      </c>
      <c r="G6842">
        <v>1</v>
      </c>
      <c r="Q6842" t="s">
        <v>8270</v>
      </c>
    </row>
    <row r="6843" spans="1:17" x14ac:dyDescent="0.2">
      <c r="A6843" t="s">
        <v>5706</v>
      </c>
      <c r="B6843" t="s">
        <v>5707</v>
      </c>
      <c r="C6843">
        <v>4</v>
      </c>
      <c r="D6843" t="s">
        <v>5708</v>
      </c>
      <c r="E6843">
        <v>18</v>
      </c>
      <c r="F6843" t="s">
        <v>1538</v>
      </c>
      <c r="G6843">
        <v>5</v>
      </c>
      <c r="M6843">
        <v>4</v>
      </c>
    </row>
    <row r="6844" spans="1:17" x14ac:dyDescent="0.2">
      <c r="A6844" t="s">
        <v>5706</v>
      </c>
      <c r="B6844" t="s">
        <v>5707</v>
      </c>
      <c r="C6844">
        <v>4</v>
      </c>
      <c r="D6844" t="s">
        <v>5708</v>
      </c>
      <c r="E6844">
        <v>19</v>
      </c>
      <c r="F6844" t="s">
        <v>1425</v>
      </c>
      <c r="G6844">
        <v>12</v>
      </c>
      <c r="Q6844" t="s">
        <v>8244</v>
      </c>
    </row>
    <row r="6845" spans="1:17" x14ac:dyDescent="0.2">
      <c r="A6845" t="s">
        <v>5706</v>
      </c>
      <c r="B6845" t="s">
        <v>5707</v>
      </c>
      <c r="C6845">
        <v>4</v>
      </c>
      <c r="D6845" t="s">
        <v>5708</v>
      </c>
      <c r="E6845">
        <v>20</v>
      </c>
      <c r="F6845" t="s">
        <v>1425</v>
      </c>
      <c r="G6845">
        <v>19</v>
      </c>
      <c r="Q6845" t="s">
        <v>8245</v>
      </c>
    </row>
    <row r="6846" spans="1:17" x14ac:dyDescent="0.2">
      <c r="A6846" t="s">
        <v>5706</v>
      </c>
      <c r="B6846" t="s">
        <v>5707</v>
      </c>
      <c r="C6846">
        <v>4</v>
      </c>
      <c r="D6846" t="s">
        <v>5708</v>
      </c>
      <c r="E6846">
        <v>21</v>
      </c>
      <c r="F6846" t="s">
        <v>1425</v>
      </c>
      <c r="G6846">
        <v>12</v>
      </c>
      <c r="Q6846" t="s">
        <v>8246</v>
      </c>
    </row>
    <row r="6847" spans="1:17" x14ac:dyDescent="0.2">
      <c r="A6847" t="s">
        <v>5706</v>
      </c>
      <c r="B6847" t="s">
        <v>5707</v>
      </c>
      <c r="C6847">
        <v>4</v>
      </c>
      <c r="D6847" t="s">
        <v>5708</v>
      </c>
      <c r="E6847">
        <v>22</v>
      </c>
      <c r="F6847" t="s">
        <v>1425</v>
      </c>
      <c r="G6847">
        <v>4</v>
      </c>
      <c r="Q6847" t="s">
        <v>8247</v>
      </c>
    </row>
    <row r="6848" spans="1:17" x14ac:dyDescent="0.2">
      <c r="A6848" t="s">
        <v>5706</v>
      </c>
      <c r="B6848" t="s">
        <v>5707</v>
      </c>
      <c r="C6848">
        <v>4</v>
      </c>
      <c r="D6848" t="s">
        <v>5708</v>
      </c>
      <c r="E6848">
        <v>23</v>
      </c>
      <c r="F6848" t="s">
        <v>1425</v>
      </c>
      <c r="G6848">
        <v>7</v>
      </c>
      <c r="Q6848" t="s">
        <v>8248</v>
      </c>
    </row>
    <row r="6849" spans="1:17" x14ac:dyDescent="0.2">
      <c r="A6849" t="s">
        <v>5706</v>
      </c>
      <c r="B6849" t="s">
        <v>5707</v>
      </c>
      <c r="C6849">
        <v>4</v>
      </c>
      <c r="D6849" t="s">
        <v>5708</v>
      </c>
      <c r="E6849">
        <v>26</v>
      </c>
      <c r="F6849" t="s">
        <v>7990</v>
      </c>
      <c r="G6849">
        <v>22</v>
      </c>
      <c r="Q6849" t="s">
        <v>8255</v>
      </c>
    </row>
    <row r="6850" spans="1:17" x14ac:dyDescent="0.2">
      <c r="A6850" t="s">
        <v>5706</v>
      </c>
      <c r="B6850" t="s">
        <v>5707</v>
      </c>
      <c r="C6850">
        <v>4</v>
      </c>
      <c r="D6850" t="s">
        <v>5708</v>
      </c>
      <c r="E6850">
        <v>24</v>
      </c>
      <c r="F6850" t="s">
        <v>1389</v>
      </c>
      <c r="G6850">
        <v>3</v>
      </c>
      <c r="Q6850" t="s">
        <v>8249</v>
      </c>
    </row>
    <row r="6851" spans="1:17" x14ac:dyDescent="0.2">
      <c r="A6851" t="s">
        <v>5706</v>
      </c>
      <c r="B6851" t="s">
        <v>5707</v>
      </c>
      <c r="C6851">
        <v>4</v>
      </c>
      <c r="D6851" t="s">
        <v>5708</v>
      </c>
      <c r="E6851">
        <v>25</v>
      </c>
      <c r="F6851" t="s">
        <v>5385</v>
      </c>
      <c r="G6851">
        <v>4</v>
      </c>
      <c r="Q6851" t="s">
        <v>8256</v>
      </c>
    </row>
    <row r="6852" spans="1:17" x14ac:dyDescent="0.2">
      <c r="A6852" t="s">
        <v>5706</v>
      </c>
      <c r="B6852" t="s">
        <v>5707</v>
      </c>
      <c r="C6852">
        <v>4</v>
      </c>
      <c r="D6852" t="s">
        <v>5708</v>
      </c>
      <c r="E6852">
        <v>27</v>
      </c>
      <c r="F6852" t="s">
        <v>1389</v>
      </c>
      <c r="G6852">
        <v>17</v>
      </c>
      <c r="Q6852" t="s">
        <v>8254</v>
      </c>
    </row>
    <row r="6853" spans="1:17" x14ac:dyDescent="0.2">
      <c r="A6853" t="s">
        <v>5706</v>
      </c>
      <c r="B6853" t="s">
        <v>5707</v>
      </c>
      <c r="C6853">
        <v>4</v>
      </c>
      <c r="D6853" t="s">
        <v>5708</v>
      </c>
      <c r="E6853">
        <v>28</v>
      </c>
      <c r="F6853" t="s">
        <v>1389</v>
      </c>
      <c r="G6853">
        <v>6</v>
      </c>
      <c r="Q6853" t="s">
        <v>8253</v>
      </c>
    </row>
    <row r="6854" spans="1:17" x14ac:dyDescent="0.2">
      <c r="A6854" t="s">
        <v>5706</v>
      </c>
      <c r="B6854" t="s">
        <v>5707</v>
      </c>
      <c r="C6854">
        <v>4</v>
      </c>
      <c r="D6854" t="s">
        <v>5708</v>
      </c>
      <c r="E6854">
        <v>29</v>
      </c>
      <c r="F6854" t="s">
        <v>1389</v>
      </c>
      <c r="G6854">
        <v>2</v>
      </c>
      <c r="Q6854" t="s">
        <v>8252</v>
      </c>
    </row>
    <row r="6855" spans="1:17" x14ac:dyDescent="0.2">
      <c r="A6855" t="s">
        <v>5706</v>
      </c>
      <c r="B6855" t="s">
        <v>5707</v>
      </c>
      <c r="C6855">
        <v>4</v>
      </c>
      <c r="D6855" t="s">
        <v>5708</v>
      </c>
      <c r="E6855">
        <v>30</v>
      </c>
      <c r="F6855" t="s">
        <v>1389</v>
      </c>
      <c r="G6855">
        <v>1</v>
      </c>
      <c r="Q6855" t="s">
        <v>8251</v>
      </c>
    </row>
    <row r="6856" spans="1:17" x14ac:dyDescent="0.2">
      <c r="A6856" t="s">
        <v>5706</v>
      </c>
      <c r="B6856" t="s">
        <v>5707</v>
      </c>
      <c r="C6856">
        <v>4</v>
      </c>
      <c r="D6856" t="s">
        <v>5708</v>
      </c>
      <c r="E6856">
        <v>31</v>
      </c>
      <c r="F6856" t="s">
        <v>1389</v>
      </c>
      <c r="G6856" t="s">
        <v>114</v>
      </c>
      <c r="Q6856" t="s">
        <v>8250</v>
      </c>
    </row>
    <row r="6857" spans="1:17" x14ac:dyDescent="0.2">
      <c r="A6857" t="s">
        <v>5706</v>
      </c>
      <c r="B6857" t="s">
        <v>5707</v>
      </c>
      <c r="C6857">
        <v>4</v>
      </c>
      <c r="D6857" t="s">
        <v>5708</v>
      </c>
      <c r="E6857">
        <v>32</v>
      </c>
      <c r="F6857" t="s">
        <v>1389</v>
      </c>
      <c r="G6857">
        <v>44</v>
      </c>
      <c r="M6857">
        <v>5</v>
      </c>
    </row>
    <row r="6858" spans="1:17" x14ac:dyDescent="0.2">
      <c r="A6858" t="s">
        <v>5706</v>
      </c>
      <c r="B6858" t="s">
        <v>5707</v>
      </c>
      <c r="C6858">
        <v>4</v>
      </c>
      <c r="D6858" t="s">
        <v>5708</v>
      </c>
      <c r="E6858" t="s">
        <v>5056</v>
      </c>
      <c r="F6858" t="s">
        <v>1389</v>
      </c>
      <c r="G6858">
        <v>16</v>
      </c>
      <c r="M6858">
        <v>3</v>
      </c>
    </row>
    <row r="6859" spans="1:17" x14ac:dyDescent="0.2">
      <c r="A6859" t="s">
        <v>5706</v>
      </c>
      <c r="B6859" t="s">
        <v>5707</v>
      </c>
      <c r="C6859">
        <v>4</v>
      </c>
      <c r="D6859" t="s">
        <v>5708</v>
      </c>
      <c r="E6859">
        <v>37</v>
      </c>
      <c r="F6859" t="s">
        <v>2836</v>
      </c>
      <c r="G6859">
        <v>2</v>
      </c>
      <c r="M6859">
        <v>2</v>
      </c>
    </row>
    <row r="6860" spans="1:17" x14ac:dyDescent="0.2">
      <c r="A6860" t="s">
        <v>5706</v>
      </c>
      <c r="B6860" t="s">
        <v>5707</v>
      </c>
      <c r="C6860">
        <v>4</v>
      </c>
      <c r="D6860" t="s">
        <v>5708</v>
      </c>
      <c r="E6860">
        <v>34</v>
      </c>
      <c r="F6860" t="s">
        <v>810</v>
      </c>
      <c r="G6860">
        <v>4</v>
      </c>
      <c r="M6860">
        <v>4</v>
      </c>
    </row>
    <row r="6861" spans="1:17" x14ac:dyDescent="0.2">
      <c r="A6861" t="s">
        <v>5706</v>
      </c>
      <c r="B6861" t="s">
        <v>5707</v>
      </c>
      <c r="C6861">
        <v>4</v>
      </c>
      <c r="D6861" t="s">
        <v>5708</v>
      </c>
      <c r="E6861">
        <v>36</v>
      </c>
      <c r="F6861" t="s">
        <v>106</v>
      </c>
      <c r="G6861">
        <v>2</v>
      </c>
    </row>
    <row r="6862" spans="1:17" x14ac:dyDescent="0.2">
      <c r="A6862" t="s">
        <v>5706</v>
      </c>
      <c r="B6862" t="s">
        <v>5707</v>
      </c>
      <c r="C6862">
        <v>4</v>
      </c>
      <c r="D6862" t="s">
        <v>5708</v>
      </c>
      <c r="E6862">
        <v>35</v>
      </c>
      <c r="F6862" t="s">
        <v>121</v>
      </c>
      <c r="G6862">
        <v>3</v>
      </c>
      <c r="M6862">
        <v>3</v>
      </c>
    </row>
    <row r="6863" spans="1:17" x14ac:dyDescent="0.2">
      <c r="A6863" t="s">
        <v>5706</v>
      </c>
      <c r="B6863" t="s">
        <v>5707</v>
      </c>
      <c r="C6863">
        <v>4</v>
      </c>
      <c r="D6863" t="s">
        <v>5708</v>
      </c>
      <c r="E6863">
        <v>42</v>
      </c>
      <c r="F6863" t="s">
        <v>7138</v>
      </c>
      <c r="G6863">
        <v>14</v>
      </c>
      <c r="M6863">
        <v>5</v>
      </c>
      <c r="Q6863" t="s">
        <v>8243</v>
      </c>
    </row>
    <row r="6864" spans="1:17" x14ac:dyDescent="0.2">
      <c r="A6864" t="s">
        <v>5706</v>
      </c>
      <c r="B6864" t="s">
        <v>5707</v>
      </c>
      <c r="C6864">
        <v>4</v>
      </c>
      <c r="D6864" t="s">
        <v>5708</v>
      </c>
      <c r="E6864">
        <v>39</v>
      </c>
      <c r="F6864" t="s">
        <v>7363</v>
      </c>
      <c r="G6864">
        <v>3</v>
      </c>
    </row>
    <row r="6865" spans="1:17" x14ac:dyDescent="0.2">
      <c r="A6865" t="s">
        <v>5706</v>
      </c>
      <c r="B6865" t="s">
        <v>5707</v>
      </c>
      <c r="C6865">
        <v>4</v>
      </c>
      <c r="D6865" t="s">
        <v>5708</v>
      </c>
      <c r="E6865">
        <v>40</v>
      </c>
      <c r="F6865" t="s">
        <v>5723</v>
      </c>
      <c r="G6865">
        <v>3</v>
      </c>
    </row>
    <row r="6866" spans="1:17" x14ac:dyDescent="0.2">
      <c r="A6866" t="s">
        <v>5706</v>
      </c>
      <c r="B6866" t="s">
        <v>5707</v>
      </c>
      <c r="C6866">
        <v>4</v>
      </c>
      <c r="D6866" t="s">
        <v>5708</v>
      </c>
      <c r="E6866">
        <v>38</v>
      </c>
      <c r="F6866" t="s">
        <v>3431</v>
      </c>
      <c r="G6866">
        <v>3</v>
      </c>
    </row>
    <row r="6867" spans="1:17" x14ac:dyDescent="0.2">
      <c r="A6867" t="s">
        <v>5706</v>
      </c>
      <c r="B6867" t="s">
        <v>5707</v>
      </c>
      <c r="C6867">
        <v>4</v>
      </c>
      <c r="D6867" t="s">
        <v>5708</v>
      </c>
      <c r="E6867">
        <v>41</v>
      </c>
      <c r="F6867" t="s">
        <v>3875</v>
      </c>
      <c r="G6867">
        <v>73</v>
      </c>
    </row>
    <row r="6868" spans="1:17" x14ac:dyDescent="0.2">
      <c r="A6868" t="s">
        <v>5706</v>
      </c>
      <c r="B6868" t="s">
        <v>5707</v>
      </c>
      <c r="C6868">
        <v>5</v>
      </c>
      <c r="D6868" t="s">
        <v>5708</v>
      </c>
      <c r="E6868">
        <v>32</v>
      </c>
      <c r="F6868" t="s">
        <v>3875</v>
      </c>
      <c r="G6868">
        <v>192</v>
      </c>
      <c r="P6868" t="s">
        <v>5722</v>
      </c>
    </row>
    <row r="6869" spans="1:17" x14ac:dyDescent="0.2">
      <c r="A6869" t="s">
        <v>5706</v>
      </c>
      <c r="B6869" t="s">
        <v>5707</v>
      </c>
      <c r="C6869">
        <v>5</v>
      </c>
      <c r="D6869" t="s">
        <v>5708</v>
      </c>
      <c r="E6869">
        <v>31</v>
      </c>
      <c r="F6869" t="s">
        <v>1264</v>
      </c>
      <c r="H6869">
        <f>6.4-0.285</f>
        <v>6.1150000000000002</v>
      </c>
      <c r="O6869" t="s">
        <v>5724</v>
      </c>
      <c r="P6869" t="s">
        <v>5722</v>
      </c>
    </row>
    <row r="6870" spans="1:17" x14ac:dyDescent="0.2">
      <c r="A6870" t="s">
        <v>5706</v>
      </c>
      <c r="B6870" t="s">
        <v>5707</v>
      </c>
      <c r="C6870">
        <v>5</v>
      </c>
      <c r="D6870" t="s">
        <v>5708</v>
      </c>
      <c r="E6870" t="s">
        <v>5056</v>
      </c>
      <c r="F6870" t="s">
        <v>3215</v>
      </c>
      <c r="G6870">
        <v>20</v>
      </c>
    </row>
    <row r="6871" spans="1:17" x14ac:dyDescent="0.2">
      <c r="A6871" t="s">
        <v>5706</v>
      </c>
      <c r="B6871" t="s">
        <v>5707</v>
      </c>
      <c r="C6871">
        <v>5</v>
      </c>
      <c r="D6871" t="s">
        <v>5708</v>
      </c>
      <c r="E6871" s="8" t="s">
        <v>5081</v>
      </c>
      <c r="F6871" t="s">
        <v>7148</v>
      </c>
      <c r="G6871">
        <v>120</v>
      </c>
      <c r="O6871" t="s">
        <v>8235</v>
      </c>
    </row>
    <row r="6872" spans="1:17" x14ac:dyDescent="0.2">
      <c r="A6872" t="s">
        <v>5706</v>
      </c>
      <c r="B6872" t="s">
        <v>5707</v>
      </c>
      <c r="C6872">
        <v>5</v>
      </c>
      <c r="D6872" t="s">
        <v>5708</v>
      </c>
      <c r="E6872" s="8" t="s">
        <v>5082</v>
      </c>
      <c r="F6872" t="s">
        <v>5587</v>
      </c>
      <c r="G6872">
        <v>42</v>
      </c>
      <c r="Q6872" t="s">
        <v>8242</v>
      </c>
    </row>
    <row r="6873" spans="1:17" x14ac:dyDescent="0.2">
      <c r="A6873" t="s">
        <v>5706</v>
      </c>
      <c r="B6873" t="s">
        <v>5707</v>
      </c>
      <c r="C6873">
        <v>5</v>
      </c>
      <c r="D6873" t="s">
        <v>5708</v>
      </c>
      <c r="E6873" s="8" t="s">
        <v>5089</v>
      </c>
      <c r="F6873" t="s">
        <v>5587</v>
      </c>
      <c r="G6873">
        <v>40</v>
      </c>
      <c r="Q6873" t="s">
        <v>8241</v>
      </c>
    </row>
    <row r="6874" spans="1:17" x14ac:dyDescent="0.2">
      <c r="A6874" t="s">
        <v>5706</v>
      </c>
      <c r="B6874" t="s">
        <v>5707</v>
      </c>
      <c r="C6874">
        <v>5</v>
      </c>
      <c r="D6874" t="s">
        <v>5708</v>
      </c>
      <c r="E6874" s="8" t="s">
        <v>5092</v>
      </c>
      <c r="F6874" t="s">
        <v>1425</v>
      </c>
      <c r="G6874">
        <v>8</v>
      </c>
      <c r="Q6874" t="s">
        <v>8236</v>
      </c>
    </row>
    <row r="6875" spans="1:17" x14ac:dyDescent="0.2">
      <c r="A6875" t="s">
        <v>5706</v>
      </c>
      <c r="B6875" t="s">
        <v>5707</v>
      </c>
      <c r="C6875">
        <v>5</v>
      </c>
      <c r="D6875" t="s">
        <v>5708</v>
      </c>
      <c r="E6875" s="8" t="s">
        <v>5094</v>
      </c>
      <c r="F6875" t="s">
        <v>1425</v>
      </c>
      <c r="G6875">
        <v>4</v>
      </c>
      <c r="Q6875" t="s">
        <v>8238</v>
      </c>
    </row>
    <row r="6876" spans="1:17" x14ac:dyDescent="0.2">
      <c r="A6876" t="s">
        <v>5706</v>
      </c>
      <c r="B6876" t="s">
        <v>5707</v>
      </c>
      <c r="C6876">
        <v>5</v>
      </c>
      <c r="D6876" t="s">
        <v>5708</v>
      </c>
      <c r="E6876" s="8" t="s">
        <v>5090</v>
      </c>
      <c r="F6876" t="s">
        <v>1425</v>
      </c>
      <c r="G6876">
        <v>15</v>
      </c>
      <c r="Q6876" t="s">
        <v>8240</v>
      </c>
    </row>
    <row r="6877" spans="1:17" x14ac:dyDescent="0.2">
      <c r="A6877" t="s">
        <v>5706</v>
      </c>
      <c r="B6877" t="s">
        <v>5707</v>
      </c>
      <c r="C6877">
        <v>5</v>
      </c>
      <c r="D6877" t="s">
        <v>5708</v>
      </c>
      <c r="E6877" s="8" t="s">
        <v>5091</v>
      </c>
      <c r="F6877" t="s">
        <v>1425</v>
      </c>
      <c r="G6877">
        <v>6</v>
      </c>
      <c r="Q6877" t="s">
        <v>8239</v>
      </c>
    </row>
    <row r="6878" spans="1:17" x14ac:dyDescent="0.2">
      <c r="A6878" t="s">
        <v>5706</v>
      </c>
      <c r="B6878" t="s">
        <v>5707</v>
      </c>
      <c r="C6878">
        <v>5</v>
      </c>
      <c r="D6878" t="s">
        <v>5708</v>
      </c>
      <c r="E6878" s="8" t="s">
        <v>5097</v>
      </c>
      <c r="F6878" t="s">
        <v>1425</v>
      </c>
      <c r="G6878">
        <v>6</v>
      </c>
      <c r="Q6878" t="s">
        <v>8237</v>
      </c>
    </row>
    <row r="6879" spans="1:17" x14ac:dyDescent="0.2">
      <c r="A6879" t="s">
        <v>5706</v>
      </c>
      <c r="B6879" t="s">
        <v>5707</v>
      </c>
      <c r="C6879">
        <v>5</v>
      </c>
      <c r="D6879" t="s">
        <v>5708</v>
      </c>
      <c r="E6879" s="8" t="s">
        <v>5098</v>
      </c>
      <c r="F6879" t="s">
        <v>1425</v>
      </c>
      <c r="G6879">
        <v>33</v>
      </c>
      <c r="M6879">
        <v>5</v>
      </c>
    </row>
    <row r="6880" spans="1:17" x14ac:dyDescent="0.2">
      <c r="A6880" t="s">
        <v>5706</v>
      </c>
      <c r="B6880" t="s">
        <v>5707</v>
      </c>
      <c r="C6880">
        <v>5</v>
      </c>
      <c r="D6880" t="s">
        <v>5708</v>
      </c>
      <c r="E6880" t="s">
        <v>5056</v>
      </c>
      <c r="F6880" t="s">
        <v>1425</v>
      </c>
      <c r="G6880">
        <v>6</v>
      </c>
    </row>
    <row r="6881" spans="1:17" x14ac:dyDescent="0.2">
      <c r="A6881" t="s">
        <v>5706</v>
      </c>
      <c r="B6881" t="s">
        <v>5707</v>
      </c>
      <c r="C6881">
        <v>5</v>
      </c>
      <c r="D6881" t="s">
        <v>5708</v>
      </c>
      <c r="E6881">
        <v>22</v>
      </c>
      <c r="F6881" t="s">
        <v>1389</v>
      </c>
      <c r="G6881">
        <v>20</v>
      </c>
      <c r="Q6881" t="s">
        <v>8225</v>
      </c>
    </row>
    <row r="6882" spans="1:17" x14ac:dyDescent="0.2">
      <c r="A6882" t="s">
        <v>5706</v>
      </c>
      <c r="B6882" t="s">
        <v>5707</v>
      </c>
      <c r="C6882">
        <v>5</v>
      </c>
      <c r="D6882" t="s">
        <v>5708</v>
      </c>
      <c r="E6882">
        <v>23</v>
      </c>
      <c r="F6882" t="s">
        <v>1389</v>
      </c>
      <c r="G6882">
        <v>7</v>
      </c>
      <c r="Q6882" t="s">
        <v>8226</v>
      </c>
    </row>
    <row r="6883" spans="1:17" x14ac:dyDescent="0.2">
      <c r="A6883" t="s">
        <v>5706</v>
      </c>
      <c r="B6883" t="s">
        <v>5707</v>
      </c>
      <c r="C6883">
        <v>5</v>
      </c>
      <c r="D6883" t="s">
        <v>5708</v>
      </c>
      <c r="E6883">
        <v>24</v>
      </c>
      <c r="F6883" t="s">
        <v>1389</v>
      </c>
      <c r="G6883">
        <v>3</v>
      </c>
      <c r="Q6883" t="s">
        <v>8229</v>
      </c>
    </row>
    <row r="6884" spans="1:17" x14ac:dyDescent="0.2">
      <c r="A6884" t="s">
        <v>5706</v>
      </c>
      <c r="B6884" t="s">
        <v>5707</v>
      </c>
      <c r="C6884">
        <v>5</v>
      </c>
      <c r="D6884" t="s">
        <v>5708</v>
      </c>
      <c r="E6884">
        <v>25</v>
      </c>
      <c r="F6884" t="s">
        <v>1389</v>
      </c>
      <c r="G6884">
        <v>1</v>
      </c>
      <c r="Q6884" t="s">
        <v>8227</v>
      </c>
    </row>
    <row r="6885" spans="1:17" x14ac:dyDescent="0.2">
      <c r="A6885" t="s">
        <v>5706</v>
      </c>
      <c r="B6885" t="s">
        <v>5707</v>
      </c>
      <c r="C6885">
        <v>5</v>
      </c>
      <c r="D6885" t="s">
        <v>5708</v>
      </c>
      <c r="E6885">
        <v>26</v>
      </c>
      <c r="F6885" t="s">
        <v>1389</v>
      </c>
      <c r="G6885">
        <v>1</v>
      </c>
      <c r="Q6885" t="s">
        <v>8228</v>
      </c>
    </row>
    <row r="6886" spans="1:17" x14ac:dyDescent="0.2">
      <c r="A6886" t="s">
        <v>5706</v>
      </c>
      <c r="B6886" t="s">
        <v>5707</v>
      </c>
      <c r="C6886">
        <v>5</v>
      </c>
      <c r="D6886" t="s">
        <v>5708</v>
      </c>
      <c r="E6886">
        <v>27</v>
      </c>
      <c r="F6886" t="s">
        <v>1389</v>
      </c>
      <c r="G6886">
        <v>35</v>
      </c>
      <c r="M6886">
        <v>5</v>
      </c>
    </row>
    <row r="6887" spans="1:17" x14ac:dyDescent="0.2">
      <c r="A6887" t="s">
        <v>5706</v>
      </c>
      <c r="B6887" t="s">
        <v>5707</v>
      </c>
      <c r="C6887">
        <v>5</v>
      </c>
      <c r="D6887" t="s">
        <v>5708</v>
      </c>
      <c r="E6887" t="s">
        <v>5056</v>
      </c>
      <c r="F6887" t="s">
        <v>1389</v>
      </c>
      <c r="G6887">
        <v>51</v>
      </c>
      <c r="M6887">
        <v>6</v>
      </c>
    </row>
    <row r="6888" spans="1:17" x14ac:dyDescent="0.2">
      <c r="A6888" t="s">
        <v>5706</v>
      </c>
      <c r="B6888" t="s">
        <v>5707</v>
      </c>
      <c r="C6888">
        <v>5</v>
      </c>
      <c r="D6888" t="s">
        <v>5708</v>
      </c>
      <c r="E6888">
        <v>28</v>
      </c>
      <c r="F6888" t="s">
        <v>1559</v>
      </c>
      <c r="G6888">
        <v>1</v>
      </c>
      <c r="Q6888" t="s">
        <v>8231</v>
      </c>
    </row>
    <row r="6889" spans="1:17" x14ac:dyDescent="0.2">
      <c r="A6889" t="s">
        <v>5706</v>
      </c>
      <c r="B6889" t="s">
        <v>5707</v>
      </c>
      <c r="C6889">
        <v>5</v>
      </c>
      <c r="D6889" t="s">
        <v>5708</v>
      </c>
      <c r="E6889">
        <v>29</v>
      </c>
      <c r="F6889" t="s">
        <v>1559</v>
      </c>
      <c r="G6889">
        <v>1</v>
      </c>
      <c r="Q6889" t="s">
        <v>8233</v>
      </c>
    </row>
    <row r="6890" spans="1:17" x14ac:dyDescent="0.2">
      <c r="A6890" t="s">
        <v>5706</v>
      </c>
      <c r="B6890" t="s">
        <v>5707</v>
      </c>
      <c r="C6890">
        <v>5</v>
      </c>
      <c r="D6890" t="s">
        <v>5708</v>
      </c>
      <c r="E6890">
        <v>30</v>
      </c>
      <c r="F6890" t="s">
        <v>1559</v>
      </c>
      <c r="G6890">
        <v>1</v>
      </c>
      <c r="Q6890" t="s">
        <v>8234</v>
      </c>
    </row>
    <row r="6891" spans="1:17" x14ac:dyDescent="0.2">
      <c r="A6891" t="s">
        <v>5706</v>
      </c>
      <c r="B6891" t="s">
        <v>5707</v>
      </c>
      <c r="C6891">
        <v>5</v>
      </c>
      <c r="D6891" t="s">
        <v>5708</v>
      </c>
      <c r="E6891">
        <v>33</v>
      </c>
      <c r="F6891" t="s">
        <v>1559</v>
      </c>
      <c r="G6891">
        <v>2</v>
      </c>
      <c r="Q6891" t="s">
        <v>8230</v>
      </c>
    </row>
    <row r="6892" spans="1:17" x14ac:dyDescent="0.2">
      <c r="A6892" t="s">
        <v>5706</v>
      </c>
      <c r="B6892" t="s">
        <v>5707</v>
      </c>
      <c r="C6892">
        <v>5</v>
      </c>
      <c r="D6892" t="s">
        <v>5708</v>
      </c>
      <c r="E6892">
        <v>34</v>
      </c>
      <c r="F6892" t="s">
        <v>1559</v>
      </c>
      <c r="G6892">
        <v>2</v>
      </c>
      <c r="Q6892" t="s">
        <v>8232</v>
      </c>
    </row>
    <row r="6893" spans="1:17" x14ac:dyDescent="0.2">
      <c r="A6893" t="s">
        <v>5706</v>
      </c>
      <c r="B6893" t="s">
        <v>5707</v>
      </c>
      <c r="C6893">
        <v>5</v>
      </c>
      <c r="D6893" t="s">
        <v>5708</v>
      </c>
      <c r="E6893">
        <v>35</v>
      </c>
      <c r="F6893" t="s">
        <v>1559</v>
      </c>
      <c r="G6893">
        <v>6</v>
      </c>
      <c r="M6893">
        <v>4</v>
      </c>
    </row>
    <row r="6894" spans="1:17" x14ac:dyDescent="0.2">
      <c r="A6894" t="s">
        <v>5706</v>
      </c>
      <c r="B6894" t="s">
        <v>5707</v>
      </c>
      <c r="C6894">
        <v>5</v>
      </c>
      <c r="D6894" t="s">
        <v>5708</v>
      </c>
      <c r="E6894">
        <v>10</v>
      </c>
      <c r="F6894" t="s">
        <v>1538</v>
      </c>
      <c r="G6894">
        <v>41</v>
      </c>
      <c r="Q6894" t="s">
        <v>8214</v>
      </c>
    </row>
    <row r="6895" spans="1:17" x14ac:dyDescent="0.2">
      <c r="A6895" t="s">
        <v>5706</v>
      </c>
      <c r="B6895" t="s">
        <v>5707</v>
      </c>
      <c r="C6895">
        <v>5</v>
      </c>
      <c r="D6895" t="s">
        <v>5708</v>
      </c>
      <c r="E6895">
        <v>11</v>
      </c>
      <c r="F6895" t="s">
        <v>1538</v>
      </c>
      <c r="G6895">
        <v>21</v>
      </c>
      <c r="Q6895" t="s">
        <v>8215</v>
      </c>
    </row>
    <row r="6896" spans="1:17" x14ac:dyDescent="0.2">
      <c r="A6896" t="s">
        <v>5706</v>
      </c>
      <c r="B6896" t="s">
        <v>5707</v>
      </c>
      <c r="C6896">
        <v>5</v>
      </c>
      <c r="D6896" t="s">
        <v>5708</v>
      </c>
      <c r="E6896">
        <v>12</v>
      </c>
      <c r="F6896" t="s">
        <v>1538</v>
      </c>
      <c r="G6896">
        <v>10</v>
      </c>
      <c r="Q6896" t="s">
        <v>8216</v>
      </c>
    </row>
    <row r="6897" spans="1:17" x14ac:dyDescent="0.2">
      <c r="A6897" t="s">
        <v>5706</v>
      </c>
      <c r="B6897" t="s">
        <v>5707</v>
      </c>
      <c r="C6897">
        <v>5</v>
      </c>
      <c r="D6897" t="s">
        <v>5708</v>
      </c>
      <c r="E6897">
        <v>13</v>
      </c>
      <c r="F6897" t="s">
        <v>1538</v>
      </c>
      <c r="G6897">
        <v>1</v>
      </c>
      <c r="Q6897" t="s">
        <v>8218</v>
      </c>
    </row>
    <row r="6898" spans="1:17" x14ac:dyDescent="0.2">
      <c r="A6898" t="s">
        <v>5706</v>
      </c>
      <c r="B6898" t="s">
        <v>5707</v>
      </c>
      <c r="C6898">
        <v>5</v>
      </c>
      <c r="D6898" t="s">
        <v>5708</v>
      </c>
      <c r="E6898">
        <v>14</v>
      </c>
      <c r="F6898" t="s">
        <v>1538</v>
      </c>
      <c r="G6898">
        <v>116</v>
      </c>
      <c r="M6898">
        <v>5</v>
      </c>
    </row>
    <row r="6899" spans="1:17" x14ac:dyDescent="0.2">
      <c r="A6899" t="s">
        <v>5706</v>
      </c>
      <c r="B6899" t="s">
        <v>5707</v>
      </c>
      <c r="C6899">
        <v>5</v>
      </c>
      <c r="D6899" t="s">
        <v>5708</v>
      </c>
      <c r="E6899">
        <v>15</v>
      </c>
      <c r="F6899" t="s">
        <v>1538</v>
      </c>
      <c r="G6899">
        <v>3</v>
      </c>
      <c r="Q6899" t="s">
        <v>8217</v>
      </c>
    </row>
    <row r="6900" spans="1:17" x14ac:dyDescent="0.2">
      <c r="A6900" t="s">
        <v>5706</v>
      </c>
      <c r="B6900" t="s">
        <v>5707</v>
      </c>
      <c r="C6900">
        <v>5</v>
      </c>
      <c r="D6900" t="s">
        <v>5708</v>
      </c>
      <c r="E6900">
        <v>16</v>
      </c>
      <c r="F6900" t="s">
        <v>1538</v>
      </c>
      <c r="G6900">
        <v>11</v>
      </c>
      <c r="Q6900" t="s">
        <v>8219</v>
      </c>
    </row>
    <row r="6901" spans="1:17" x14ac:dyDescent="0.2">
      <c r="A6901" t="s">
        <v>5706</v>
      </c>
      <c r="B6901" t="s">
        <v>5707</v>
      </c>
      <c r="C6901">
        <v>5</v>
      </c>
      <c r="D6901" t="s">
        <v>5708</v>
      </c>
      <c r="E6901" t="s">
        <v>5056</v>
      </c>
      <c r="F6901" t="s">
        <v>1538</v>
      </c>
      <c r="G6901">
        <v>10</v>
      </c>
      <c r="M6901">
        <v>2</v>
      </c>
    </row>
    <row r="6902" spans="1:17" x14ac:dyDescent="0.2">
      <c r="A6902" t="s">
        <v>5706</v>
      </c>
      <c r="B6902" t="s">
        <v>5707</v>
      </c>
      <c r="C6902">
        <v>5</v>
      </c>
      <c r="D6902" t="s">
        <v>5708</v>
      </c>
      <c r="E6902">
        <v>17</v>
      </c>
      <c r="F6902" t="s">
        <v>1538</v>
      </c>
      <c r="G6902">
        <v>2</v>
      </c>
      <c r="Q6902" t="s">
        <v>8220</v>
      </c>
    </row>
    <row r="6903" spans="1:17" x14ac:dyDescent="0.2">
      <c r="A6903" t="s">
        <v>5706</v>
      </c>
      <c r="B6903" t="s">
        <v>5707</v>
      </c>
      <c r="C6903">
        <v>5</v>
      </c>
      <c r="D6903" t="s">
        <v>5708</v>
      </c>
      <c r="E6903">
        <v>18</v>
      </c>
      <c r="F6903" t="s">
        <v>1538</v>
      </c>
      <c r="G6903">
        <v>2</v>
      </c>
      <c r="Q6903" t="s">
        <v>8222</v>
      </c>
    </row>
    <row r="6904" spans="1:17" x14ac:dyDescent="0.2">
      <c r="A6904" t="s">
        <v>5706</v>
      </c>
      <c r="B6904" t="s">
        <v>5707</v>
      </c>
      <c r="C6904">
        <v>5</v>
      </c>
      <c r="D6904" t="s">
        <v>5708</v>
      </c>
      <c r="E6904">
        <v>19</v>
      </c>
      <c r="F6904" t="s">
        <v>1538</v>
      </c>
      <c r="G6904">
        <v>1</v>
      </c>
      <c r="Q6904" t="s">
        <v>8223</v>
      </c>
    </row>
    <row r="6905" spans="1:17" x14ac:dyDescent="0.2">
      <c r="A6905" t="s">
        <v>5706</v>
      </c>
      <c r="B6905" t="s">
        <v>5707</v>
      </c>
      <c r="C6905">
        <v>5</v>
      </c>
      <c r="D6905" t="s">
        <v>5708</v>
      </c>
      <c r="E6905">
        <v>20</v>
      </c>
      <c r="F6905" t="s">
        <v>1538</v>
      </c>
      <c r="G6905" t="s">
        <v>114</v>
      </c>
      <c r="Q6905" t="s">
        <v>8224</v>
      </c>
    </row>
    <row r="6906" spans="1:17" x14ac:dyDescent="0.2">
      <c r="A6906" t="s">
        <v>5706</v>
      </c>
      <c r="B6906" t="s">
        <v>5707</v>
      </c>
      <c r="C6906">
        <v>5</v>
      </c>
      <c r="D6906" t="s">
        <v>5708</v>
      </c>
      <c r="E6906">
        <v>21</v>
      </c>
      <c r="F6906" t="s">
        <v>1538</v>
      </c>
      <c r="G6906">
        <v>4</v>
      </c>
      <c r="M6906">
        <v>2</v>
      </c>
      <c r="Q6906" t="s">
        <v>8221</v>
      </c>
    </row>
    <row r="6907" spans="1:17" x14ac:dyDescent="0.2">
      <c r="A6907" t="s">
        <v>5706</v>
      </c>
      <c r="B6907" t="s">
        <v>5707</v>
      </c>
      <c r="C6907">
        <v>5</v>
      </c>
      <c r="D6907" t="s">
        <v>5708</v>
      </c>
      <c r="E6907">
        <v>36</v>
      </c>
      <c r="F6907" t="s">
        <v>7363</v>
      </c>
      <c r="G6907">
        <v>4</v>
      </c>
    </row>
    <row r="6908" spans="1:17" x14ac:dyDescent="0.2">
      <c r="A6908" t="s">
        <v>5706</v>
      </c>
      <c r="B6908" t="s">
        <v>5707</v>
      </c>
      <c r="C6908">
        <v>5</v>
      </c>
      <c r="D6908" t="s">
        <v>5708</v>
      </c>
      <c r="E6908">
        <v>37</v>
      </c>
      <c r="F6908" t="s">
        <v>504</v>
      </c>
      <c r="G6908">
        <v>31</v>
      </c>
    </row>
    <row r="6909" spans="1:17" x14ac:dyDescent="0.2">
      <c r="A6909" t="s">
        <v>5706</v>
      </c>
      <c r="B6909" t="s">
        <v>5707</v>
      </c>
      <c r="C6909">
        <v>5</v>
      </c>
      <c r="D6909" t="s">
        <v>5708</v>
      </c>
      <c r="E6909">
        <v>38</v>
      </c>
      <c r="F6909" t="s">
        <v>5723</v>
      </c>
      <c r="G6909">
        <v>8</v>
      </c>
    </row>
    <row r="6910" spans="1:17" x14ac:dyDescent="0.2">
      <c r="A6910" t="s">
        <v>5706</v>
      </c>
      <c r="B6910" t="s">
        <v>5707</v>
      </c>
      <c r="C6910">
        <v>5</v>
      </c>
      <c r="D6910" t="s">
        <v>5708</v>
      </c>
      <c r="E6910">
        <v>39</v>
      </c>
      <c r="F6910" t="s">
        <v>3431</v>
      </c>
      <c r="G6910">
        <v>3</v>
      </c>
    </row>
    <row r="6911" spans="1:17" x14ac:dyDescent="0.2">
      <c r="A6911" t="s">
        <v>5706</v>
      </c>
      <c r="B6911" t="s">
        <v>5707</v>
      </c>
      <c r="C6911">
        <v>5</v>
      </c>
      <c r="D6911" t="s">
        <v>5708</v>
      </c>
      <c r="E6911">
        <v>40</v>
      </c>
      <c r="F6911" t="s">
        <v>5671</v>
      </c>
      <c r="G6911">
        <v>2</v>
      </c>
    </row>
    <row r="6912" spans="1:17" x14ac:dyDescent="0.2">
      <c r="A6912" t="s">
        <v>5706</v>
      </c>
      <c r="B6912" t="s">
        <v>5707</v>
      </c>
      <c r="C6912">
        <v>5</v>
      </c>
      <c r="D6912" t="s">
        <v>5708</v>
      </c>
      <c r="E6912">
        <v>41</v>
      </c>
      <c r="F6912" t="s">
        <v>106</v>
      </c>
      <c r="G6912">
        <v>1</v>
      </c>
    </row>
    <row r="6913" spans="1:17" x14ac:dyDescent="0.2">
      <c r="A6913" t="s">
        <v>5706</v>
      </c>
      <c r="B6913" t="s">
        <v>5707</v>
      </c>
      <c r="C6913">
        <v>5</v>
      </c>
      <c r="D6913" t="s">
        <v>5708</v>
      </c>
      <c r="E6913">
        <v>42</v>
      </c>
      <c r="F6913" t="s">
        <v>116</v>
      </c>
      <c r="G6913">
        <v>3</v>
      </c>
    </row>
    <row r="6914" spans="1:17" x14ac:dyDescent="0.2">
      <c r="A6914" t="s">
        <v>5706</v>
      </c>
      <c r="B6914" t="s">
        <v>5707</v>
      </c>
      <c r="C6914">
        <v>5</v>
      </c>
      <c r="D6914" t="s">
        <v>5708</v>
      </c>
      <c r="E6914">
        <v>43</v>
      </c>
      <c r="F6914" t="s">
        <v>2836</v>
      </c>
      <c r="G6914">
        <v>2</v>
      </c>
    </row>
    <row r="6915" spans="1:17" x14ac:dyDescent="0.2">
      <c r="A6915" t="s">
        <v>5706</v>
      </c>
      <c r="B6915" t="s">
        <v>5707</v>
      </c>
      <c r="C6915">
        <v>5</v>
      </c>
      <c r="D6915" t="s">
        <v>5708</v>
      </c>
      <c r="E6915">
        <v>44</v>
      </c>
      <c r="F6915" t="s">
        <v>7138</v>
      </c>
      <c r="G6915">
        <v>2</v>
      </c>
      <c r="M6915">
        <v>4</v>
      </c>
      <c r="Q6915" t="s">
        <v>8213</v>
      </c>
    </row>
    <row r="6916" spans="1:17" x14ac:dyDescent="0.2">
      <c r="A6916" t="s">
        <v>5706</v>
      </c>
      <c r="B6916" t="s">
        <v>5707</v>
      </c>
      <c r="C6916">
        <v>5</v>
      </c>
      <c r="D6916" t="s">
        <v>5708</v>
      </c>
      <c r="E6916">
        <v>45</v>
      </c>
      <c r="F6916" t="s">
        <v>3503</v>
      </c>
      <c r="G6916" t="s">
        <v>114</v>
      </c>
    </row>
    <row r="6917" spans="1:17" x14ac:dyDescent="0.2">
      <c r="A6917" t="s">
        <v>5706</v>
      </c>
      <c r="B6917" t="s">
        <v>5707</v>
      </c>
      <c r="C6917">
        <v>6</v>
      </c>
      <c r="D6917" t="s">
        <v>5708</v>
      </c>
      <c r="E6917" s="8" t="s">
        <v>5081</v>
      </c>
      <c r="F6917" t="s">
        <v>8211</v>
      </c>
      <c r="G6917">
        <v>293</v>
      </c>
      <c r="M6917">
        <v>3</v>
      </c>
      <c r="O6917" t="s">
        <v>7662</v>
      </c>
      <c r="Q6917" t="s">
        <v>8212</v>
      </c>
    </row>
    <row r="6918" spans="1:17" x14ac:dyDescent="0.2">
      <c r="A6918" t="s">
        <v>5706</v>
      </c>
      <c r="B6918" t="s">
        <v>5707</v>
      </c>
      <c r="C6918">
        <v>6</v>
      </c>
      <c r="D6918" t="s">
        <v>5708</v>
      </c>
      <c r="E6918" s="8" t="s">
        <v>5089</v>
      </c>
      <c r="F6918" t="s">
        <v>7398</v>
      </c>
      <c r="G6918">
        <v>25</v>
      </c>
      <c r="M6918">
        <v>2</v>
      </c>
      <c r="Q6918" t="s">
        <v>8210</v>
      </c>
    </row>
    <row r="6919" spans="1:17" x14ac:dyDescent="0.2">
      <c r="A6919" t="s">
        <v>5706</v>
      </c>
      <c r="B6919" t="s">
        <v>5707</v>
      </c>
      <c r="C6919">
        <v>6</v>
      </c>
      <c r="D6919" t="s">
        <v>5708</v>
      </c>
      <c r="E6919" s="8" t="s">
        <v>5090</v>
      </c>
      <c r="F6919" t="s">
        <v>121</v>
      </c>
      <c r="G6919">
        <v>17</v>
      </c>
    </row>
    <row r="6920" spans="1:17" x14ac:dyDescent="0.2">
      <c r="A6920" t="s">
        <v>5706</v>
      </c>
      <c r="B6920" t="s">
        <v>5707</v>
      </c>
      <c r="C6920">
        <v>6</v>
      </c>
      <c r="D6920" t="s">
        <v>5708</v>
      </c>
      <c r="E6920" s="8" t="s">
        <v>5091</v>
      </c>
      <c r="F6920" t="s">
        <v>2836</v>
      </c>
      <c r="G6920">
        <v>18</v>
      </c>
    </row>
    <row r="6921" spans="1:17" x14ac:dyDescent="0.2">
      <c r="A6921" t="s">
        <v>5706</v>
      </c>
      <c r="B6921" t="s">
        <v>5707</v>
      </c>
      <c r="C6921">
        <v>6</v>
      </c>
      <c r="D6921" t="s">
        <v>5708</v>
      </c>
      <c r="E6921" s="8" t="s">
        <v>5082</v>
      </c>
      <c r="F6921" t="s">
        <v>1264</v>
      </c>
      <c r="H6921">
        <f>3.2-0.328</f>
        <v>2.8720000000000003</v>
      </c>
    </row>
    <row r="6922" spans="1:17" x14ac:dyDescent="0.2">
      <c r="A6922" t="s">
        <v>5706</v>
      </c>
      <c r="B6922" t="s">
        <v>5707</v>
      </c>
      <c r="C6922">
        <v>6</v>
      </c>
      <c r="D6922" t="s">
        <v>5708</v>
      </c>
      <c r="E6922">
        <v>32</v>
      </c>
      <c r="F6922" t="s">
        <v>1389</v>
      </c>
      <c r="G6922" t="s">
        <v>114</v>
      </c>
      <c r="Q6922" t="s">
        <v>8206</v>
      </c>
    </row>
    <row r="6923" spans="1:17" x14ac:dyDescent="0.2">
      <c r="A6923" t="s">
        <v>5706</v>
      </c>
      <c r="B6923" t="s">
        <v>5707</v>
      </c>
      <c r="C6923">
        <v>6</v>
      </c>
      <c r="D6923" t="s">
        <v>5708</v>
      </c>
      <c r="E6923">
        <v>33</v>
      </c>
      <c r="F6923" t="s">
        <v>1389</v>
      </c>
      <c r="G6923">
        <v>1</v>
      </c>
      <c r="Q6923" t="s">
        <v>8209</v>
      </c>
    </row>
    <row r="6924" spans="1:17" x14ac:dyDescent="0.2">
      <c r="A6924" t="s">
        <v>5706</v>
      </c>
      <c r="B6924" t="s">
        <v>5707</v>
      </c>
      <c r="C6924">
        <v>6</v>
      </c>
      <c r="D6924" t="s">
        <v>5708</v>
      </c>
      <c r="E6924">
        <v>31</v>
      </c>
      <c r="F6924" t="s">
        <v>1389</v>
      </c>
      <c r="G6924">
        <v>15</v>
      </c>
      <c r="Q6924" t="s">
        <v>8208</v>
      </c>
    </row>
    <row r="6925" spans="1:17" x14ac:dyDescent="0.2">
      <c r="A6925" t="s">
        <v>5706</v>
      </c>
      <c r="B6925" t="s">
        <v>5707</v>
      </c>
      <c r="C6925">
        <v>6</v>
      </c>
      <c r="D6925" t="s">
        <v>5708</v>
      </c>
      <c r="E6925">
        <v>34</v>
      </c>
      <c r="F6925" t="s">
        <v>1389</v>
      </c>
      <c r="G6925">
        <v>3</v>
      </c>
      <c r="Q6925" t="s">
        <v>8205</v>
      </c>
    </row>
    <row r="6926" spans="1:17" x14ac:dyDescent="0.2">
      <c r="A6926" t="s">
        <v>5706</v>
      </c>
      <c r="B6926" t="s">
        <v>5707</v>
      </c>
      <c r="C6926">
        <v>6</v>
      </c>
      <c r="D6926" t="s">
        <v>5708</v>
      </c>
      <c r="E6926">
        <v>35</v>
      </c>
      <c r="F6926" t="s">
        <v>1389</v>
      </c>
      <c r="G6926">
        <v>6</v>
      </c>
      <c r="Q6926" t="s">
        <v>8207</v>
      </c>
    </row>
    <row r="6927" spans="1:17" x14ac:dyDescent="0.2">
      <c r="A6927" t="s">
        <v>5706</v>
      </c>
      <c r="B6927" t="s">
        <v>5707</v>
      </c>
      <c r="C6927">
        <v>6</v>
      </c>
      <c r="D6927" t="s">
        <v>5708</v>
      </c>
      <c r="E6927">
        <v>36</v>
      </c>
      <c r="F6927" t="s">
        <v>1389</v>
      </c>
      <c r="G6927">
        <v>23</v>
      </c>
      <c r="M6927">
        <v>5</v>
      </c>
    </row>
    <row r="6928" spans="1:17" x14ac:dyDescent="0.2">
      <c r="A6928" t="s">
        <v>5706</v>
      </c>
      <c r="B6928" t="s">
        <v>5707</v>
      </c>
      <c r="C6928">
        <v>6</v>
      </c>
      <c r="D6928" t="s">
        <v>5708</v>
      </c>
      <c r="E6928" t="s">
        <v>5056</v>
      </c>
      <c r="F6928" t="s">
        <v>1389</v>
      </c>
      <c r="G6928">
        <v>89</v>
      </c>
      <c r="M6928">
        <v>34</v>
      </c>
      <c r="O6928" t="s">
        <v>5725</v>
      </c>
    </row>
    <row r="6929" spans="1:17" x14ac:dyDescent="0.2">
      <c r="A6929" t="s">
        <v>5706</v>
      </c>
      <c r="B6929" t="s">
        <v>5707</v>
      </c>
      <c r="C6929">
        <v>6</v>
      </c>
      <c r="D6929" t="s">
        <v>5708</v>
      </c>
      <c r="E6929">
        <v>24</v>
      </c>
      <c r="F6929" t="s">
        <v>1425</v>
      </c>
      <c r="G6929">
        <v>3</v>
      </c>
      <c r="Q6929" t="s">
        <v>8203</v>
      </c>
    </row>
    <row r="6930" spans="1:17" x14ac:dyDescent="0.2">
      <c r="A6930" t="s">
        <v>5706</v>
      </c>
      <c r="B6930" t="s">
        <v>5707</v>
      </c>
      <c r="C6930">
        <v>6</v>
      </c>
      <c r="D6930" t="s">
        <v>5708</v>
      </c>
      <c r="E6930">
        <v>25</v>
      </c>
      <c r="F6930" t="s">
        <v>1425</v>
      </c>
      <c r="G6930">
        <v>17</v>
      </c>
      <c r="Q6930" t="s">
        <v>8200</v>
      </c>
    </row>
    <row r="6931" spans="1:17" x14ac:dyDescent="0.2">
      <c r="A6931" t="s">
        <v>5706</v>
      </c>
      <c r="B6931" t="s">
        <v>5707</v>
      </c>
      <c r="C6931">
        <v>6</v>
      </c>
      <c r="D6931" t="s">
        <v>5708</v>
      </c>
      <c r="E6931">
        <v>26</v>
      </c>
      <c r="F6931" t="s">
        <v>1425</v>
      </c>
      <c r="G6931">
        <v>6</v>
      </c>
      <c r="Q6931" t="s">
        <v>8202</v>
      </c>
    </row>
    <row r="6932" spans="1:17" x14ac:dyDescent="0.2">
      <c r="A6932" t="s">
        <v>5706</v>
      </c>
      <c r="B6932" t="s">
        <v>5707</v>
      </c>
      <c r="C6932">
        <v>6</v>
      </c>
      <c r="D6932" t="s">
        <v>5708</v>
      </c>
      <c r="E6932">
        <v>27</v>
      </c>
      <c r="F6932" t="s">
        <v>1425</v>
      </c>
      <c r="G6932">
        <v>3</v>
      </c>
      <c r="Q6932" t="s">
        <v>8204</v>
      </c>
    </row>
    <row r="6933" spans="1:17" x14ac:dyDescent="0.2">
      <c r="A6933" t="s">
        <v>5706</v>
      </c>
      <c r="B6933" t="s">
        <v>5707</v>
      </c>
      <c r="C6933">
        <v>6</v>
      </c>
      <c r="D6933" t="s">
        <v>5708</v>
      </c>
      <c r="E6933">
        <v>28</v>
      </c>
      <c r="F6933" t="s">
        <v>1425</v>
      </c>
      <c r="G6933">
        <v>7</v>
      </c>
      <c r="Q6933" t="s">
        <v>8201</v>
      </c>
    </row>
    <row r="6934" spans="1:17" x14ac:dyDescent="0.2">
      <c r="A6934" t="s">
        <v>5706</v>
      </c>
      <c r="B6934" t="s">
        <v>5707</v>
      </c>
      <c r="C6934">
        <v>6</v>
      </c>
      <c r="D6934" t="s">
        <v>5708</v>
      </c>
      <c r="E6934">
        <v>29</v>
      </c>
      <c r="F6934" t="s">
        <v>1425</v>
      </c>
      <c r="G6934">
        <v>29</v>
      </c>
      <c r="M6934">
        <v>5</v>
      </c>
    </row>
    <row r="6935" spans="1:17" x14ac:dyDescent="0.2">
      <c r="A6935" t="s">
        <v>5706</v>
      </c>
      <c r="B6935" t="s">
        <v>5707</v>
      </c>
      <c r="C6935">
        <v>6</v>
      </c>
      <c r="D6935" t="s">
        <v>5708</v>
      </c>
      <c r="E6935" t="s">
        <v>5056</v>
      </c>
      <c r="F6935" t="s">
        <v>1425</v>
      </c>
      <c r="G6935">
        <v>401</v>
      </c>
      <c r="M6935">
        <v>64</v>
      </c>
    </row>
    <row r="6936" spans="1:17" x14ac:dyDescent="0.2">
      <c r="A6936" t="s">
        <v>5706</v>
      </c>
      <c r="B6936" t="s">
        <v>5707</v>
      </c>
      <c r="C6936">
        <v>6</v>
      </c>
      <c r="D6936" t="s">
        <v>5708</v>
      </c>
      <c r="E6936">
        <v>37</v>
      </c>
      <c r="F6936" t="s">
        <v>1538</v>
      </c>
      <c r="G6936">
        <v>25</v>
      </c>
      <c r="Q6936" t="s">
        <v>8198</v>
      </c>
    </row>
    <row r="6937" spans="1:17" x14ac:dyDescent="0.2">
      <c r="A6937" t="s">
        <v>5706</v>
      </c>
      <c r="B6937" t="s">
        <v>5707</v>
      </c>
      <c r="C6937">
        <v>6</v>
      </c>
      <c r="D6937" t="s">
        <v>5708</v>
      </c>
      <c r="E6937">
        <v>38</v>
      </c>
      <c r="F6937" t="s">
        <v>1538</v>
      </c>
      <c r="G6937">
        <v>1</v>
      </c>
      <c r="Q6937" t="s">
        <v>8196</v>
      </c>
    </row>
    <row r="6938" spans="1:17" x14ac:dyDescent="0.2">
      <c r="A6938" t="s">
        <v>5706</v>
      </c>
      <c r="B6938" t="s">
        <v>5707</v>
      </c>
      <c r="C6938">
        <v>6</v>
      </c>
      <c r="D6938" t="s">
        <v>5708</v>
      </c>
      <c r="E6938">
        <v>39</v>
      </c>
      <c r="F6938" t="s">
        <v>1538</v>
      </c>
      <c r="G6938">
        <v>4</v>
      </c>
      <c r="Q6938" t="s">
        <v>8195</v>
      </c>
    </row>
    <row r="6939" spans="1:17" x14ac:dyDescent="0.2">
      <c r="A6939" t="s">
        <v>5706</v>
      </c>
      <c r="B6939" t="s">
        <v>5707</v>
      </c>
      <c r="C6939">
        <v>6</v>
      </c>
      <c r="D6939" t="s">
        <v>5708</v>
      </c>
      <c r="E6939">
        <v>40</v>
      </c>
      <c r="F6939" t="s">
        <v>1538</v>
      </c>
      <c r="G6939">
        <v>13</v>
      </c>
      <c r="Q6939" t="s">
        <v>8197</v>
      </c>
    </row>
    <row r="6940" spans="1:17" x14ac:dyDescent="0.2">
      <c r="A6940" t="s">
        <v>5706</v>
      </c>
      <c r="B6940" t="s">
        <v>5707</v>
      </c>
      <c r="C6940">
        <v>6</v>
      </c>
      <c r="D6940" t="s">
        <v>5708</v>
      </c>
      <c r="E6940">
        <v>41</v>
      </c>
      <c r="F6940" t="s">
        <v>1538</v>
      </c>
      <c r="G6940">
        <v>2</v>
      </c>
      <c r="Q6940" t="s">
        <v>8199</v>
      </c>
    </row>
    <row r="6941" spans="1:17" x14ac:dyDescent="0.2">
      <c r="A6941" t="s">
        <v>5706</v>
      </c>
      <c r="B6941" t="s">
        <v>5707</v>
      </c>
      <c r="C6941">
        <v>6</v>
      </c>
      <c r="D6941" t="s">
        <v>5708</v>
      </c>
      <c r="E6941">
        <v>42</v>
      </c>
      <c r="F6941" t="s">
        <v>1538</v>
      </c>
      <c r="G6941">
        <v>24</v>
      </c>
      <c r="M6941">
        <v>5</v>
      </c>
    </row>
    <row r="6942" spans="1:17" x14ac:dyDescent="0.2">
      <c r="A6942" t="s">
        <v>5706</v>
      </c>
      <c r="B6942" t="s">
        <v>5707</v>
      </c>
      <c r="C6942">
        <v>6</v>
      </c>
      <c r="D6942" t="s">
        <v>5708</v>
      </c>
      <c r="E6942" t="s">
        <v>5056</v>
      </c>
      <c r="F6942" t="s">
        <v>1538</v>
      </c>
      <c r="G6942">
        <v>166</v>
      </c>
      <c r="M6942">
        <v>20</v>
      </c>
    </row>
    <row r="6943" spans="1:17" x14ac:dyDescent="0.2">
      <c r="A6943" t="s">
        <v>5706</v>
      </c>
      <c r="B6943" t="s">
        <v>5707</v>
      </c>
      <c r="C6943">
        <v>6</v>
      </c>
      <c r="D6943" t="s">
        <v>5708</v>
      </c>
      <c r="E6943">
        <v>46</v>
      </c>
      <c r="F6943" t="s">
        <v>1538</v>
      </c>
      <c r="G6943">
        <v>2</v>
      </c>
      <c r="Q6943" t="s">
        <v>8190</v>
      </c>
    </row>
    <row r="6944" spans="1:17" x14ac:dyDescent="0.2">
      <c r="A6944" t="s">
        <v>5706</v>
      </c>
      <c r="B6944" t="s">
        <v>5707</v>
      </c>
      <c r="C6944">
        <v>6</v>
      </c>
      <c r="D6944" t="s">
        <v>5708</v>
      </c>
      <c r="E6944">
        <v>47</v>
      </c>
      <c r="F6944" t="s">
        <v>1538</v>
      </c>
      <c r="G6944">
        <v>2</v>
      </c>
      <c r="Q6944" t="s">
        <v>8191</v>
      </c>
    </row>
    <row r="6945" spans="1:17" x14ac:dyDescent="0.2">
      <c r="A6945" t="s">
        <v>5706</v>
      </c>
      <c r="B6945" t="s">
        <v>5707</v>
      </c>
      <c r="C6945">
        <v>6</v>
      </c>
      <c r="D6945" t="s">
        <v>5708</v>
      </c>
      <c r="E6945">
        <v>48</v>
      </c>
      <c r="F6945" t="s">
        <v>1538</v>
      </c>
      <c r="G6945" t="s">
        <v>114</v>
      </c>
      <c r="Q6945" t="s">
        <v>8193</v>
      </c>
    </row>
    <row r="6946" spans="1:17" x14ac:dyDescent="0.2">
      <c r="A6946" t="s">
        <v>5706</v>
      </c>
      <c r="B6946" t="s">
        <v>5707</v>
      </c>
      <c r="C6946">
        <v>6</v>
      </c>
      <c r="D6946" t="s">
        <v>5708</v>
      </c>
      <c r="E6946">
        <v>49</v>
      </c>
      <c r="F6946" t="s">
        <v>1538</v>
      </c>
      <c r="G6946">
        <v>1</v>
      </c>
      <c r="Q6946" t="s">
        <v>8192</v>
      </c>
    </row>
    <row r="6947" spans="1:17" x14ac:dyDescent="0.2">
      <c r="A6947" t="s">
        <v>5706</v>
      </c>
      <c r="B6947" t="s">
        <v>5707</v>
      </c>
      <c r="C6947">
        <v>6</v>
      </c>
      <c r="D6947" t="s">
        <v>5708</v>
      </c>
      <c r="E6947">
        <v>50</v>
      </c>
      <c r="F6947" t="s">
        <v>1538</v>
      </c>
      <c r="G6947">
        <v>1</v>
      </c>
      <c r="Q6947" t="s">
        <v>8194</v>
      </c>
    </row>
    <row r="6948" spans="1:17" x14ac:dyDescent="0.2">
      <c r="A6948" t="s">
        <v>5706</v>
      </c>
      <c r="B6948" t="s">
        <v>5707</v>
      </c>
      <c r="C6948">
        <v>6</v>
      </c>
      <c r="D6948" t="s">
        <v>5708</v>
      </c>
      <c r="E6948">
        <v>51</v>
      </c>
      <c r="F6948" t="s">
        <v>1538</v>
      </c>
      <c r="G6948">
        <v>8</v>
      </c>
      <c r="M6948">
        <v>5</v>
      </c>
    </row>
    <row r="6949" spans="1:17" x14ac:dyDescent="0.2">
      <c r="A6949" t="s">
        <v>5706</v>
      </c>
      <c r="B6949" t="s">
        <v>5707</v>
      </c>
      <c r="C6949">
        <v>6</v>
      </c>
      <c r="D6949" t="s">
        <v>5708</v>
      </c>
      <c r="E6949">
        <v>43</v>
      </c>
      <c r="F6949" t="s">
        <v>6239</v>
      </c>
      <c r="G6949">
        <v>1</v>
      </c>
      <c r="Q6949" t="s">
        <v>8188</v>
      </c>
    </row>
    <row r="6950" spans="1:17" x14ac:dyDescent="0.2">
      <c r="A6950" t="s">
        <v>5706</v>
      </c>
      <c r="B6950" t="s">
        <v>5707</v>
      </c>
      <c r="C6950">
        <v>6</v>
      </c>
      <c r="D6950" t="s">
        <v>5708</v>
      </c>
      <c r="E6950">
        <v>44</v>
      </c>
      <c r="F6950" t="s">
        <v>6239</v>
      </c>
      <c r="G6950">
        <v>2</v>
      </c>
      <c r="Q6950" t="s">
        <v>8189</v>
      </c>
    </row>
    <row r="6951" spans="1:17" x14ac:dyDescent="0.2">
      <c r="A6951" t="s">
        <v>5706</v>
      </c>
      <c r="B6951" t="s">
        <v>5707</v>
      </c>
      <c r="C6951">
        <v>6</v>
      </c>
      <c r="D6951" t="s">
        <v>5708</v>
      </c>
      <c r="E6951">
        <v>10</v>
      </c>
      <c r="F6951" t="s">
        <v>8184</v>
      </c>
      <c r="G6951">
        <v>146</v>
      </c>
      <c r="Q6951" t="s">
        <v>8183</v>
      </c>
    </row>
    <row r="6952" spans="1:17" x14ac:dyDescent="0.2">
      <c r="A6952" t="s">
        <v>5706</v>
      </c>
      <c r="B6952" t="s">
        <v>5707</v>
      </c>
      <c r="C6952">
        <v>6</v>
      </c>
      <c r="D6952" t="s">
        <v>5708</v>
      </c>
      <c r="E6952" s="8" t="s">
        <v>5098</v>
      </c>
      <c r="F6952" t="s">
        <v>6862</v>
      </c>
      <c r="G6952">
        <v>7</v>
      </c>
      <c r="Q6952" t="s">
        <v>8187</v>
      </c>
    </row>
    <row r="6953" spans="1:17" x14ac:dyDescent="0.2">
      <c r="A6953" t="s">
        <v>5706</v>
      </c>
      <c r="B6953" t="s">
        <v>5707</v>
      </c>
      <c r="C6953">
        <v>6</v>
      </c>
      <c r="D6953" t="s">
        <v>5708</v>
      </c>
      <c r="E6953" s="8" t="s">
        <v>5097</v>
      </c>
      <c r="F6953" t="s">
        <v>5629</v>
      </c>
      <c r="G6953">
        <v>42</v>
      </c>
      <c r="Q6953" t="s">
        <v>8185</v>
      </c>
    </row>
    <row r="6954" spans="1:17" x14ac:dyDescent="0.2">
      <c r="A6954" t="s">
        <v>5706</v>
      </c>
      <c r="B6954" t="s">
        <v>5707</v>
      </c>
      <c r="C6954">
        <v>6</v>
      </c>
      <c r="D6954" t="s">
        <v>5708</v>
      </c>
      <c r="E6954">
        <v>14</v>
      </c>
      <c r="F6954" t="s">
        <v>8181</v>
      </c>
      <c r="G6954">
        <v>3</v>
      </c>
      <c r="O6954" t="s">
        <v>8186</v>
      </c>
      <c r="Q6954" t="s">
        <v>8182</v>
      </c>
    </row>
    <row r="6955" spans="1:17" x14ac:dyDescent="0.2">
      <c r="A6955" t="s">
        <v>5706</v>
      </c>
      <c r="B6955" t="s">
        <v>5707</v>
      </c>
      <c r="C6955">
        <v>6</v>
      </c>
      <c r="D6955" t="s">
        <v>5708</v>
      </c>
      <c r="E6955" s="8" t="s">
        <v>5092</v>
      </c>
      <c r="F6955" t="s">
        <v>5869</v>
      </c>
      <c r="G6955">
        <v>35</v>
      </c>
      <c r="Q6955" t="s">
        <v>5923</v>
      </c>
    </row>
    <row r="6956" spans="1:17" x14ac:dyDescent="0.2">
      <c r="A6956" t="s">
        <v>5706</v>
      </c>
      <c r="B6956" t="s">
        <v>5707</v>
      </c>
      <c r="C6956">
        <v>6</v>
      </c>
      <c r="D6956" t="s">
        <v>5708</v>
      </c>
      <c r="E6956" s="8" t="s">
        <v>5094</v>
      </c>
      <c r="F6956" t="s">
        <v>5869</v>
      </c>
      <c r="G6956">
        <v>45</v>
      </c>
      <c r="Q6956" t="s">
        <v>5922</v>
      </c>
    </row>
    <row r="6957" spans="1:17" x14ac:dyDescent="0.2">
      <c r="A6957" t="s">
        <v>5706</v>
      </c>
      <c r="B6957" t="s">
        <v>5707</v>
      </c>
      <c r="C6957">
        <v>6</v>
      </c>
      <c r="D6957" t="s">
        <v>5708</v>
      </c>
      <c r="E6957">
        <v>11</v>
      </c>
      <c r="F6957" t="s">
        <v>1425</v>
      </c>
      <c r="G6957">
        <v>36</v>
      </c>
      <c r="Q6957" t="s">
        <v>8175</v>
      </c>
    </row>
    <row r="6958" spans="1:17" x14ac:dyDescent="0.2">
      <c r="A6958" t="s">
        <v>5706</v>
      </c>
      <c r="B6958" t="s">
        <v>5707</v>
      </c>
      <c r="C6958">
        <v>6</v>
      </c>
      <c r="D6958" t="s">
        <v>5708</v>
      </c>
      <c r="E6958">
        <v>12</v>
      </c>
      <c r="F6958" t="s">
        <v>1425</v>
      </c>
      <c r="G6958">
        <v>32</v>
      </c>
      <c r="Q6958" t="s">
        <v>8176</v>
      </c>
    </row>
    <row r="6959" spans="1:17" x14ac:dyDescent="0.2">
      <c r="A6959" t="s">
        <v>5706</v>
      </c>
      <c r="B6959" t="s">
        <v>5707</v>
      </c>
      <c r="C6959">
        <v>6</v>
      </c>
      <c r="D6959" t="s">
        <v>5708</v>
      </c>
      <c r="E6959">
        <v>13</v>
      </c>
      <c r="F6959" t="s">
        <v>1425</v>
      </c>
      <c r="G6959">
        <v>31</v>
      </c>
      <c r="Q6959" t="s">
        <v>8177</v>
      </c>
    </row>
    <row r="6960" spans="1:17" x14ac:dyDescent="0.2">
      <c r="A6960" t="s">
        <v>5706</v>
      </c>
      <c r="B6960" t="s">
        <v>5707</v>
      </c>
      <c r="C6960">
        <v>6</v>
      </c>
      <c r="D6960" t="s">
        <v>5708</v>
      </c>
      <c r="E6960">
        <v>15</v>
      </c>
      <c r="F6960" t="s">
        <v>1559</v>
      </c>
      <c r="G6960">
        <v>1</v>
      </c>
      <c r="M6960">
        <v>0.5</v>
      </c>
      <c r="Q6960" t="s">
        <v>8180</v>
      </c>
    </row>
    <row r="6961" spans="1:17" x14ac:dyDescent="0.2">
      <c r="A6961" t="s">
        <v>5706</v>
      </c>
      <c r="B6961" t="s">
        <v>5707</v>
      </c>
      <c r="C6961">
        <v>6</v>
      </c>
      <c r="D6961" t="s">
        <v>5708</v>
      </c>
      <c r="E6961">
        <v>65</v>
      </c>
      <c r="F6961" t="s">
        <v>1559</v>
      </c>
      <c r="G6961">
        <v>2</v>
      </c>
    </row>
    <row r="6962" spans="1:17" x14ac:dyDescent="0.2">
      <c r="A6962" t="s">
        <v>5706</v>
      </c>
      <c r="B6962" t="s">
        <v>5707</v>
      </c>
      <c r="C6962">
        <v>6</v>
      </c>
      <c r="D6962" t="s">
        <v>5708</v>
      </c>
      <c r="E6962">
        <v>16</v>
      </c>
      <c r="F6962" t="s">
        <v>1559</v>
      </c>
      <c r="G6962">
        <v>1</v>
      </c>
      <c r="Q6962" t="s">
        <v>8178</v>
      </c>
    </row>
    <row r="6963" spans="1:17" x14ac:dyDescent="0.2">
      <c r="A6963" t="s">
        <v>5706</v>
      </c>
      <c r="B6963" t="s">
        <v>5707</v>
      </c>
      <c r="C6963">
        <v>6</v>
      </c>
      <c r="D6963" t="s">
        <v>5708</v>
      </c>
      <c r="E6963">
        <v>17</v>
      </c>
      <c r="F6963" t="s">
        <v>1559</v>
      </c>
      <c r="G6963">
        <v>2</v>
      </c>
    </row>
    <row r="6964" spans="1:17" x14ac:dyDescent="0.2">
      <c r="A6964" t="s">
        <v>5706</v>
      </c>
      <c r="B6964" t="s">
        <v>5707</v>
      </c>
      <c r="C6964">
        <v>6</v>
      </c>
      <c r="D6964" t="s">
        <v>5708</v>
      </c>
      <c r="E6964">
        <v>23</v>
      </c>
      <c r="F6964" t="s">
        <v>1559</v>
      </c>
      <c r="G6964">
        <v>2</v>
      </c>
      <c r="Q6964" t="s">
        <v>8179</v>
      </c>
    </row>
    <row r="6965" spans="1:17" x14ac:dyDescent="0.2">
      <c r="A6965" t="s">
        <v>5706</v>
      </c>
      <c r="B6965" t="s">
        <v>5707</v>
      </c>
      <c r="C6965">
        <v>6</v>
      </c>
      <c r="D6965" t="s">
        <v>5708</v>
      </c>
      <c r="E6965">
        <v>18</v>
      </c>
      <c r="F6965" t="s">
        <v>6978</v>
      </c>
      <c r="G6965" t="s">
        <v>114</v>
      </c>
      <c r="Q6965" t="s">
        <v>8173</v>
      </c>
    </row>
    <row r="6966" spans="1:17" x14ac:dyDescent="0.2">
      <c r="A6966" t="s">
        <v>5706</v>
      </c>
      <c r="B6966" t="s">
        <v>5707</v>
      </c>
      <c r="C6966">
        <v>6</v>
      </c>
      <c r="D6966" t="s">
        <v>5708</v>
      </c>
      <c r="E6966">
        <v>19</v>
      </c>
      <c r="F6966" t="s">
        <v>6978</v>
      </c>
      <c r="G6966">
        <v>1</v>
      </c>
      <c r="Q6966" t="s">
        <v>8172</v>
      </c>
    </row>
    <row r="6967" spans="1:17" x14ac:dyDescent="0.2">
      <c r="A6967" t="s">
        <v>5706</v>
      </c>
      <c r="B6967" t="s">
        <v>5707</v>
      </c>
      <c r="C6967">
        <v>6</v>
      </c>
      <c r="D6967" t="s">
        <v>5708</v>
      </c>
      <c r="E6967">
        <v>20</v>
      </c>
      <c r="F6967" t="s">
        <v>6978</v>
      </c>
      <c r="G6967">
        <v>1</v>
      </c>
      <c r="Q6967" t="s">
        <v>8171</v>
      </c>
    </row>
    <row r="6968" spans="1:17" x14ac:dyDescent="0.2">
      <c r="A6968" t="s">
        <v>5706</v>
      </c>
      <c r="B6968" t="s">
        <v>5707</v>
      </c>
      <c r="C6968">
        <v>6</v>
      </c>
      <c r="D6968" t="s">
        <v>5708</v>
      </c>
      <c r="E6968">
        <v>21</v>
      </c>
      <c r="F6968" t="s">
        <v>6978</v>
      </c>
      <c r="G6968">
        <v>1</v>
      </c>
      <c r="Q6968" t="s">
        <v>8170</v>
      </c>
    </row>
    <row r="6969" spans="1:17" x14ac:dyDescent="0.2">
      <c r="A6969" t="s">
        <v>5706</v>
      </c>
      <c r="B6969" t="s">
        <v>5707</v>
      </c>
      <c r="C6969">
        <v>6</v>
      </c>
      <c r="D6969" t="s">
        <v>5708</v>
      </c>
      <c r="E6969">
        <v>22</v>
      </c>
      <c r="F6969" t="s">
        <v>6978</v>
      </c>
      <c r="G6969">
        <v>1</v>
      </c>
      <c r="Q6969" t="s">
        <v>8169</v>
      </c>
    </row>
    <row r="6970" spans="1:17" x14ac:dyDescent="0.2">
      <c r="A6970" t="s">
        <v>5706</v>
      </c>
      <c r="B6970" t="s">
        <v>5707</v>
      </c>
      <c r="C6970">
        <v>6</v>
      </c>
      <c r="D6970" t="s">
        <v>5708</v>
      </c>
      <c r="E6970">
        <v>30</v>
      </c>
      <c r="F6970" t="s">
        <v>6978</v>
      </c>
      <c r="G6970">
        <v>8</v>
      </c>
      <c r="M6970">
        <v>6</v>
      </c>
    </row>
    <row r="6971" spans="1:17" x14ac:dyDescent="0.2">
      <c r="A6971" t="s">
        <v>5706</v>
      </c>
      <c r="B6971" t="s">
        <v>5707</v>
      </c>
      <c r="C6971">
        <v>6</v>
      </c>
      <c r="D6971" t="s">
        <v>5708</v>
      </c>
      <c r="E6971">
        <v>52</v>
      </c>
      <c r="F6971" t="s">
        <v>698</v>
      </c>
      <c r="G6971" t="s">
        <v>114</v>
      </c>
      <c r="O6971" t="s">
        <v>5728</v>
      </c>
      <c r="Q6971" t="s">
        <v>8174</v>
      </c>
    </row>
    <row r="6972" spans="1:17" x14ac:dyDescent="0.2">
      <c r="A6972" t="s">
        <v>5706</v>
      </c>
      <c r="B6972" t="s">
        <v>5707</v>
      </c>
      <c r="C6972">
        <v>6</v>
      </c>
      <c r="D6972" t="s">
        <v>5708</v>
      </c>
      <c r="E6972">
        <v>54</v>
      </c>
      <c r="F6972" t="s">
        <v>5671</v>
      </c>
      <c r="G6972">
        <v>5</v>
      </c>
    </row>
    <row r="6973" spans="1:17" x14ac:dyDescent="0.2">
      <c r="A6973" t="s">
        <v>5706</v>
      </c>
      <c r="B6973" t="s">
        <v>5707</v>
      </c>
      <c r="C6973">
        <v>6</v>
      </c>
      <c r="D6973" t="s">
        <v>5708</v>
      </c>
      <c r="E6973">
        <v>55</v>
      </c>
      <c r="F6973" t="s">
        <v>7363</v>
      </c>
      <c r="G6973">
        <v>6</v>
      </c>
    </row>
    <row r="6974" spans="1:17" x14ac:dyDescent="0.2">
      <c r="A6974" t="s">
        <v>5706</v>
      </c>
      <c r="B6974" t="s">
        <v>5707</v>
      </c>
      <c r="C6974">
        <v>6</v>
      </c>
      <c r="D6974" t="s">
        <v>5708</v>
      </c>
      <c r="E6974">
        <v>56</v>
      </c>
      <c r="F6974" t="s">
        <v>3431</v>
      </c>
      <c r="G6974">
        <v>2</v>
      </c>
    </row>
    <row r="6975" spans="1:17" x14ac:dyDescent="0.2">
      <c r="A6975" t="s">
        <v>5706</v>
      </c>
      <c r="B6975" t="s">
        <v>5707</v>
      </c>
      <c r="C6975">
        <v>6</v>
      </c>
      <c r="D6975" t="s">
        <v>5708</v>
      </c>
      <c r="E6975">
        <v>57</v>
      </c>
      <c r="F6975" t="s">
        <v>5729</v>
      </c>
      <c r="G6975">
        <v>2</v>
      </c>
    </row>
    <row r="6976" spans="1:17" x14ac:dyDescent="0.2">
      <c r="A6976" t="s">
        <v>5706</v>
      </c>
      <c r="B6976" t="s">
        <v>5707</v>
      </c>
      <c r="C6976">
        <v>6</v>
      </c>
      <c r="D6976" t="s">
        <v>5708</v>
      </c>
      <c r="E6976">
        <v>58</v>
      </c>
      <c r="F6976" t="s">
        <v>8168</v>
      </c>
      <c r="G6976">
        <v>4</v>
      </c>
      <c r="M6976">
        <v>8</v>
      </c>
      <c r="Q6976" t="s">
        <v>8167</v>
      </c>
    </row>
    <row r="6977" spans="1:15" x14ac:dyDescent="0.2">
      <c r="A6977" t="s">
        <v>5706</v>
      </c>
      <c r="B6977" t="s">
        <v>5707</v>
      </c>
      <c r="C6977">
        <v>6</v>
      </c>
      <c r="D6977" t="s">
        <v>5708</v>
      </c>
      <c r="E6977">
        <v>59</v>
      </c>
      <c r="F6977" t="s">
        <v>5723</v>
      </c>
      <c r="G6977">
        <v>2</v>
      </c>
    </row>
    <row r="6978" spans="1:15" x14ac:dyDescent="0.2">
      <c r="A6978" t="s">
        <v>5706</v>
      </c>
      <c r="B6978" t="s">
        <v>5707</v>
      </c>
      <c r="C6978">
        <v>6</v>
      </c>
      <c r="D6978" t="s">
        <v>5708</v>
      </c>
      <c r="E6978">
        <v>60</v>
      </c>
      <c r="F6978" t="s">
        <v>106</v>
      </c>
      <c r="G6978">
        <v>4</v>
      </c>
    </row>
    <row r="6979" spans="1:15" x14ac:dyDescent="0.2">
      <c r="A6979" t="s">
        <v>5706</v>
      </c>
      <c r="B6979" t="s">
        <v>5707</v>
      </c>
      <c r="C6979">
        <v>6</v>
      </c>
      <c r="D6979" t="s">
        <v>5708</v>
      </c>
      <c r="E6979">
        <v>61</v>
      </c>
      <c r="F6979" t="s">
        <v>121</v>
      </c>
      <c r="G6979">
        <v>7</v>
      </c>
      <c r="M6979">
        <v>6</v>
      </c>
    </row>
    <row r="6980" spans="1:15" x14ac:dyDescent="0.2">
      <c r="A6980" t="s">
        <v>5706</v>
      </c>
      <c r="B6980" t="s">
        <v>5707</v>
      </c>
      <c r="C6980">
        <v>6</v>
      </c>
      <c r="D6980" t="s">
        <v>5708</v>
      </c>
      <c r="E6980">
        <v>62</v>
      </c>
      <c r="F6980" t="s">
        <v>3503</v>
      </c>
      <c r="G6980" t="s">
        <v>114</v>
      </c>
    </row>
    <row r="6981" spans="1:15" x14ac:dyDescent="0.2">
      <c r="A6981" t="s">
        <v>5706</v>
      </c>
      <c r="B6981" t="s">
        <v>5707</v>
      </c>
      <c r="C6981">
        <v>6</v>
      </c>
      <c r="D6981" t="s">
        <v>5708</v>
      </c>
      <c r="E6981">
        <v>63</v>
      </c>
      <c r="F6981" t="s">
        <v>3875</v>
      </c>
      <c r="G6981">
        <v>24</v>
      </c>
    </row>
    <row r="6982" spans="1:15" x14ac:dyDescent="0.2">
      <c r="A6982" t="s">
        <v>5706</v>
      </c>
      <c r="B6982" t="s">
        <v>5707</v>
      </c>
      <c r="C6982">
        <v>6</v>
      </c>
      <c r="D6982" t="s">
        <v>5708</v>
      </c>
      <c r="E6982">
        <v>64</v>
      </c>
      <c r="F6982" t="s">
        <v>116</v>
      </c>
      <c r="G6982">
        <v>26</v>
      </c>
    </row>
    <row r="6983" spans="1:15" x14ac:dyDescent="0.2">
      <c r="A6983" t="s">
        <v>5706</v>
      </c>
      <c r="B6983" t="s">
        <v>5707</v>
      </c>
      <c r="C6983">
        <v>6</v>
      </c>
      <c r="D6983" t="s">
        <v>5708</v>
      </c>
      <c r="E6983">
        <v>53</v>
      </c>
      <c r="F6983" t="s">
        <v>1264</v>
      </c>
      <c r="G6983">
        <f>655-357</f>
        <v>298</v>
      </c>
    </row>
    <row r="6984" spans="1:15" x14ac:dyDescent="0.2">
      <c r="A6984" t="s">
        <v>5706</v>
      </c>
      <c r="B6984" t="s">
        <v>5707</v>
      </c>
      <c r="C6984">
        <v>6</v>
      </c>
      <c r="D6984" t="s">
        <v>5708</v>
      </c>
      <c r="E6984">
        <v>54</v>
      </c>
      <c r="F6984" t="s">
        <v>5163</v>
      </c>
      <c r="G6984">
        <f>2393-587</f>
        <v>1806</v>
      </c>
      <c r="O6984" t="s">
        <v>5730</v>
      </c>
    </row>
    <row r="6985" spans="1:15" x14ac:dyDescent="0.2">
      <c r="A6985" t="s">
        <v>5706</v>
      </c>
      <c r="B6985" t="s">
        <v>5707</v>
      </c>
      <c r="C6985">
        <v>6</v>
      </c>
      <c r="D6985" t="s">
        <v>5708</v>
      </c>
      <c r="E6985" t="s">
        <v>5056</v>
      </c>
      <c r="F6985" t="s">
        <v>827</v>
      </c>
      <c r="G6985">
        <v>1</v>
      </c>
      <c r="M6985">
        <v>2</v>
      </c>
    </row>
    <row r="6986" spans="1:15" x14ac:dyDescent="0.2">
      <c r="A6986" t="s">
        <v>5706</v>
      </c>
      <c r="B6986" t="s">
        <v>5707</v>
      </c>
      <c r="C6986">
        <v>6</v>
      </c>
      <c r="D6986" t="s">
        <v>5708</v>
      </c>
      <c r="E6986" t="s">
        <v>5056</v>
      </c>
      <c r="F6986" t="s">
        <v>1582</v>
      </c>
      <c r="G6986">
        <v>2</v>
      </c>
      <c r="M6986">
        <v>2</v>
      </c>
    </row>
    <row r="6987" spans="1:15" x14ac:dyDescent="0.2">
      <c r="A6987" t="s">
        <v>5706</v>
      </c>
      <c r="B6987" t="s">
        <v>5707</v>
      </c>
      <c r="C6987">
        <v>6</v>
      </c>
      <c r="D6987" t="s">
        <v>5708</v>
      </c>
      <c r="E6987" t="s">
        <v>5056</v>
      </c>
      <c r="F6987" t="s">
        <v>5369</v>
      </c>
      <c r="G6987">
        <v>1</v>
      </c>
      <c r="M6987">
        <v>4</v>
      </c>
    </row>
    <row r="6988" spans="1:15" x14ac:dyDescent="0.2">
      <c r="A6988" t="s">
        <v>5706</v>
      </c>
      <c r="B6988" t="s">
        <v>5707</v>
      </c>
      <c r="C6988">
        <v>1</v>
      </c>
      <c r="D6988" t="s">
        <v>5708</v>
      </c>
      <c r="E6988" s="8" t="s">
        <v>5081</v>
      </c>
      <c r="F6988" t="s">
        <v>740</v>
      </c>
      <c r="G6988">
        <f>2400-420</f>
        <v>1980</v>
      </c>
    </row>
    <row r="6989" spans="1:15" x14ac:dyDescent="0.2">
      <c r="A6989" t="s">
        <v>5706</v>
      </c>
      <c r="B6989" t="s">
        <v>5707</v>
      </c>
      <c r="C6989">
        <v>1</v>
      </c>
      <c r="D6989" t="s">
        <v>5708</v>
      </c>
      <c r="E6989" s="8" t="s">
        <v>5082</v>
      </c>
      <c r="F6989" t="s">
        <v>112</v>
      </c>
      <c r="G6989">
        <v>218</v>
      </c>
      <c r="M6989">
        <v>7.5</v>
      </c>
    </row>
    <row r="6990" spans="1:15" x14ac:dyDescent="0.2">
      <c r="A6990" t="s">
        <v>5706</v>
      </c>
      <c r="B6990" t="s">
        <v>5707</v>
      </c>
      <c r="C6990">
        <v>1</v>
      </c>
      <c r="D6990" t="s">
        <v>5708</v>
      </c>
      <c r="E6990" t="s">
        <v>5056</v>
      </c>
      <c r="F6990" t="s">
        <v>1264</v>
      </c>
      <c r="H6990">
        <f>15.2-1.7</f>
        <v>13.5</v>
      </c>
    </row>
    <row r="6991" spans="1:15" x14ac:dyDescent="0.2">
      <c r="A6991" t="s">
        <v>5706</v>
      </c>
      <c r="B6991" t="s">
        <v>5707</v>
      </c>
      <c r="C6991">
        <v>1</v>
      </c>
      <c r="D6991" t="s">
        <v>5708</v>
      </c>
      <c r="E6991" s="8" t="s">
        <v>5089</v>
      </c>
      <c r="F6991" t="s">
        <v>5731</v>
      </c>
      <c r="G6991">
        <v>15</v>
      </c>
    </row>
    <row r="6992" spans="1:15" x14ac:dyDescent="0.2">
      <c r="A6992" t="s">
        <v>5706</v>
      </c>
      <c r="B6992" t="s">
        <v>5707</v>
      </c>
      <c r="C6992">
        <v>1</v>
      </c>
      <c r="D6992" t="s">
        <v>5708</v>
      </c>
      <c r="E6992" s="8" t="s">
        <v>5090</v>
      </c>
      <c r="F6992" t="s">
        <v>5651</v>
      </c>
      <c r="G6992">
        <v>158</v>
      </c>
    </row>
    <row r="6993" spans="1:17" x14ac:dyDescent="0.2">
      <c r="A6993" t="s">
        <v>5706</v>
      </c>
      <c r="B6993" t="s">
        <v>5707</v>
      </c>
      <c r="C6993">
        <v>1</v>
      </c>
      <c r="D6993" t="s">
        <v>5708</v>
      </c>
      <c r="E6993" t="s">
        <v>5056</v>
      </c>
      <c r="F6993" t="s">
        <v>5163</v>
      </c>
      <c r="H6993">
        <f>2.7-0.345</f>
        <v>2.3550000000000004</v>
      </c>
    </row>
    <row r="6994" spans="1:17" x14ac:dyDescent="0.2">
      <c r="A6994" t="s">
        <v>5739</v>
      </c>
      <c r="B6994" t="s">
        <v>5727</v>
      </c>
      <c r="C6994">
        <v>2</v>
      </c>
      <c r="D6994" t="s">
        <v>5732</v>
      </c>
      <c r="E6994" s="8" t="s">
        <v>5081</v>
      </c>
      <c r="F6994" t="s">
        <v>1538</v>
      </c>
      <c r="G6994">
        <v>55</v>
      </c>
      <c r="Q6994" t="s">
        <v>8324</v>
      </c>
    </row>
    <row r="6995" spans="1:17" x14ac:dyDescent="0.2">
      <c r="A6995" t="s">
        <v>5739</v>
      </c>
      <c r="B6995" t="s">
        <v>5727</v>
      </c>
      <c r="C6995">
        <v>2</v>
      </c>
      <c r="D6995" t="s">
        <v>5732</v>
      </c>
      <c r="E6995" s="8" t="s">
        <v>5082</v>
      </c>
      <c r="F6995" t="s">
        <v>1538</v>
      </c>
      <c r="G6995">
        <v>31</v>
      </c>
      <c r="Q6995" t="s">
        <v>8325</v>
      </c>
    </row>
    <row r="6996" spans="1:17" x14ac:dyDescent="0.2">
      <c r="A6996" t="s">
        <v>5739</v>
      </c>
      <c r="B6996" t="s">
        <v>5727</v>
      </c>
      <c r="C6996">
        <v>2</v>
      </c>
      <c r="D6996" t="s">
        <v>5732</v>
      </c>
      <c r="E6996" s="8" t="s">
        <v>5089</v>
      </c>
      <c r="F6996" t="s">
        <v>1538</v>
      </c>
      <c r="G6996">
        <v>2</v>
      </c>
      <c r="Q6996" t="s">
        <v>8322</v>
      </c>
    </row>
    <row r="6997" spans="1:17" x14ac:dyDescent="0.2">
      <c r="A6997" t="s">
        <v>5739</v>
      </c>
      <c r="B6997" t="s">
        <v>5727</v>
      </c>
      <c r="C6997">
        <v>2</v>
      </c>
      <c r="D6997" t="s">
        <v>5732</v>
      </c>
      <c r="E6997" s="8" t="s">
        <v>5090</v>
      </c>
      <c r="F6997" t="s">
        <v>1538</v>
      </c>
      <c r="G6997">
        <v>23</v>
      </c>
      <c r="Q6997" t="s">
        <v>8321</v>
      </c>
    </row>
    <row r="6998" spans="1:17" x14ac:dyDescent="0.2">
      <c r="A6998" t="s">
        <v>5739</v>
      </c>
      <c r="B6998" t="s">
        <v>5727</v>
      </c>
      <c r="C6998">
        <v>2</v>
      </c>
      <c r="D6998" t="s">
        <v>5732</v>
      </c>
      <c r="E6998" s="8" t="s">
        <v>5091</v>
      </c>
      <c r="F6998" t="s">
        <v>1538</v>
      </c>
      <c r="G6998">
        <v>159</v>
      </c>
      <c r="M6998">
        <v>5</v>
      </c>
    </row>
    <row r="6999" spans="1:17" x14ac:dyDescent="0.2">
      <c r="A6999" t="s">
        <v>5739</v>
      </c>
      <c r="B6999" t="s">
        <v>5727</v>
      </c>
      <c r="C6999">
        <v>2</v>
      </c>
      <c r="D6999" t="s">
        <v>5732</v>
      </c>
      <c r="E6999" s="8" t="s">
        <v>5092</v>
      </c>
      <c r="F6999" t="s">
        <v>1538</v>
      </c>
      <c r="G6999">
        <v>9</v>
      </c>
      <c r="O6999" t="s">
        <v>5733</v>
      </c>
      <c r="Q6999" t="s">
        <v>8329</v>
      </c>
    </row>
    <row r="7000" spans="1:17" x14ac:dyDescent="0.2">
      <c r="A7000" t="s">
        <v>5739</v>
      </c>
      <c r="B7000" t="s">
        <v>5727</v>
      </c>
      <c r="C7000">
        <v>2</v>
      </c>
      <c r="D7000" t="s">
        <v>5732</v>
      </c>
      <c r="E7000" s="8" t="s">
        <v>5056</v>
      </c>
      <c r="F7000" t="s">
        <v>1538</v>
      </c>
      <c r="G7000">
        <v>211</v>
      </c>
      <c r="M7000">
        <v>6</v>
      </c>
    </row>
    <row r="7001" spans="1:17" x14ac:dyDescent="0.2">
      <c r="A7001" t="s">
        <v>5739</v>
      </c>
      <c r="B7001" t="s">
        <v>5727</v>
      </c>
      <c r="C7001">
        <v>2</v>
      </c>
      <c r="D7001" t="s">
        <v>5732</v>
      </c>
      <c r="E7001" s="8" t="s">
        <v>5056</v>
      </c>
      <c r="F7001" t="s">
        <v>1538</v>
      </c>
      <c r="G7001">
        <v>311</v>
      </c>
      <c r="M7001">
        <v>19</v>
      </c>
    </row>
    <row r="7002" spans="1:17" x14ac:dyDescent="0.2">
      <c r="A7002" t="s">
        <v>5739</v>
      </c>
      <c r="B7002" t="s">
        <v>5727</v>
      </c>
      <c r="C7002">
        <v>2</v>
      </c>
      <c r="D7002" t="s">
        <v>5732</v>
      </c>
      <c r="E7002" s="8" t="s">
        <v>5056</v>
      </c>
      <c r="F7002" t="s">
        <v>1538</v>
      </c>
      <c r="G7002">
        <v>196</v>
      </c>
      <c r="M7002">
        <v>11</v>
      </c>
    </row>
    <row r="7003" spans="1:17" x14ac:dyDescent="0.2">
      <c r="A7003" t="s">
        <v>5739</v>
      </c>
      <c r="B7003" t="s">
        <v>5727</v>
      </c>
      <c r="C7003">
        <v>2</v>
      </c>
      <c r="D7003" t="s">
        <v>5732</v>
      </c>
      <c r="E7003">
        <v>99</v>
      </c>
      <c r="F7003" t="s">
        <v>1538</v>
      </c>
      <c r="G7003">
        <v>1</v>
      </c>
      <c r="Q7003" t="s">
        <v>8323</v>
      </c>
    </row>
    <row r="7004" spans="1:17" x14ac:dyDescent="0.2">
      <c r="A7004" t="s">
        <v>5739</v>
      </c>
      <c r="B7004" t="s">
        <v>5727</v>
      </c>
      <c r="C7004">
        <v>2</v>
      </c>
      <c r="D7004" t="s">
        <v>5732</v>
      </c>
      <c r="E7004" s="8" t="s">
        <v>5094</v>
      </c>
      <c r="F7004" t="s">
        <v>1538</v>
      </c>
      <c r="G7004">
        <v>3</v>
      </c>
      <c r="Q7004" t="s">
        <v>8328</v>
      </c>
    </row>
    <row r="7005" spans="1:17" x14ac:dyDescent="0.2">
      <c r="A7005" t="s">
        <v>5739</v>
      </c>
      <c r="B7005" t="s">
        <v>5727</v>
      </c>
      <c r="C7005">
        <v>2</v>
      </c>
      <c r="D7005" t="s">
        <v>5732</v>
      </c>
      <c r="E7005" s="8" t="s">
        <v>5097</v>
      </c>
      <c r="F7005" t="s">
        <v>1538</v>
      </c>
      <c r="G7005">
        <v>2</v>
      </c>
      <c r="Q7005" t="s">
        <v>8326</v>
      </c>
    </row>
    <row r="7006" spans="1:17" x14ac:dyDescent="0.2">
      <c r="A7006" t="s">
        <v>5739</v>
      </c>
      <c r="B7006" t="s">
        <v>5727</v>
      </c>
      <c r="C7006">
        <v>2</v>
      </c>
      <c r="D7006" t="s">
        <v>5732</v>
      </c>
      <c r="E7006" s="8" t="s">
        <v>5098</v>
      </c>
      <c r="F7006" t="s">
        <v>1538</v>
      </c>
      <c r="G7006" t="s">
        <v>114</v>
      </c>
      <c r="Q7006" t="s">
        <v>8331</v>
      </c>
    </row>
    <row r="7007" spans="1:17" x14ac:dyDescent="0.2">
      <c r="A7007" t="s">
        <v>5739</v>
      </c>
      <c r="B7007" t="s">
        <v>5727</v>
      </c>
      <c r="C7007">
        <v>2</v>
      </c>
      <c r="D7007" t="s">
        <v>5732</v>
      </c>
      <c r="E7007">
        <v>10</v>
      </c>
      <c r="F7007" t="s">
        <v>1538</v>
      </c>
      <c r="G7007" t="s">
        <v>114</v>
      </c>
      <c r="Q7007" t="s">
        <v>8330</v>
      </c>
    </row>
    <row r="7008" spans="1:17" x14ac:dyDescent="0.2">
      <c r="A7008" t="s">
        <v>5739</v>
      </c>
      <c r="B7008" t="s">
        <v>5727</v>
      </c>
      <c r="C7008">
        <v>2</v>
      </c>
      <c r="D7008" t="s">
        <v>5732</v>
      </c>
      <c r="E7008">
        <v>11</v>
      </c>
      <c r="F7008" t="s">
        <v>1538</v>
      </c>
      <c r="G7008">
        <v>1</v>
      </c>
      <c r="Q7008" t="s">
        <v>8327</v>
      </c>
    </row>
    <row r="7009" spans="1:17" x14ac:dyDescent="0.2">
      <c r="A7009" t="s">
        <v>5739</v>
      </c>
      <c r="B7009" t="s">
        <v>5727</v>
      </c>
      <c r="C7009">
        <v>2</v>
      </c>
      <c r="D7009" t="s">
        <v>5732</v>
      </c>
      <c r="E7009">
        <v>12</v>
      </c>
      <c r="F7009" t="s">
        <v>6978</v>
      </c>
      <c r="G7009">
        <v>1</v>
      </c>
      <c r="Q7009" t="s">
        <v>8332</v>
      </c>
    </row>
    <row r="7010" spans="1:17" x14ac:dyDescent="0.2">
      <c r="A7010" t="s">
        <v>5739</v>
      </c>
      <c r="B7010" t="s">
        <v>5727</v>
      </c>
      <c r="C7010">
        <v>2</v>
      </c>
      <c r="D7010" t="s">
        <v>5732</v>
      </c>
      <c r="E7010">
        <v>13</v>
      </c>
      <c r="F7010" t="s">
        <v>6978</v>
      </c>
      <c r="G7010">
        <v>2</v>
      </c>
      <c r="Q7010" t="s">
        <v>8333</v>
      </c>
    </row>
    <row r="7011" spans="1:17" x14ac:dyDescent="0.2">
      <c r="A7011" t="s">
        <v>5739</v>
      </c>
      <c r="B7011" t="s">
        <v>5727</v>
      </c>
      <c r="C7011">
        <v>2</v>
      </c>
      <c r="D7011" t="s">
        <v>5732</v>
      </c>
      <c r="E7011">
        <v>14</v>
      </c>
      <c r="F7011" t="s">
        <v>6978</v>
      </c>
      <c r="G7011">
        <v>2</v>
      </c>
      <c r="Q7011" t="s">
        <v>8334</v>
      </c>
    </row>
    <row r="7012" spans="1:17" x14ac:dyDescent="0.2">
      <c r="A7012" t="s">
        <v>5739</v>
      </c>
      <c r="B7012" t="s">
        <v>5727</v>
      </c>
      <c r="C7012">
        <v>2</v>
      </c>
      <c r="D7012" t="s">
        <v>5732</v>
      </c>
      <c r="E7012">
        <v>15</v>
      </c>
      <c r="F7012" t="s">
        <v>6978</v>
      </c>
      <c r="G7012">
        <v>3</v>
      </c>
      <c r="Q7012" t="s">
        <v>8336</v>
      </c>
    </row>
    <row r="7013" spans="1:17" x14ac:dyDescent="0.2">
      <c r="A7013" t="s">
        <v>5739</v>
      </c>
      <c r="B7013" t="s">
        <v>5727</v>
      </c>
      <c r="C7013">
        <v>2</v>
      </c>
      <c r="D7013" t="s">
        <v>5732</v>
      </c>
      <c r="E7013">
        <v>16</v>
      </c>
      <c r="F7013" t="s">
        <v>6978</v>
      </c>
      <c r="G7013">
        <v>5</v>
      </c>
      <c r="Q7013" t="s">
        <v>8337</v>
      </c>
    </row>
    <row r="7014" spans="1:17" x14ac:dyDescent="0.2">
      <c r="A7014" t="s">
        <v>5739</v>
      </c>
      <c r="B7014" t="s">
        <v>5727</v>
      </c>
      <c r="C7014">
        <v>2</v>
      </c>
      <c r="D7014" t="s">
        <v>5732</v>
      </c>
      <c r="E7014">
        <v>17</v>
      </c>
      <c r="F7014" t="s">
        <v>6978</v>
      </c>
      <c r="G7014">
        <v>3</v>
      </c>
      <c r="Q7014" t="s">
        <v>8335</v>
      </c>
    </row>
    <row r="7015" spans="1:17" x14ac:dyDescent="0.2">
      <c r="A7015" t="s">
        <v>5739</v>
      </c>
      <c r="B7015" t="s">
        <v>5727</v>
      </c>
      <c r="C7015">
        <v>2</v>
      </c>
      <c r="D7015" t="s">
        <v>5732</v>
      </c>
      <c r="E7015">
        <v>24</v>
      </c>
      <c r="F7015" t="s">
        <v>1425</v>
      </c>
      <c r="G7015">
        <v>33</v>
      </c>
      <c r="Q7015" t="s">
        <v>8345</v>
      </c>
    </row>
    <row r="7016" spans="1:17" x14ac:dyDescent="0.2">
      <c r="A7016" t="s">
        <v>5739</v>
      </c>
      <c r="B7016" t="s">
        <v>5727</v>
      </c>
      <c r="C7016">
        <v>2</v>
      </c>
      <c r="D7016" t="s">
        <v>5732</v>
      </c>
      <c r="E7016">
        <v>25</v>
      </c>
      <c r="F7016" t="s">
        <v>7990</v>
      </c>
      <c r="G7016">
        <v>17</v>
      </c>
      <c r="O7016" t="s">
        <v>5734</v>
      </c>
      <c r="Q7016" t="s">
        <v>8344</v>
      </c>
    </row>
    <row r="7017" spans="1:17" x14ac:dyDescent="0.2">
      <c r="A7017" t="s">
        <v>5739</v>
      </c>
      <c r="B7017" t="s">
        <v>5727</v>
      </c>
      <c r="C7017">
        <v>2</v>
      </c>
      <c r="D7017" t="s">
        <v>5732</v>
      </c>
      <c r="E7017">
        <v>26</v>
      </c>
      <c r="F7017" t="s">
        <v>1425</v>
      </c>
      <c r="G7017">
        <v>36</v>
      </c>
      <c r="Q7017" t="s">
        <v>8343</v>
      </c>
    </row>
    <row r="7018" spans="1:17" x14ac:dyDescent="0.2">
      <c r="A7018" t="s">
        <v>5739</v>
      </c>
      <c r="B7018" t="s">
        <v>5727</v>
      </c>
      <c r="C7018">
        <v>2</v>
      </c>
      <c r="D7018" t="s">
        <v>5732</v>
      </c>
      <c r="E7018">
        <v>27</v>
      </c>
      <c r="F7018" t="s">
        <v>1425</v>
      </c>
      <c r="G7018">
        <v>8</v>
      </c>
      <c r="Q7018" t="s">
        <v>8346</v>
      </c>
    </row>
    <row r="7019" spans="1:17" x14ac:dyDescent="0.2">
      <c r="A7019" t="s">
        <v>5739</v>
      </c>
      <c r="B7019" t="s">
        <v>5727</v>
      </c>
      <c r="C7019">
        <v>2</v>
      </c>
      <c r="D7019" t="s">
        <v>5732</v>
      </c>
      <c r="E7019">
        <v>28</v>
      </c>
      <c r="F7019" t="s">
        <v>6760</v>
      </c>
      <c r="G7019">
        <v>2</v>
      </c>
      <c r="Q7019" t="s">
        <v>8338</v>
      </c>
    </row>
    <row r="7020" spans="1:17" x14ac:dyDescent="0.2">
      <c r="A7020" t="s">
        <v>5739</v>
      </c>
      <c r="B7020" t="s">
        <v>5727</v>
      </c>
      <c r="C7020">
        <v>2</v>
      </c>
      <c r="D7020" t="s">
        <v>5732</v>
      </c>
      <c r="E7020">
        <v>38</v>
      </c>
      <c r="F7020" t="s">
        <v>6760</v>
      </c>
      <c r="G7020">
        <v>3</v>
      </c>
      <c r="Q7020" t="s">
        <v>8339</v>
      </c>
    </row>
    <row r="7021" spans="1:17" x14ac:dyDescent="0.2">
      <c r="A7021" t="s">
        <v>5739</v>
      </c>
      <c r="B7021" t="s">
        <v>5727</v>
      </c>
      <c r="C7021">
        <v>2</v>
      </c>
      <c r="D7021" t="s">
        <v>5732</v>
      </c>
      <c r="E7021">
        <v>29</v>
      </c>
      <c r="F7021" t="s">
        <v>1425</v>
      </c>
      <c r="G7021">
        <v>16</v>
      </c>
      <c r="M7021">
        <v>4</v>
      </c>
    </row>
    <row r="7022" spans="1:17" x14ac:dyDescent="0.2">
      <c r="A7022" t="s">
        <v>5739</v>
      </c>
      <c r="B7022" t="s">
        <v>5727</v>
      </c>
      <c r="C7022">
        <v>2</v>
      </c>
      <c r="D7022" t="s">
        <v>5732</v>
      </c>
      <c r="E7022">
        <v>30</v>
      </c>
      <c r="F7022" t="s">
        <v>6239</v>
      </c>
      <c r="G7022">
        <v>1</v>
      </c>
      <c r="Q7022" t="s">
        <v>8347</v>
      </c>
    </row>
    <row r="7023" spans="1:17" x14ac:dyDescent="0.2">
      <c r="A7023" t="s">
        <v>5739</v>
      </c>
      <c r="B7023" t="s">
        <v>5727</v>
      </c>
      <c r="C7023">
        <v>2</v>
      </c>
      <c r="D7023" t="s">
        <v>5732</v>
      </c>
      <c r="E7023">
        <v>34</v>
      </c>
      <c r="F7023" t="s">
        <v>6239</v>
      </c>
      <c r="G7023">
        <v>1</v>
      </c>
      <c r="Q7023" t="s">
        <v>8348</v>
      </c>
    </row>
    <row r="7024" spans="1:17" x14ac:dyDescent="0.2">
      <c r="A7024" t="s">
        <v>5739</v>
      </c>
      <c r="B7024" t="s">
        <v>5727</v>
      </c>
      <c r="C7024">
        <v>2</v>
      </c>
      <c r="D7024" t="s">
        <v>5732</v>
      </c>
      <c r="E7024">
        <v>35</v>
      </c>
      <c r="F7024" t="s">
        <v>6239</v>
      </c>
      <c r="G7024">
        <v>1</v>
      </c>
      <c r="Q7024" t="s">
        <v>8349</v>
      </c>
    </row>
    <row r="7025" spans="1:17" x14ac:dyDescent="0.2">
      <c r="A7025" t="s">
        <v>5739</v>
      </c>
      <c r="B7025" t="s">
        <v>5727</v>
      </c>
      <c r="C7025">
        <v>2</v>
      </c>
      <c r="D7025" t="s">
        <v>5732</v>
      </c>
      <c r="E7025">
        <v>39</v>
      </c>
      <c r="F7025" t="s">
        <v>1264</v>
      </c>
      <c r="H7025">
        <f>3.7-0.345</f>
        <v>3.3550000000000004</v>
      </c>
      <c r="O7025" t="s">
        <v>5735</v>
      </c>
    </row>
    <row r="7026" spans="1:17" x14ac:dyDescent="0.2">
      <c r="A7026" t="s">
        <v>5739</v>
      </c>
      <c r="B7026" t="s">
        <v>5727</v>
      </c>
      <c r="C7026">
        <v>2</v>
      </c>
      <c r="D7026" t="s">
        <v>5732</v>
      </c>
      <c r="E7026">
        <v>36</v>
      </c>
      <c r="F7026" t="s">
        <v>6239</v>
      </c>
      <c r="G7026">
        <v>1</v>
      </c>
      <c r="Q7026" t="s">
        <v>8350</v>
      </c>
    </row>
    <row r="7027" spans="1:17" x14ac:dyDescent="0.2">
      <c r="A7027" t="s">
        <v>5739</v>
      </c>
      <c r="B7027" t="s">
        <v>5727</v>
      </c>
      <c r="C7027">
        <v>2</v>
      </c>
      <c r="D7027" t="s">
        <v>5732</v>
      </c>
      <c r="E7027">
        <v>37</v>
      </c>
      <c r="F7027" t="s">
        <v>6239</v>
      </c>
      <c r="G7027">
        <v>3</v>
      </c>
      <c r="M7027">
        <v>3</v>
      </c>
      <c r="Q7027" t="s">
        <v>8351</v>
      </c>
    </row>
    <row r="7028" spans="1:17" x14ac:dyDescent="0.2">
      <c r="A7028" t="s">
        <v>5739</v>
      </c>
      <c r="B7028" t="s">
        <v>5727</v>
      </c>
      <c r="C7028">
        <v>2</v>
      </c>
      <c r="D7028" t="s">
        <v>5732</v>
      </c>
      <c r="E7028">
        <v>31</v>
      </c>
      <c r="F7028" t="s">
        <v>7337</v>
      </c>
      <c r="G7028">
        <v>65</v>
      </c>
      <c r="Q7028" t="s">
        <v>8342</v>
      </c>
    </row>
    <row r="7029" spans="1:17" x14ac:dyDescent="0.2">
      <c r="A7029" t="s">
        <v>5739</v>
      </c>
      <c r="B7029" t="s">
        <v>5727</v>
      </c>
      <c r="C7029">
        <v>2</v>
      </c>
      <c r="D7029" t="s">
        <v>5732</v>
      </c>
      <c r="E7029">
        <v>32</v>
      </c>
      <c r="F7029" t="s">
        <v>7337</v>
      </c>
      <c r="G7029">
        <v>17</v>
      </c>
      <c r="Q7029" t="s">
        <v>8341</v>
      </c>
    </row>
    <row r="7030" spans="1:17" x14ac:dyDescent="0.2">
      <c r="A7030" t="s">
        <v>5739</v>
      </c>
      <c r="B7030" t="s">
        <v>5727</v>
      </c>
      <c r="C7030">
        <v>2</v>
      </c>
      <c r="D7030" t="s">
        <v>5732</v>
      </c>
      <c r="E7030">
        <v>33</v>
      </c>
      <c r="F7030" t="s">
        <v>7337</v>
      </c>
      <c r="G7030">
        <v>35</v>
      </c>
      <c r="Q7030" t="s">
        <v>8340</v>
      </c>
    </row>
    <row r="7031" spans="1:17" x14ac:dyDescent="0.2">
      <c r="A7031" t="s">
        <v>5739</v>
      </c>
      <c r="B7031" t="s">
        <v>5727</v>
      </c>
      <c r="C7031">
        <v>2</v>
      </c>
      <c r="D7031" t="s">
        <v>5732</v>
      </c>
      <c r="E7031">
        <v>40</v>
      </c>
      <c r="F7031" t="s">
        <v>5163</v>
      </c>
      <c r="G7031">
        <f>893-590</f>
        <v>303</v>
      </c>
      <c r="O7031" t="s">
        <v>5736</v>
      </c>
    </row>
    <row r="7032" spans="1:17" x14ac:dyDescent="0.2">
      <c r="A7032" t="s">
        <v>5739</v>
      </c>
      <c r="B7032" t="s">
        <v>5727</v>
      </c>
      <c r="C7032">
        <v>2</v>
      </c>
      <c r="D7032" t="s">
        <v>5732</v>
      </c>
      <c r="E7032">
        <v>18</v>
      </c>
      <c r="F7032" t="s">
        <v>1389</v>
      </c>
      <c r="G7032">
        <v>13</v>
      </c>
      <c r="Q7032" t="s">
        <v>8356</v>
      </c>
    </row>
    <row r="7033" spans="1:17" x14ac:dyDescent="0.2">
      <c r="A7033" t="s">
        <v>5739</v>
      </c>
      <c r="B7033" t="s">
        <v>5727</v>
      </c>
      <c r="C7033">
        <v>2</v>
      </c>
      <c r="D7033" t="s">
        <v>5732</v>
      </c>
      <c r="E7033">
        <v>19</v>
      </c>
      <c r="F7033" t="s">
        <v>1389</v>
      </c>
      <c r="G7033">
        <v>5</v>
      </c>
      <c r="Q7033" t="s">
        <v>8355</v>
      </c>
    </row>
    <row r="7034" spans="1:17" x14ac:dyDescent="0.2">
      <c r="A7034" t="s">
        <v>5739</v>
      </c>
      <c r="B7034" t="s">
        <v>5727</v>
      </c>
      <c r="C7034">
        <v>2</v>
      </c>
      <c r="D7034" t="s">
        <v>5732</v>
      </c>
      <c r="E7034">
        <v>20</v>
      </c>
      <c r="F7034" t="s">
        <v>1389</v>
      </c>
      <c r="G7034">
        <v>2</v>
      </c>
      <c r="Q7034" t="s">
        <v>8354</v>
      </c>
    </row>
    <row r="7035" spans="1:17" x14ac:dyDescent="0.2">
      <c r="A7035" t="s">
        <v>5739</v>
      </c>
      <c r="B7035" t="s">
        <v>5727</v>
      </c>
      <c r="C7035">
        <v>2</v>
      </c>
      <c r="D7035" t="s">
        <v>5732</v>
      </c>
      <c r="E7035">
        <v>21</v>
      </c>
      <c r="F7035" t="s">
        <v>1389</v>
      </c>
      <c r="G7035">
        <v>3</v>
      </c>
      <c r="Q7035" t="s">
        <v>8353</v>
      </c>
    </row>
    <row r="7036" spans="1:17" x14ac:dyDescent="0.2">
      <c r="A7036" t="s">
        <v>5739</v>
      </c>
      <c r="B7036" t="s">
        <v>5727</v>
      </c>
      <c r="C7036">
        <v>2</v>
      </c>
      <c r="D7036" t="s">
        <v>5732</v>
      </c>
      <c r="E7036">
        <v>22</v>
      </c>
      <c r="F7036" t="s">
        <v>1389</v>
      </c>
      <c r="G7036">
        <v>1</v>
      </c>
      <c r="Q7036" t="s">
        <v>8352</v>
      </c>
    </row>
    <row r="7037" spans="1:17" x14ac:dyDescent="0.2">
      <c r="A7037" t="s">
        <v>5739</v>
      </c>
      <c r="B7037" t="s">
        <v>5727</v>
      </c>
      <c r="C7037">
        <v>2</v>
      </c>
      <c r="D7037" t="s">
        <v>5732</v>
      </c>
      <c r="E7037">
        <v>23</v>
      </c>
      <c r="F7037" t="s">
        <v>1389</v>
      </c>
      <c r="G7037">
        <v>30</v>
      </c>
      <c r="M7037">
        <v>5</v>
      </c>
    </row>
    <row r="7038" spans="1:17" x14ac:dyDescent="0.2">
      <c r="A7038" t="s">
        <v>5739</v>
      </c>
      <c r="B7038" t="s">
        <v>5727</v>
      </c>
      <c r="C7038">
        <v>2</v>
      </c>
      <c r="D7038" t="s">
        <v>5732</v>
      </c>
      <c r="E7038" t="s">
        <v>5056</v>
      </c>
      <c r="F7038" t="s">
        <v>1389</v>
      </c>
      <c r="G7038">
        <v>18</v>
      </c>
      <c r="M7038">
        <v>4</v>
      </c>
    </row>
    <row r="7039" spans="1:17" x14ac:dyDescent="0.2">
      <c r="A7039" t="s">
        <v>5739</v>
      </c>
      <c r="B7039" t="s">
        <v>5727</v>
      </c>
      <c r="C7039">
        <v>2</v>
      </c>
      <c r="D7039" t="s">
        <v>5732</v>
      </c>
      <c r="E7039" t="s">
        <v>5056</v>
      </c>
      <c r="F7039" t="s">
        <v>1582</v>
      </c>
      <c r="G7039" t="s">
        <v>114</v>
      </c>
      <c r="M7039">
        <v>3</v>
      </c>
    </row>
    <row r="7040" spans="1:17" x14ac:dyDescent="0.2">
      <c r="A7040" t="s">
        <v>5739</v>
      </c>
      <c r="B7040" t="s">
        <v>5727</v>
      </c>
      <c r="C7040">
        <v>2</v>
      </c>
      <c r="D7040" t="s">
        <v>5732</v>
      </c>
      <c r="E7040">
        <v>41</v>
      </c>
      <c r="F7040" t="s">
        <v>7140</v>
      </c>
      <c r="G7040">
        <v>26</v>
      </c>
      <c r="M7040">
        <v>4</v>
      </c>
      <c r="O7040" t="s">
        <v>7662</v>
      </c>
      <c r="Q7040" t="s">
        <v>8357</v>
      </c>
    </row>
    <row r="7041" spans="1:17" x14ac:dyDescent="0.2">
      <c r="A7041" t="s">
        <v>5739</v>
      </c>
      <c r="B7041" t="s">
        <v>5727</v>
      </c>
      <c r="C7041">
        <v>2</v>
      </c>
      <c r="D7041" t="s">
        <v>5732</v>
      </c>
      <c r="E7041">
        <v>42</v>
      </c>
      <c r="F7041" t="s">
        <v>5737</v>
      </c>
      <c r="G7041">
        <v>19</v>
      </c>
      <c r="M7041">
        <v>9</v>
      </c>
    </row>
    <row r="7042" spans="1:17" x14ac:dyDescent="0.2">
      <c r="A7042" t="s">
        <v>5739</v>
      </c>
      <c r="B7042" t="s">
        <v>5727</v>
      </c>
      <c r="C7042">
        <v>2</v>
      </c>
      <c r="D7042" t="s">
        <v>5732</v>
      </c>
      <c r="E7042">
        <v>43</v>
      </c>
      <c r="F7042" t="s">
        <v>121</v>
      </c>
      <c r="G7042">
        <v>9</v>
      </c>
    </row>
    <row r="7043" spans="1:17" x14ac:dyDescent="0.2">
      <c r="A7043" t="s">
        <v>5739</v>
      </c>
      <c r="B7043" t="s">
        <v>5727</v>
      </c>
      <c r="C7043">
        <v>2</v>
      </c>
      <c r="D7043" t="s">
        <v>5732</v>
      </c>
      <c r="E7043">
        <v>44</v>
      </c>
      <c r="F7043" t="s">
        <v>2836</v>
      </c>
      <c r="G7043">
        <v>14</v>
      </c>
      <c r="M7043">
        <v>11</v>
      </c>
    </row>
    <row r="7044" spans="1:17" x14ac:dyDescent="0.2">
      <c r="A7044" t="s">
        <v>5739</v>
      </c>
      <c r="B7044" t="s">
        <v>5727</v>
      </c>
      <c r="C7044">
        <v>2</v>
      </c>
      <c r="D7044" t="s">
        <v>5732</v>
      </c>
      <c r="E7044">
        <v>45</v>
      </c>
      <c r="F7044" t="s">
        <v>3875</v>
      </c>
      <c r="G7044">
        <v>2</v>
      </c>
    </row>
    <row r="7045" spans="1:17" x14ac:dyDescent="0.2">
      <c r="A7045" t="s">
        <v>5739</v>
      </c>
      <c r="B7045" t="s">
        <v>5727</v>
      </c>
      <c r="C7045">
        <v>3</v>
      </c>
      <c r="D7045" t="s">
        <v>5732</v>
      </c>
      <c r="E7045" s="8" t="s">
        <v>5081</v>
      </c>
      <c r="F7045" t="s">
        <v>1264</v>
      </c>
      <c r="H7045">
        <f>3.9-0.344</f>
        <v>3.556</v>
      </c>
    </row>
    <row r="7046" spans="1:17" x14ac:dyDescent="0.2">
      <c r="A7046" t="s">
        <v>5739</v>
      </c>
      <c r="B7046" t="s">
        <v>5727</v>
      </c>
      <c r="C7046">
        <v>3</v>
      </c>
      <c r="D7046" t="s">
        <v>5732</v>
      </c>
      <c r="E7046" s="8" t="s">
        <v>5082</v>
      </c>
      <c r="F7046" t="s">
        <v>504</v>
      </c>
      <c r="G7046">
        <f>885-261</f>
        <v>624</v>
      </c>
    </row>
    <row r="7047" spans="1:17" x14ac:dyDescent="0.2">
      <c r="A7047" t="s">
        <v>5739</v>
      </c>
      <c r="B7047" t="s">
        <v>5727</v>
      </c>
      <c r="C7047">
        <v>3</v>
      </c>
      <c r="D7047" t="s">
        <v>5732</v>
      </c>
      <c r="E7047" s="8" t="s">
        <v>5089</v>
      </c>
      <c r="F7047" t="s">
        <v>8278</v>
      </c>
      <c r="G7047">
        <v>121</v>
      </c>
      <c r="Q7047" t="s">
        <v>8366</v>
      </c>
    </row>
    <row r="7048" spans="1:17" x14ac:dyDescent="0.2">
      <c r="A7048" t="s">
        <v>5739</v>
      </c>
      <c r="B7048" t="s">
        <v>5727</v>
      </c>
      <c r="C7048">
        <v>3</v>
      </c>
      <c r="D7048" t="s">
        <v>5732</v>
      </c>
      <c r="E7048" s="8" t="s">
        <v>5090</v>
      </c>
      <c r="F7048" t="s">
        <v>6882</v>
      </c>
      <c r="G7048">
        <v>27</v>
      </c>
      <c r="Q7048" t="s">
        <v>8367</v>
      </c>
    </row>
    <row r="7049" spans="1:17" x14ac:dyDescent="0.2">
      <c r="A7049" t="s">
        <v>5739</v>
      </c>
      <c r="B7049" t="s">
        <v>5727</v>
      </c>
      <c r="C7049">
        <v>3</v>
      </c>
      <c r="D7049" t="s">
        <v>5732</v>
      </c>
      <c r="E7049" s="8" t="s">
        <v>5091</v>
      </c>
      <c r="F7049" t="s">
        <v>8358</v>
      </c>
      <c r="G7049">
        <v>28</v>
      </c>
      <c r="Q7049" t="s">
        <v>8359</v>
      </c>
    </row>
    <row r="7050" spans="1:17" x14ac:dyDescent="0.2">
      <c r="A7050" t="s">
        <v>5739</v>
      </c>
      <c r="B7050" t="s">
        <v>5727</v>
      </c>
      <c r="C7050">
        <v>3</v>
      </c>
      <c r="D7050" t="s">
        <v>5732</v>
      </c>
      <c r="E7050" s="8" t="s">
        <v>5092</v>
      </c>
      <c r="F7050" t="s">
        <v>6978</v>
      </c>
      <c r="G7050" t="s">
        <v>114</v>
      </c>
      <c r="Q7050" t="s">
        <v>8368</v>
      </c>
    </row>
    <row r="7051" spans="1:17" x14ac:dyDescent="0.2">
      <c r="A7051" t="s">
        <v>5739</v>
      </c>
      <c r="B7051" t="s">
        <v>5727</v>
      </c>
      <c r="C7051">
        <v>3</v>
      </c>
      <c r="D7051" t="s">
        <v>5732</v>
      </c>
      <c r="E7051" s="8" t="s">
        <v>5094</v>
      </c>
      <c r="F7051" t="s">
        <v>6978</v>
      </c>
      <c r="G7051" t="s">
        <v>114</v>
      </c>
      <c r="Q7051" t="s">
        <v>8369</v>
      </c>
    </row>
    <row r="7052" spans="1:17" x14ac:dyDescent="0.2">
      <c r="A7052" t="s">
        <v>5739</v>
      </c>
      <c r="B7052" t="s">
        <v>5727</v>
      </c>
      <c r="C7052">
        <v>3</v>
      </c>
      <c r="D7052" t="s">
        <v>5732</v>
      </c>
      <c r="E7052" s="8" t="s">
        <v>5097</v>
      </c>
      <c r="F7052" t="s">
        <v>6978</v>
      </c>
      <c r="G7052" t="s">
        <v>114</v>
      </c>
      <c r="Q7052" t="s">
        <v>8370</v>
      </c>
    </row>
    <row r="7053" spans="1:17" x14ac:dyDescent="0.2">
      <c r="A7053" t="s">
        <v>5739</v>
      </c>
      <c r="B7053" t="s">
        <v>5727</v>
      </c>
      <c r="C7053">
        <v>3</v>
      </c>
      <c r="D7053" t="s">
        <v>5732</v>
      </c>
      <c r="E7053" s="8" t="s">
        <v>5098</v>
      </c>
      <c r="F7053" t="s">
        <v>1538</v>
      </c>
      <c r="G7053">
        <v>2</v>
      </c>
      <c r="Q7053" t="s">
        <v>8360</v>
      </c>
    </row>
    <row r="7054" spans="1:17" x14ac:dyDescent="0.2">
      <c r="A7054" t="s">
        <v>5739</v>
      </c>
      <c r="B7054" t="s">
        <v>5727</v>
      </c>
      <c r="C7054">
        <v>3</v>
      </c>
      <c r="D7054" t="s">
        <v>5732</v>
      </c>
      <c r="E7054" s="8" t="s">
        <v>5166</v>
      </c>
      <c r="F7054" t="s">
        <v>1538</v>
      </c>
      <c r="G7054">
        <v>1</v>
      </c>
      <c r="Q7054" t="s">
        <v>8361</v>
      </c>
    </row>
    <row r="7055" spans="1:17" x14ac:dyDescent="0.2">
      <c r="A7055" t="s">
        <v>5739</v>
      </c>
      <c r="B7055" t="s">
        <v>5727</v>
      </c>
      <c r="C7055">
        <v>3</v>
      </c>
      <c r="D7055" t="s">
        <v>5732</v>
      </c>
      <c r="E7055" s="8" t="s">
        <v>5167</v>
      </c>
      <c r="F7055" t="s">
        <v>1538</v>
      </c>
      <c r="G7055" t="s">
        <v>114</v>
      </c>
      <c r="Q7055" t="s">
        <v>8362</v>
      </c>
    </row>
    <row r="7056" spans="1:17" x14ac:dyDescent="0.2">
      <c r="A7056" t="s">
        <v>5739</v>
      </c>
      <c r="B7056" t="s">
        <v>5727</v>
      </c>
      <c r="C7056">
        <v>3</v>
      </c>
      <c r="D7056" t="s">
        <v>5732</v>
      </c>
      <c r="E7056" s="8" t="s">
        <v>5168</v>
      </c>
      <c r="F7056" t="s">
        <v>1538</v>
      </c>
      <c r="G7056">
        <v>2</v>
      </c>
      <c r="Q7056" t="s">
        <v>8363</v>
      </c>
    </row>
    <row r="7057" spans="1:17" x14ac:dyDescent="0.2">
      <c r="A7057" t="s">
        <v>5739</v>
      </c>
      <c r="B7057" t="s">
        <v>5727</v>
      </c>
      <c r="C7057">
        <v>3</v>
      </c>
      <c r="D7057" t="s">
        <v>5732</v>
      </c>
      <c r="E7057" s="8" t="s">
        <v>5169</v>
      </c>
      <c r="F7057" t="s">
        <v>1538</v>
      </c>
      <c r="G7057">
        <v>1</v>
      </c>
      <c r="Q7057" t="s">
        <v>8364</v>
      </c>
    </row>
    <row r="7058" spans="1:17" x14ac:dyDescent="0.2">
      <c r="A7058" t="s">
        <v>5739</v>
      </c>
      <c r="B7058" t="s">
        <v>5727</v>
      </c>
      <c r="C7058">
        <v>3</v>
      </c>
      <c r="D7058" t="s">
        <v>5732</v>
      </c>
      <c r="E7058" s="8" t="s">
        <v>5170</v>
      </c>
      <c r="F7058" t="s">
        <v>1538</v>
      </c>
      <c r="G7058">
        <v>2</v>
      </c>
      <c r="Q7058" t="s">
        <v>8365</v>
      </c>
    </row>
    <row r="7059" spans="1:17" x14ac:dyDescent="0.2">
      <c r="A7059" t="s">
        <v>5739</v>
      </c>
      <c r="B7059" t="s">
        <v>5727</v>
      </c>
      <c r="C7059">
        <v>3</v>
      </c>
      <c r="D7059" t="s">
        <v>5732</v>
      </c>
      <c r="E7059" s="8" t="s">
        <v>5171</v>
      </c>
      <c r="F7059" t="s">
        <v>1538</v>
      </c>
      <c r="G7059">
        <v>3</v>
      </c>
      <c r="M7059">
        <v>2</v>
      </c>
    </row>
    <row r="7060" spans="1:17" x14ac:dyDescent="0.2">
      <c r="A7060" t="s">
        <v>5739</v>
      </c>
      <c r="B7060" t="s">
        <v>5727</v>
      </c>
      <c r="C7060">
        <v>3</v>
      </c>
      <c r="D7060" t="s">
        <v>5732</v>
      </c>
      <c r="E7060" s="8" t="s">
        <v>5140</v>
      </c>
      <c r="F7060" t="s">
        <v>1389</v>
      </c>
      <c r="G7060">
        <v>14</v>
      </c>
      <c r="Q7060" t="s">
        <v>8374</v>
      </c>
    </row>
    <row r="7061" spans="1:17" x14ac:dyDescent="0.2">
      <c r="A7061" t="s">
        <v>5739</v>
      </c>
      <c r="B7061" t="s">
        <v>5727</v>
      </c>
      <c r="C7061">
        <v>3</v>
      </c>
      <c r="D7061" t="s">
        <v>5732</v>
      </c>
      <c r="E7061" s="8" t="s">
        <v>5141</v>
      </c>
      <c r="F7061" t="s">
        <v>7845</v>
      </c>
      <c r="G7061" t="s">
        <v>114</v>
      </c>
      <c r="Q7061" t="s">
        <v>8375</v>
      </c>
    </row>
    <row r="7062" spans="1:17" x14ac:dyDescent="0.2">
      <c r="A7062" t="s">
        <v>5739</v>
      </c>
      <c r="B7062" t="s">
        <v>5727</v>
      </c>
      <c r="C7062">
        <v>3</v>
      </c>
      <c r="D7062" t="s">
        <v>5732</v>
      </c>
      <c r="E7062" s="8" t="s">
        <v>5142</v>
      </c>
      <c r="F7062" t="s">
        <v>1389</v>
      </c>
      <c r="G7062">
        <v>2</v>
      </c>
      <c r="Q7062" t="s">
        <v>8373</v>
      </c>
    </row>
    <row r="7063" spans="1:17" x14ac:dyDescent="0.2">
      <c r="A7063" t="s">
        <v>5739</v>
      </c>
      <c r="B7063" t="s">
        <v>5727</v>
      </c>
      <c r="C7063">
        <v>3</v>
      </c>
      <c r="D7063" t="s">
        <v>5732</v>
      </c>
      <c r="E7063" s="8" t="s">
        <v>5143</v>
      </c>
      <c r="F7063" t="s">
        <v>1389</v>
      </c>
      <c r="G7063">
        <v>3</v>
      </c>
      <c r="Q7063" t="s">
        <v>8372</v>
      </c>
    </row>
    <row r="7064" spans="1:17" x14ac:dyDescent="0.2">
      <c r="A7064" t="s">
        <v>5739</v>
      </c>
      <c r="B7064" t="s">
        <v>5727</v>
      </c>
      <c r="C7064">
        <v>3</v>
      </c>
      <c r="D7064" t="s">
        <v>5732</v>
      </c>
      <c r="E7064" s="8" t="s">
        <v>5144</v>
      </c>
      <c r="F7064" t="s">
        <v>1389</v>
      </c>
      <c r="G7064">
        <v>6</v>
      </c>
      <c r="Q7064" t="s">
        <v>8371</v>
      </c>
    </row>
    <row r="7065" spans="1:17" x14ac:dyDescent="0.2">
      <c r="A7065" t="s">
        <v>5739</v>
      </c>
      <c r="B7065" t="s">
        <v>5727</v>
      </c>
      <c r="C7065">
        <v>3</v>
      </c>
      <c r="D7065" t="s">
        <v>5732</v>
      </c>
      <c r="E7065" s="8" t="s">
        <v>5145</v>
      </c>
      <c r="F7065" t="s">
        <v>1389</v>
      </c>
      <c r="G7065">
        <v>32</v>
      </c>
      <c r="M7065">
        <v>5</v>
      </c>
    </row>
    <row r="7066" spans="1:17" x14ac:dyDescent="0.2">
      <c r="A7066" t="s">
        <v>5739</v>
      </c>
      <c r="B7066" t="s">
        <v>5727</v>
      </c>
      <c r="C7066">
        <v>3</v>
      </c>
      <c r="D7066" t="s">
        <v>5732</v>
      </c>
      <c r="E7066">
        <v>28</v>
      </c>
      <c r="F7066" t="s">
        <v>1425</v>
      </c>
      <c r="G7066">
        <v>14</v>
      </c>
      <c r="Q7066" t="s">
        <v>8376</v>
      </c>
    </row>
    <row r="7067" spans="1:17" x14ac:dyDescent="0.2">
      <c r="A7067" t="s">
        <v>5739</v>
      </c>
      <c r="B7067" t="s">
        <v>5727</v>
      </c>
      <c r="C7067">
        <v>3</v>
      </c>
      <c r="D7067" t="s">
        <v>5732</v>
      </c>
      <c r="E7067">
        <v>29</v>
      </c>
      <c r="F7067" t="s">
        <v>1425</v>
      </c>
      <c r="G7067">
        <v>5</v>
      </c>
      <c r="Q7067" t="s">
        <v>8378</v>
      </c>
    </row>
    <row r="7068" spans="1:17" x14ac:dyDescent="0.2">
      <c r="A7068" t="s">
        <v>5739</v>
      </c>
      <c r="B7068" t="s">
        <v>5727</v>
      </c>
      <c r="C7068">
        <v>3</v>
      </c>
      <c r="D7068" t="s">
        <v>5732</v>
      </c>
      <c r="E7068">
        <v>30</v>
      </c>
      <c r="F7068" t="s">
        <v>1425</v>
      </c>
      <c r="G7068">
        <v>4</v>
      </c>
      <c r="Q7068" t="s">
        <v>8377</v>
      </c>
    </row>
    <row r="7069" spans="1:17" x14ac:dyDescent="0.2">
      <c r="A7069" t="s">
        <v>5739</v>
      </c>
      <c r="B7069" t="s">
        <v>5727</v>
      </c>
      <c r="C7069">
        <v>3</v>
      </c>
      <c r="D7069" t="s">
        <v>5732</v>
      </c>
      <c r="E7069">
        <v>31</v>
      </c>
      <c r="F7069" t="s">
        <v>1425</v>
      </c>
      <c r="G7069">
        <v>5</v>
      </c>
      <c r="Q7069" t="s">
        <v>8380</v>
      </c>
    </row>
    <row r="7070" spans="1:17" x14ac:dyDescent="0.2">
      <c r="A7070" t="s">
        <v>5739</v>
      </c>
      <c r="B7070" t="s">
        <v>5727</v>
      </c>
      <c r="C7070">
        <v>3</v>
      </c>
      <c r="D7070" t="s">
        <v>5732</v>
      </c>
      <c r="E7070">
        <v>32</v>
      </c>
      <c r="F7070" t="s">
        <v>1425</v>
      </c>
      <c r="G7070">
        <v>8</v>
      </c>
      <c r="Q7070" t="s">
        <v>8379</v>
      </c>
    </row>
    <row r="7071" spans="1:17" x14ac:dyDescent="0.2">
      <c r="A7071" t="s">
        <v>5739</v>
      </c>
      <c r="B7071" t="s">
        <v>5727</v>
      </c>
      <c r="C7071">
        <v>3</v>
      </c>
      <c r="D7071" t="s">
        <v>5732</v>
      </c>
      <c r="E7071">
        <v>33</v>
      </c>
      <c r="F7071" t="s">
        <v>1425</v>
      </c>
      <c r="G7071">
        <v>31</v>
      </c>
      <c r="M7071">
        <v>4</v>
      </c>
    </row>
    <row r="7072" spans="1:17" x14ac:dyDescent="0.2">
      <c r="A7072" t="s">
        <v>5739</v>
      </c>
      <c r="B7072" t="s">
        <v>5727</v>
      </c>
      <c r="C7072">
        <v>3</v>
      </c>
      <c r="D7072" t="s">
        <v>5732</v>
      </c>
      <c r="E7072">
        <v>34</v>
      </c>
      <c r="F7072" t="s">
        <v>3930</v>
      </c>
      <c r="G7072">
        <v>9</v>
      </c>
      <c r="Q7072" t="s">
        <v>8381</v>
      </c>
    </row>
    <row r="7073" spans="1:17" x14ac:dyDescent="0.2">
      <c r="A7073" t="s">
        <v>5739</v>
      </c>
      <c r="B7073" t="s">
        <v>5727</v>
      </c>
      <c r="C7073">
        <v>3</v>
      </c>
      <c r="D7073" t="s">
        <v>5732</v>
      </c>
      <c r="E7073">
        <v>22</v>
      </c>
      <c r="F7073" t="s">
        <v>1538</v>
      </c>
      <c r="G7073">
        <v>42</v>
      </c>
      <c r="Q7073" t="s">
        <v>8383</v>
      </c>
    </row>
    <row r="7074" spans="1:17" x14ac:dyDescent="0.2">
      <c r="A7074" t="s">
        <v>5739</v>
      </c>
      <c r="B7074" t="s">
        <v>5727</v>
      </c>
      <c r="C7074">
        <v>3</v>
      </c>
      <c r="D7074" t="s">
        <v>5732</v>
      </c>
      <c r="E7074">
        <v>23</v>
      </c>
      <c r="F7074" t="s">
        <v>1538</v>
      </c>
      <c r="G7074">
        <v>1</v>
      </c>
      <c r="Q7074" t="s">
        <v>8386</v>
      </c>
    </row>
    <row r="7075" spans="1:17" x14ac:dyDescent="0.2">
      <c r="A7075" t="s">
        <v>5739</v>
      </c>
      <c r="B7075" t="s">
        <v>5727</v>
      </c>
      <c r="C7075">
        <v>3</v>
      </c>
      <c r="D7075" t="s">
        <v>5732</v>
      </c>
      <c r="E7075">
        <v>24</v>
      </c>
      <c r="F7075" t="s">
        <v>1538</v>
      </c>
      <c r="G7075">
        <v>5</v>
      </c>
      <c r="Q7075" t="s">
        <v>8385</v>
      </c>
    </row>
    <row r="7076" spans="1:17" x14ac:dyDescent="0.2">
      <c r="A7076" t="s">
        <v>5739</v>
      </c>
      <c r="B7076" t="s">
        <v>5727</v>
      </c>
      <c r="C7076">
        <v>3</v>
      </c>
      <c r="D7076" t="s">
        <v>5732</v>
      </c>
      <c r="E7076">
        <v>25</v>
      </c>
      <c r="F7076" t="s">
        <v>1538</v>
      </c>
      <c r="G7076">
        <v>25</v>
      </c>
      <c r="Q7076" t="s">
        <v>8382</v>
      </c>
    </row>
    <row r="7077" spans="1:17" x14ac:dyDescent="0.2">
      <c r="A7077" t="s">
        <v>5739</v>
      </c>
      <c r="B7077" t="s">
        <v>5727</v>
      </c>
      <c r="C7077">
        <v>3</v>
      </c>
      <c r="D7077" t="s">
        <v>5732</v>
      </c>
      <c r="E7077">
        <v>26</v>
      </c>
      <c r="F7077" t="s">
        <v>1538</v>
      </c>
      <c r="G7077">
        <v>14</v>
      </c>
      <c r="Q7077" t="s">
        <v>8384</v>
      </c>
    </row>
    <row r="7078" spans="1:17" x14ac:dyDescent="0.2">
      <c r="A7078" t="s">
        <v>5739</v>
      </c>
      <c r="B7078" t="s">
        <v>5727</v>
      </c>
      <c r="C7078">
        <v>3</v>
      </c>
      <c r="D7078" t="s">
        <v>5732</v>
      </c>
      <c r="E7078">
        <v>27</v>
      </c>
      <c r="F7078" t="s">
        <v>1538</v>
      </c>
      <c r="G7078">
        <v>71</v>
      </c>
      <c r="M7078">
        <v>5</v>
      </c>
    </row>
    <row r="7079" spans="1:17" x14ac:dyDescent="0.2">
      <c r="A7079" t="s">
        <v>5739</v>
      </c>
      <c r="B7079" t="s">
        <v>5727</v>
      </c>
      <c r="C7079">
        <v>3</v>
      </c>
      <c r="D7079" t="s">
        <v>5732</v>
      </c>
      <c r="E7079" t="s">
        <v>5056</v>
      </c>
      <c r="F7079" t="s">
        <v>1538</v>
      </c>
      <c r="G7079">
        <v>183</v>
      </c>
      <c r="M7079">
        <v>20</v>
      </c>
    </row>
    <row r="7080" spans="1:17" x14ac:dyDescent="0.2">
      <c r="A7080" t="s">
        <v>5739</v>
      </c>
      <c r="B7080" t="s">
        <v>5727</v>
      </c>
      <c r="C7080">
        <v>3</v>
      </c>
      <c r="D7080" t="s">
        <v>5732</v>
      </c>
      <c r="E7080" t="s">
        <v>5056</v>
      </c>
      <c r="F7080" t="s">
        <v>1389</v>
      </c>
      <c r="G7080">
        <v>185</v>
      </c>
      <c r="M7080">
        <v>43</v>
      </c>
    </row>
    <row r="7081" spans="1:17" x14ac:dyDescent="0.2">
      <c r="A7081" t="s">
        <v>5739</v>
      </c>
      <c r="B7081" t="s">
        <v>5727</v>
      </c>
      <c r="C7081">
        <v>3</v>
      </c>
      <c r="D7081" t="s">
        <v>5732</v>
      </c>
      <c r="E7081">
        <v>41</v>
      </c>
      <c r="F7081" t="s">
        <v>810</v>
      </c>
      <c r="G7081">
        <v>23</v>
      </c>
      <c r="M7081">
        <v>10</v>
      </c>
    </row>
    <row r="7082" spans="1:17" x14ac:dyDescent="0.2">
      <c r="A7082" t="s">
        <v>5739</v>
      </c>
      <c r="B7082" t="s">
        <v>5727</v>
      </c>
      <c r="C7082">
        <v>3</v>
      </c>
      <c r="D7082" t="s">
        <v>5732</v>
      </c>
      <c r="E7082">
        <v>42</v>
      </c>
      <c r="F7082" t="s">
        <v>106</v>
      </c>
      <c r="G7082">
        <v>1</v>
      </c>
    </row>
    <row r="7083" spans="1:17" x14ac:dyDescent="0.2">
      <c r="A7083" t="s">
        <v>5739</v>
      </c>
      <c r="B7083" t="s">
        <v>5727</v>
      </c>
      <c r="C7083">
        <v>3</v>
      </c>
      <c r="D7083" t="s">
        <v>5732</v>
      </c>
      <c r="E7083">
        <v>43</v>
      </c>
      <c r="F7083" t="s">
        <v>112</v>
      </c>
      <c r="G7083">
        <v>1</v>
      </c>
    </row>
    <row r="7084" spans="1:17" x14ac:dyDescent="0.2">
      <c r="A7084" t="s">
        <v>5739</v>
      </c>
      <c r="B7084" t="s">
        <v>5727</v>
      </c>
      <c r="C7084">
        <v>3</v>
      </c>
      <c r="D7084" t="s">
        <v>5732</v>
      </c>
      <c r="E7084">
        <v>44</v>
      </c>
      <c r="F7084" t="s">
        <v>3875</v>
      </c>
      <c r="G7084">
        <v>6</v>
      </c>
    </row>
    <row r="7085" spans="1:17" x14ac:dyDescent="0.2">
      <c r="A7085" t="s">
        <v>5739</v>
      </c>
      <c r="B7085" t="s">
        <v>5727</v>
      </c>
      <c r="C7085">
        <v>3</v>
      </c>
      <c r="D7085" t="s">
        <v>5732</v>
      </c>
      <c r="E7085">
        <v>45</v>
      </c>
      <c r="F7085" t="s">
        <v>121</v>
      </c>
      <c r="G7085">
        <v>2</v>
      </c>
    </row>
    <row r="7086" spans="1:17" x14ac:dyDescent="0.2">
      <c r="A7086" t="s">
        <v>5739</v>
      </c>
      <c r="B7086" t="s">
        <v>5727</v>
      </c>
      <c r="C7086">
        <v>3</v>
      </c>
      <c r="D7086" t="s">
        <v>5732</v>
      </c>
      <c r="E7086">
        <v>46</v>
      </c>
      <c r="F7086" t="s">
        <v>3431</v>
      </c>
      <c r="G7086">
        <v>6</v>
      </c>
    </row>
    <row r="7087" spans="1:17" x14ac:dyDescent="0.2">
      <c r="A7087" t="s">
        <v>5739</v>
      </c>
      <c r="B7087" t="s">
        <v>5727</v>
      </c>
      <c r="C7087">
        <v>3</v>
      </c>
      <c r="D7087" t="s">
        <v>5732</v>
      </c>
      <c r="E7087">
        <v>47</v>
      </c>
      <c r="F7087" t="s">
        <v>2836</v>
      </c>
      <c r="G7087">
        <v>6</v>
      </c>
    </row>
    <row r="7088" spans="1:17" x14ac:dyDescent="0.2">
      <c r="A7088" t="s">
        <v>5739</v>
      </c>
      <c r="B7088" t="s">
        <v>5727</v>
      </c>
      <c r="C7088">
        <v>4</v>
      </c>
      <c r="D7088" t="s">
        <v>5732</v>
      </c>
      <c r="E7088" s="8" t="s">
        <v>5081</v>
      </c>
      <c r="F7088" t="s">
        <v>1264</v>
      </c>
      <c r="G7088">
        <v>280</v>
      </c>
    </row>
    <row r="7089" spans="1:17" x14ac:dyDescent="0.2">
      <c r="A7089" t="s">
        <v>5739</v>
      </c>
      <c r="B7089" t="s">
        <v>5727</v>
      </c>
      <c r="C7089">
        <v>4</v>
      </c>
      <c r="D7089" t="s">
        <v>5732</v>
      </c>
      <c r="E7089" s="8" t="s">
        <v>5082</v>
      </c>
      <c r="F7089" t="s">
        <v>5163</v>
      </c>
      <c r="G7089">
        <v>84</v>
      </c>
    </row>
    <row r="7090" spans="1:17" x14ac:dyDescent="0.2">
      <c r="A7090" t="s">
        <v>5739</v>
      </c>
      <c r="B7090" t="s">
        <v>5727</v>
      </c>
      <c r="C7090">
        <v>4</v>
      </c>
      <c r="D7090" t="s">
        <v>5732</v>
      </c>
      <c r="E7090" s="8" t="s">
        <v>5089</v>
      </c>
      <c r="F7090" t="s">
        <v>1425</v>
      </c>
      <c r="G7090">
        <v>34</v>
      </c>
      <c r="Q7090" t="s">
        <v>8395</v>
      </c>
    </row>
    <row r="7091" spans="1:17" x14ac:dyDescent="0.2">
      <c r="A7091" t="s">
        <v>5739</v>
      </c>
      <c r="B7091" t="s">
        <v>5727</v>
      </c>
      <c r="C7091">
        <v>4</v>
      </c>
      <c r="D7091" t="s">
        <v>5732</v>
      </c>
      <c r="E7091" s="8" t="s">
        <v>5090</v>
      </c>
      <c r="F7091" t="s">
        <v>7845</v>
      </c>
      <c r="G7091" t="s">
        <v>114</v>
      </c>
      <c r="Q7091" t="s">
        <v>8392</v>
      </c>
    </row>
    <row r="7092" spans="1:17" x14ac:dyDescent="0.2">
      <c r="A7092" t="s">
        <v>5739</v>
      </c>
      <c r="B7092" t="s">
        <v>5727</v>
      </c>
      <c r="C7092">
        <v>4</v>
      </c>
      <c r="D7092" t="s">
        <v>5732</v>
      </c>
      <c r="E7092" s="8" t="s">
        <v>5091</v>
      </c>
      <c r="F7092" t="s">
        <v>1389</v>
      </c>
      <c r="G7092">
        <v>7</v>
      </c>
      <c r="Q7092" t="s">
        <v>8391</v>
      </c>
    </row>
    <row r="7093" spans="1:17" x14ac:dyDescent="0.2">
      <c r="A7093" t="s">
        <v>5739</v>
      </c>
      <c r="B7093" t="s">
        <v>5727</v>
      </c>
      <c r="C7093">
        <v>4</v>
      </c>
      <c r="D7093" t="s">
        <v>5732</v>
      </c>
      <c r="E7093" s="8" t="s">
        <v>5092</v>
      </c>
      <c r="F7093" t="s">
        <v>1389</v>
      </c>
      <c r="G7093">
        <v>2</v>
      </c>
      <c r="Q7093" t="s">
        <v>8390</v>
      </c>
    </row>
    <row r="7094" spans="1:17" x14ac:dyDescent="0.2">
      <c r="A7094" t="s">
        <v>5739</v>
      </c>
      <c r="B7094" t="s">
        <v>5727</v>
      </c>
      <c r="C7094">
        <v>4</v>
      </c>
      <c r="D7094" t="s">
        <v>5732</v>
      </c>
      <c r="E7094" s="8" t="s">
        <v>5094</v>
      </c>
      <c r="F7094" t="s">
        <v>1389</v>
      </c>
      <c r="G7094">
        <v>2</v>
      </c>
      <c r="Q7094" t="s">
        <v>8394</v>
      </c>
    </row>
    <row r="7095" spans="1:17" x14ac:dyDescent="0.2">
      <c r="A7095" t="s">
        <v>5739</v>
      </c>
      <c r="B7095" t="s">
        <v>5727</v>
      </c>
      <c r="C7095">
        <v>4</v>
      </c>
      <c r="D7095" t="s">
        <v>5732</v>
      </c>
      <c r="E7095" s="8" t="s">
        <v>5097</v>
      </c>
      <c r="F7095" t="s">
        <v>1389</v>
      </c>
      <c r="G7095">
        <v>2</v>
      </c>
      <c r="Q7095" t="s">
        <v>8393</v>
      </c>
    </row>
    <row r="7096" spans="1:17" x14ac:dyDescent="0.2">
      <c r="A7096" t="s">
        <v>5739</v>
      </c>
      <c r="B7096" t="s">
        <v>5727</v>
      </c>
      <c r="C7096">
        <v>4</v>
      </c>
      <c r="D7096" t="s">
        <v>5732</v>
      </c>
      <c r="E7096" s="8" t="s">
        <v>5098</v>
      </c>
      <c r="F7096" t="s">
        <v>1389</v>
      </c>
      <c r="G7096">
        <v>4</v>
      </c>
      <c r="M7096">
        <v>3</v>
      </c>
    </row>
    <row r="7097" spans="1:17" x14ac:dyDescent="0.2">
      <c r="A7097" t="s">
        <v>5739</v>
      </c>
      <c r="B7097" t="s">
        <v>5727</v>
      </c>
      <c r="C7097">
        <v>4</v>
      </c>
      <c r="D7097" t="s">
        <v>5732</v>
      </c>
      <c r="E7097" s="8" t="s">
        <v>5166</v>
      </c>
      <c r="F7097" t="s">
        <v>6978</v>
      </c>
      <c r="G7097" t="s">
        <v>114</v>
      </c>
      <c r="Q7097" t="s">
        <v>8403</v>
      </c>
    </row>
    <row r="7098" spans="1:17" x14ac:dyDescent="0.2">
      <c r="A7098" t="s">
        <v>5739</v>
      </c>
      <c r="B7098" t="s">
        <v>5727</v>
      </c>
      <c r="C7098">
        <v>4</v>
      </c>
      <c r="D7098" t="s">
        <v>5732</v>
      </c>
      <c r="E7098" s="8" t="s">
        <v>5167</v>
      </c>
      <c r="F7098" t="s">
        <v>6978</v>
      </c>
      <c r="G7098" t="s">
        <v>114</v>
      </c>
      <c r="Q7098" t="s">
        <v>8402</v>
      </c>
    </row>
    <row r="7099" spans="1:17" x14ac:dyDescent="0.2">
      <c r="A7099" t="s">
        <v>5739</v>
      </c>
      <c r="B7099" t="s">
        <v>5727</v>
      </c>
      <c r="C7099">
        <v>4</v>
      </c>
      <c r="D7099" t="s">
        <v>5732</v>
      </c>
      <c r="E7099" s="8" t="s">
        <v>5168</v>
      </c>
      <c r="F7099" t="s">
        <v>6978</v>
      </c>
      <c r="G7099" t="s">
        <v>114</v>
      </c>
      <c r="Q7099" t="s">
        <v>8401</v>
      </c>
    </row>
    <row r="7100" spans="1:17" x14ac:dyDescent="0.2">
      <c r="A7100" t="s">
        <v>5739</v>
      </c>
      <c r="B7100" t="s">
        <v>5727</v>
      </c>
      <c r="C7100">
        <v>4</v>
      </c>
      <c r="D7100" t="s">
        <v>5732</v>
      </c>
      <c r="E7100" s="8" t="s">
        <v>5169</v>
      </c>
      <c r="F7100" t="s">
        <v>1425</v>
      </c>
      <c r="G7100">
        <v>4</v>
      </c>
      <c r="Q7100" t="s">
        <v>8396</v>
      </c>
    </row>
    <row r="7101" spans="1:17" x14ac:dyDescent="0.2">
      <c r="A7101" t="s">
        <v>5739</v>
      </c>
      <c r="B7101" t="s">
        <v>5727</v>
      </c>
      <c r="C7101">
        <v>4</v>
      </c>
      <c r="D7101" t="s">
        <v>5732</v>
      </c>
      <c r="E7101" s="8" t="s">
        <v>5170</v>
      </c>
      <c r="F7101" t="s">
        <v>1425</v>
      </c>
      <c r="G7101">
        <v>3</v>
      </c>
      <c r="Q7101" t="s">
        <v>8397</v>
      </c>
    </row>
    <row r="7102" spans="1:17" x14ac:dyDescent="0.2">
      <c r="A7102" t="s">
        <v>5739</v>
      </c>
      <c r="B7102" t="s">
        <v>5727</v>
      </c>
      <c r="C7102">
        <v>4</v>
      </c>
      <c r="D7102" t="s">
        <v>5732</v>
      </c>
      <c r="E7102" s="8" t="s">
        <v>5171</v>
      </c>
      <c r="F7102" t="s">
        <v>1425</v>
      </c>
      <c r="G7102">
        <v>4</v>
      </c>
      <c r="Q7102" t="s">
        <v>8398</v>
      </c>
    </row>
    <row r="7103" spans="1:17" x14ac:dyDescent="0.2">
      <c r="A7103" t="s">
        <v>5739</v>
      </c>
      <c r="B7103" t="s">
        <v>5727</v>
      </c>
      <c r="C7103">
        <v>4</v>
      </c>
      <c r="D7103" t="s">
        <v>5732</v>
      </c>
      <c r="E7103" s="8" t="s">
        <v>5140</v>
      </c>
      <c r="F7103" t="s">
        <v>1538</v>
      </c>
      <c r="G7103">
        <v>8</v>
      </c>
      <c r="Q7103" t="s">
        <v>8399</v>
      </c>
    </row>
    <row r="7104" spans="1:17" x14ac:dyDescent="0.2">
      <c r="A7104" t="s">
        <v>5739</v>
      </c>
      <c r="B7104" t="s">
        <v>5727</v>
      </c>
      <c r="C7104">
        <v>4</v>
      </c>
      <c r="D7104" t="s">
        <v>5732</v>
      </c>
      <c r="E7104" s="8" t="s">
        <v>5141</v>
      </c>
      <c r="F7104" t="s">
        <v>1538</v>
      </c>
      <c r="G7104">
        <v>7</v>
      </c>
      <c r="Q7104" t="s">
        <v>8400</v>
      </c>
    </row>
    <row r="7105" spans="1:17" x14ac:dyDescent="0.2">
      <c r="A7105" t="s">
        <v>5739</v>
      </c>
      <c r="B7105" t="s">
        <v>5727</v>
      </c>
      <c r="C7105">
        <v>4</v>
      </c>
      <c r="D7105" t="s">
        <v>5732</v>
      </c>
      <c r="E7105" s="8" t="s">
        <v>5142</v>
      </c>
      <c r="F7105" t="s">
        <v>2836</v>
      </c>
      <c r="G7105">
        <v>22</v>
      </c>
      <c r="M7105">
        <v>15</v>
      </c>
    </row>
    <row r="7106" spans="1:17" x14ac:dyDescent="0.2">
      <c r="A7106" t="s">
        <v>5739</v>
      </c>
      <c r="B7106" t="s">
        <v>5727</v>
      </c>
      <c r="C7106">
        <v>4</v>
      </c>
      <c r="D7106" t="s">
        <v>5732</v>
      </c>
      <c r="E7106" s="8" t="s">
        <v>5143</v>
      </c>
      <c r="F7106" t="s">
        <v>8388</v>
      </c>
      <c r="G7106">
        <v>37</v>
      </c>
      <c r="Q7106" t="s">
        <v>8387</v>
      </c>
    </row>
    <row r="7107" spans="1:17" x14ac:dyDescent="0.2">
      <c r="A7107" t="s">
        <v>5739</v>
      </c>
      <c r="B7107" t="s">
        <v>5727</v>
      </c>
      <c r="C7107">
        <v>4</v>
      </c>
      <c r="D7107" t="s">
        <v>5732</v>
      </c>
      <c r="E7107" s="8" t="s">
        <v>5144</v>
      </c>
      <c r="F7107" t="s">
        <v>7138</v>
      </c>
      <c r="G7107">
        <v>3</v>
      </c>
      <c r="M7107">
        <v>2</v>
      </c>
      <c r="Q7107" t="s">
        <v>8389</v>
      </c>
    </row>
    <row r="7108" spans="1:17" x14ac:dyDescent="0.2">
      <c r="A7108" t="s">
        <v>5739</v>
      </c>
      <c r="B7108" t="s">
        <v>5727</v>
      </c>
      <c r="C7108">
        <v>4</v>
      </c>
      <c r="D7108" t="s">
        <v>5732</v>
      </c>
      <c r="E7108" s="8" t="s">
        <v>5145</v>
      </c>
      <c r="F7108" t="s">
        <v>810</v>
      </c>
      <c r="G7108">
        <v>11</v>
      </c>
    </row>
    <row r="7109" spans="1:17" x14ac:dyDescent="0.2">
      <c r="A7109" t="s">
        <v>5739</v>
      </c>
      <c r="B7109" t="s">
        <v>5727</v>
      </c>
      <c r="C7109">
        <v>4</v>
      </c>
      <c r="D7109" t="s">
        <v>5732</v>
      </c>
      <c r="E7109" s="8" t="s">
        <v>5146</v>
      </c>
      <c r="F7109" t="s">
        <v>126</v>
      </c>
      <c r="G7109">
        <v>1</v>
      </c>
      <c r="M7109">
        <v>5</v>
      </c>
    </row>
    <row r="7110" spans="1:17" x14ac:dyDescent="0.2">
      <c r="A7110" t="s">
        <v>5739</v>
      </c>
      <c r="B7110" t="s">
        <v>5727</v>
      </c>
      <c r="C7110">
        <v>4</v>
      </c>
      <c r="D7110" t="s">
        <v>5732</v>
      </c>
      <c r="E7110" s="8" t="s">
        <v>5147</v>
      </c>
      <c r="F7110" t="s">
        <v>3927</v>
      </c>
      <c r="G7110">
        <v>4</v>
      </c>
    </row>
    <row r="7111" spans="1:17" x14ac:dyDescent="0.2">
      <c r="A7111" t="s">
        <v>5739</v>
      </c>
      <c r="B7111" t="s">
        <v>5727</v>
      </c>
      <c r="C7111">
        <v>4</v>
      </c>
      <c r="D7111" t="s">
        <v>5732</v>
      </c>
      <c r="E7111" s="8" t="s">
        <v>5148</v>
      </c>
      <c r="F7111" t="s">
        <v>5641</v>
      </c>
      <c r="G7111" t="s">
        <v>114</v>
      </c>
      <c r="M7111">
        <v>3</v>
      </c>
    </row>
    <row r="7112" spans="1:17" x14ac:dyDescent="0.2">
      <c r="A7112" t="s">
        <v>5739</v>
      </c>
      <c r="B7112" t="s">
        <v>5727</v>
      </c>
      <c r="C7112">
        <v>4</v>
      </c>
      <c r="D7112" t="s">
        <v>5732</v>
      </c>
      <c r="E7112" s="8" t="s">
        <v>5149</v>
      </c>
      <c r="F7112" t="s">
        <v>106</v>
      </c>
      <c r="G7112">
        <v>1</v>
      </c>
    </row>
    <row r="7113" spans="1:17" x14ac:dyDescent="0.2">
      <c r="A7113" t="s">
        <v>5739</v>
      </c>
      <c r="B7113" t="s">
        <v>5727</v>
      </c>
      <c r="C7113">
        <v>4</v>
      </c>
      <c r="D7113" t="s">
        <v>5732</v>
      </c>
      <c r="E7113" s="8" t="s">
        <v>5150</v>
      </c>
      <c r="F7113" t="s">
        <v>3875</v>
      </c>
      <c r="G7113">
        <v>25</v>
      </c>
    </row>
    <row r="7114" spans="1:17" x14ac:dyDescent="0.2">
      <c r="A7114" t="s">
        <v>5739</v>
      </c>
      <c r="B7114" t="s">
        <v>5727</v>
      </c>
      <c r="C7114">
        <v>5</v>
      </c>
      <c r="D7114" t="s">
        <v>5732</v>
      </c>
      <c r="E7114" s="8" t="s">
        <v>5167</v>
      </c>
      <c r="F7114" t="s">
        <v>1425</v>
      </c>
      <c r="G7114">
        <v>22</v>
      </c>
      <c r="Q7114" t="s">
        <v>8404</v>
      </c>
    </row>
    <row r="7115" spans="1:17" x14ac:dyDescent="0.2">
      <c r="A7115" t="s">
        <v>5739</v>
      </c>
      <c r="B7115" t="s">
        <v>5727</v>
      </c>
      <c r="C7115">
        <v>5</v>
      </c>
      <c r="D7115" t="s">
        <v>5732</v>
      </c>
      <c r="E7115" s="8" t="s">
        <v>5168</v>
      </c>
      <c r="F7115" t="s">
        <v>1425</v>
      </c>
      <c r="G7115">
        <v>31</v>
      </c>
      <c r="Q7115" t="s">
        <v>8405</v>
      </c>
    </row>
    <row r="7116" spans="1:17" x14ac:dyDescent="0.2">
      <c r="A7116" t="s">
        <v>5739</v>
      </c>
      <c r="B7116" t="s">
        <v>5727</v>
      </c>
      <c r="C7116">
        <v>5</v>
      </c>
      <c r="D7116" t="s">
        <v>5732</v>
      </c>
      <c r="E7116" s="8" t="s">
        <v>5169</v>
      </c>
      <c r="F7116" t="s">
        <v>1425</v>
      </c>
      <c r="G7116">
        <v>34</v>
      </c>
      <c r="Q7116" t="s">
        <v>8406</v>
      </c>
    </row>
    <row r="7117" spans="1:17" x14ac:dyDescent="0.2">
      <c r="A7117" t="s">
        <v>5739</v>
      </c>
      <c r="B7117" t="s">
        <v>5727</v>
      </c>
      <c r="C7117">
        <v>5</v>
      </c>
      <c r="D7117" t="s">
        <v>5732</v>
      </c>
      <c r="E7117" s="8" t="s">
        <v>5170</v>
      </c>
      <c r="F7117" t="s">
        <v>1425</v>
      </c>
      <c r="G7117">
        <v>36</v>
      </c>
      <c r="Q7117" t="s">
        <v>8407</v>
      </c>
    </row>
    <row r="7118" spans="1:17" x14ac:dyDescent="0.2">
      <c r="A7118" t="s">
        <v>5739</v>
      </c>
      <c r="B7118" t="s">
        <v>5727</v>
      </c>
      <c r="C7118">
        <v>5</v>
      </c>
      <c r="D7118" t="s">
        <v>5732</v>
      </c>
      <c r="E7118" s="8" t="s">
        <v>5171</v>
      </c>
      <c r="F7118" t="s">
        <v>1425</v>
      </c>
      <c r="G7118">
        <v>4</v>
      </c>
      <c r="Q7118" t="s">
        <v>8408</v>
      </c>
    </row>
    <row r="7119" spans="1:17" x14ac:dyDescent="0.2">
      <c r="A7119" t="s">
        <v>5739</v>
      </c>
      <c r="B7119" t="s">
        <v>5727</v>
      </c>
      <c r="C7119">
        <v>5</v>
      </c>
      <c r="D7119" t="s">
        <v>5732</v>
      </c>
      <c r="E7119" s="8" t="s">
        <v>5140</v>
      </c>
      <c r="F7119" t="s">
        <v>1425</v>
      </c>
      <c r="G7119">
        <v>10</v>
      </c>
      <c r="Q7119" t="s">
        <v>8409</v>
      </c>
    </row>
    <row r="7120" spans="1:17" x14ac:dyDescent="0.2">
      <c r="A7120" t="s">
        <v>5739</v>
      </c>
      <c r="B7120" t="s">
        <v>5727</v>
      </c>
      <c r="C7120">
        <v>5</v>
      </c>
      <c r="D7120" t="s">
        <v>5732</v>
      </c>
      <c r="E7120" s="8" t="s">
        <v>5141</v>
      </c>
      <c r="F7120" t="s">
        <v>1425</v>
      </c>
      <c r="G7120">
        <v>5</v>
      </c>
      <c r="Q7120" t="s">
        <v>8410</v>
      </c>
    </row>
    <row r="7121" spans="1:17" x14ac:dyDescent="0.2">
      <c r="A7121" t="s">
        <v>5739</v>
      </c>
      <c r="B7121" t="s">
        <v>5727</v>
      </c>
      <c r="C7121">
        <v>5</v>
      </c>
      <c r="D7121" t="s">
        <v>5732</v>
      </c>
      <c r="E7121" s="8" t="s">
        <v>5142</v>
      </c>
      <c r="F7121" t="s">
        <v>6978</v>
      </c>
      <c r="G7121" t="s">
        <v>114</v>
      </c>
      <c r="Q7121" t="s">
        <v>8411</v>
      </c>
    </row>
    <row r="7122" spans="1:17" x14ac:dyDescent="0.2">
      <c r="A7122" t="s">
        <v>5739</v>
      </c>
      <c r="B7122" t="s">
        <v>5727</v>
      </c>
      <c r="C7122">
        <v>5</v>
      </c>
      <c r="D7122" t="s">
        <v>5732</v>
      </c>
      <c r="E7122" s="8" t="s">
        <v>5145</v>
      </c>
      <c r="F7122" t="s">
        <v>1538</v>
      </c>
      <c r="G7122">
        <v>28</v>
      </c>
      <c r="Q7122" t="s">
        <v>8412</v>
      </c>
    </row>
    <row r="7123" spans="1:17" x14ac:dyDescent="0.2">
      <c r="A7123" t="s">
        <v>5739</v>
      </c>
      <c r="B7123" t="s">
        <v>5727</v>
      </c>
      <c r="C7123">
        <v>5</v>
      </c>
      <c r="D7123" t="s">
        <v>5732</v>
      </c>
      <c r="E7123" s="8" t="s">
        <v>5146</v>
      </c>
      <c r="F7123" t="s">
        <v>1538</v>
      </c>
      <c r="G7123">
        <v>11</v>
      </c>
      <c r="Q7123" t="s">
        <v>8413</v>
      </c>
    </row>
    <row r="7124" spans="1:17" x14ac:dyDescent="0.2">
      <c r="A7124" t="s">
        <v>5739</v>
      </c>
      <c r="B7124" t="s">
        <v>5727</v>
      </c>
      <c r="C7124">
        <v>5</v>
      </c>
      <c r="D7124" t="s">
        <v>5732</v>
      </c>
      <c r="E7124" s="8" t="s">
        <v>5147</v>
      </c>
      <c r="F7124" t="s">
        <v>1538</v>
      </c>
      <c r="G7124">
        <v>12</v>
      </c>
      <c r="Q7124" t="s">
        <v>8418</v>
      </c>
    </row>
    <row r="7125" spans="1:17" x14ac:dyDescent="0.2">
      <c r="A7125" t="s">
        <v>5739</v>
      </c>
      <c r="B7125" t="s">
        <v>5727</v>
      </c>
      <c r="C7125">
        <v>5</v>
      </c>
      <c r="D7125" t="s">
        <v>5732</v>
      </c>
      <c r="E7125" s="8" t="s">
        <v>5143</v>
      </c>
      <c r="F7125" t="s">
        <v>1389</v>
      </c>
      <c r="G7125">
        <v>2</v>
      </c>
      <c r="Q7125" t="s">
        <v>8414</v>
      </c>
    </row>
    <row r="7126" spans="1:17" x14ac:dyDescent="0.2">
      <c r="A7126" t="s">
        <v>5739</v>
      </c>
      <c r="B7126" t="s">
        <v>5727</v>
      </c>
      <c r="C7126">
        <v>5</v>
      </c>
      <c r="D7126" t="s">
        <v>5732</v>
      </c>
      <c r="E7126" s="8" t="s">
        <v>5144</v>
      </c>
      <c r="F7126" t="s">
        <v>1538</v>
      </c>
      <c r="G7126">
        <v>1</v>
      </c>
      <c r="Q7126" t="s">
        <v>8415</v>
      </c>
    </row>
    <row r="7127" spans="1:17" x14ac:dyDescent="0.2">
      <c r="A7127" t="s">
        <v>5739</v>
      </c>
      <c r="B7127" t="s">
        <v>5727</v>
      </c>
      <c r="C7127">
        <v>5</v>
      </c>
      <c r="D7127" t="s">
        <v>5732</v>
      </c>
      <c r="E7127" s="8" t="s">
        <v>5148</v>
      </c>
      <c r="F7127" t="s">
        <v>1559</v>
      </c>
      <c r="G7127">
        <v>2</v>
      </c>
      <c r="Q7127" t="s">
        <v>8416</v>
      </c>
    </row>
    <row r="7128" spans="1:17" x14ac:dyDescent="0.2">
      <c r="A7128" t="s">
        <v>5739</v>
      </c>
      <c r="B7128" t="s">
        <v>5727</v>
      </c>
      <c r="C7128">
        <v>5</v>
      </c>
      <c r="D7128" t="s">
        <v>5732</v>
      </c>
      <c r="E7128" s="8" t="s">
        <v>5149</v>
      </c>
      <c r="F7128" t="s">
        <v>1559</v>
      </c>
      <c r="G7128">
        <v>2</v>
      </c>
      <c r="O7128" t="s">
        <v>5692</v>
      </c>
      <c r="Q7128" t="s">
        <v>8417</v>
      </c>
    </row>
    <row r="7129" spans="1:17" x14ac:dyDescent="0.2">
      <c r="A7129" t="s">
        <v>5739</v>
      </c>
      <c r="B7129" t="s">
        <v>5727</v>
      </c>
      <c r="C7129">
        <v>5</v>
      </c>
      <c r="D7129" t="s">
        <v>5732</v>
      </c>
      <c r="E7129" s="8" t="s">
        <v>5081</v>
      </c>
      <c r="F7129" t="s">
        <v>1264</v>
      </c>
      <c r="H7129">
        <f>2.36-0.424</f>
        <v>1.9359999999999999</v>
      </c>
      <c r="O7129" t="s">
        <v>5741</v>
      </c>
    </row>
    <row r="7130" spans="1:17" x14ac:dyDescent="0.2">
      <c r="A7130" t="s">
        <v>5739</v>
      </c>
      <c r="B7130" t="s">
        <v>5727</v>
      </c>
      <c r="C7130">
        <v>5</v>
      </c>
      <c r="D7130" t="s">
        <v>5732</v>
      </c>
      <c r="E7130" s="8" t="s">
        <v>5082</v>
      </c>
      <c r="F7130" t="s">
        <v>3875</v>
      </c>
      <c r="G7130">
        <v>167</v>
      </c>
    </row>
    <row r="7131" spans="1:17" x14ac:dyDescent="0.2">
      <c r="A7131" t="s">
        <v>5739</v>
      </c>
      <c r="B7131" t="s">
        <v>5727</v>
      </c>
      <c r="C7131">
        <v>5</v>
      </c>
      <c r="D7131" t="s">
        <v>5732</v>
      </c>
      <c r="E7131" t="s">
        <v>5056</v>
      </c>
      <c r="F7131" t="s">
        <v>5127</v>
      </c>
      <c r="G7131">
        <v>68</v>
      </c>
      <c r="O7131" t="s">
        <v>5194</v>
      </c>
    </row>
    <row r="7132" spans="1:17" x14ac:dyDescent="0.2">
      <c r="A7132" t="s">
        <v>5739</v>
      </c>
      <c r="B7132" t="s">
        <v>5727</v>
      </c>
      <c r="C7132">
        <v>5</v>
      </c>
      <c r="D7132" t="s">
        <v>5732</v>
      </c>
      <c r="E7132" s="8" t="s">
        <v>5089</v>
      </c>
      <c r="F7132" t="s">
        <v>2836</v>
      </c>
      <c r="G7132">
        <v>42</v>
      </c>
    </row>
    <row r="7133" spans="1:17" x14ac:dyDescent="0.2">
      <c r="A7133" t="s">
        <v>5739</v>
      </c>
      <c r="B7133" t="s">
        <v>5727</v>
      </c>
      <c r="C7133">
        <v>5</v>
      </c>
      <c r="D7133" t="s">
        <v>5732</v>
      </c>
      <c r="E7133" s="8" t="s">
        <v>5090</v>
      </c>
      <c r="F7133" t="s">
        <v>116</v>
      </c>
      <c r="G7133" t="s">
        <v>114</v>
      </c>
    </row>
    <row r="7134" spans="1:17" x14ac:dyDescent="0.2">
      <c r="A7134" t="s">
        <v>5739</v>
      </c>
      <c r="B7134" t="s">
        <v>5727</v>
      </c>
      <c r="C7134">
        <v>5</v>
      </c>
      <c r="D7134" t="s">
        <v>5732</v>
      </c>
      <c r="E7134" s="8" t="s">
        <v>5091</v>
      </c>
      <c r="F7134" t="s">
        <v>106</v>
      </c>
      <c r="G7134" t="s">
        <v>114</v>
      </c>
    </row>
    <row r="7135" spans="1:17" x14ac:dyDescent="0.2">
      <c r="A7135" t="s">
        <v>5739</v>
      </c>
      <c r="B7135" t="s">
        <v>5727</v>
      </c>
      <c r="C7135">
        <v>5</v>
      </c>
      <c r="D7135" t="s">
        <v>5732</v>
      </c>
      <c r="E7135" s="8" t="s">
        <v>5092</v>
      </c>
      <c r="F7135" t="s">
        <v>3431</v>
      </c>
      <c r="G7135">
        <v>1</v>
      </c>
    </row>
    <row r="7136" spans="1:17" x14ac:dyDescent="0.2">
      <c r="A7136" t="s">
        <v>5739</v>
      </c>
      <c r="B7136" t="s">
        <v>5727</v>
      </c>
      <c r="C7136">
        <v>5</v>
      </c>
      <c r="D7136" t="s">
        <v>5732</v>
      </c>
      <c r="E7136" s="8" t="s">
        <v>5094</v>
      </c>
      <c r="F7136" t="s">
        <v>7138</v>
      </c>
      <c r="G7136">
        <v>9</v>
      </c>
      <c r="M7136">
        <v>8</v>
      </c>
      <c r="Q7136" t="s">
        <v>8419</v>
      </c>
    </row>
    <row r="7137" spans="1:17" x14ac:dyDescent="0.2">
      <c r="A7137" t="s">
        <v>5739</v>
      </c>
      <c r="B7137" t="s">
        <v>5727</v>
      </c>
      <c r="C7137">
        <v>5</v>
      </c>
      <c r="D7137" t="s">
        <v>5732</v>
      </c>
      <c r="E7137" s="8" t="s">
        <v>5097</v>
      </c>
      <c r="F7137" t="s">
        <v>121</v>
      </c>
      <c r="G7137">
        <v>3</v>
      </c>
      <c r="M7137">
        <v>2</v>
      </c>
    </row>
    <row r="7138" spans="1:17" x14ac:dyDescent="0.2">
      <c r="A7138" t="s">
        <v>5739</v>
      </c>
      <c r="B7138" t="s">
        <v>5727</v>
      </c>
      <c r="C7138">
        <v>5</v>
      </c>
      <c r="D7138" t="s">
        <v>5732</v>
      </c>
      <c r="E7138" s="8" t="s">
        <v>5098</v>
      </c>
      <c r="F7138" t="s">
        <v>3927</v>
      </c>
      <c r="G7138">
        <v>6</v>
      </c>
    </row>
    <row r="7139" spans="1:17" x14ac:dyDescent="0.2">
      <c r="A7139" t="s">
        <v>5739</v>
      </c>
      <c r="B7139" t="s">
        <v>5727</v>
      </c>
      <c r="C7139">
        <v>5</v>
      </c>
      <c r="D7139" t="s">
        <v>5732</v>
      </c>
      <c r="E7139" s="8" t="s">
        <v>5166</v>
      </c>
      <c r="F7139" t="s">
        <v>810</v>
      </c>
      <c r="G7139">
        <v>1</v>
      </c>
      <c r="M7139">
        <v>1</v>
      </c>
    </row>
    <row r="7140" spans="1:17" x14ac:dyDescent="0.2">
      <c r="A7140" t="s">
        <v>5739</v>
      </c>
      <c r="B7140" t="s">
        <v>5727</v>
      </c>
      <c r="C7140">
        <v>5</v>
      </c>
      <c r="D7140" t="s">
        <v>5732</v>
      </c>
      <c r="E7140" t="s">
        <v>5056</v>
      </c>
      <c r="F7140" t="s">
        <v>1264</v>
      </c>
      <c r="H7140">
        <f>22.1-2.8</f>
        <v>19.3</v>
      </c>
      <c r="M7140">
        <v>1</v>
      </c>
    </row>
    <row r="7141" spans="1:17" x14ac:dyDescent="0.2">
      <c r="A7141" t="s">
        <v>5739</v>
      </c>
      <c r="B7141" t="s">
        <v>5727</v>
      </c>
      <c r="C7141">
        <v>6</v>
      </c>
      <c r="D7141" t="s">
        <v>5732</v>
      </c>
      <c r="E7141" s="8" t="s">
        <v>5082</v>
      </c>
      <c r="F7141" t="s">
        <v>1425</v>
      </c>
      <c r="G7141">
        <v>8</v>
      </c>
      <c r="Q7141" t="s">
        <v>8433</v>
      </c>
    </row>
    <row r="7142" spans="1:17" x14ac:dyDescent="0.2">
      <c r="A7142" t="s">
        <v>5739</v>
      </c>
      <c r="B7142" t="s">
        <v>5727</v>
      </c>
      <c r="C7142">
        <v>6</v>
      </c>
      <c r="D7142" t="s">
        <v>5732</v>
      </c>
      <c r="E7142" s="8" t="s">
        <v>5089</v>
      </c>
      <c r="F7142" t="s">
        <v>7990</v>
      </c>
      <c r="G7142">
        <v>6</v>
      </c>
      <c r="Q7142" t="s">
        <v>8432</v>
      </c>
    </row>
    <row r="7143" spans="1:17" x14ac:dyDescent="0.2">
      <c r="A7143" t="s">
        <v>5739</v>
      </c>
      <c r="B7143" t="s">
        <v>5727</v>
      </c>
      <c r="C7143">
        <v>6</v>
      </c>
      <c r="D7143" t="s">
        <v>5732</v>
      </c>
      <c r="E7143" s="8" t="s">
        <v>5090</v>
      </c>
      <c r="F7143" t="s">
        <v>7990</v>
      </c>
      <c r="G7143">
        <v>6</v>
      </c>
      <c r="Q7143" t="s">
        <v>8431</v>
      </c>
    </row>
    <row r="7144" spans="1:17" x14ac:dyDescent="0.2">
      <c r="A7144" t="s">
        <v>5739</v>
      </c>
      <c r="B7144" t="s">
        <v>5727</v>
      </c>
      <c r="C7144">
        <v>6</v>
      </c>
      <c r="D7144" t="s">
        <v>5732</v>
      </c>
      <c r="E7144" s="8" t="s">
        <v>5091</v>
      </c>
      <c r="F7144" t="s">
        <v>7990</v>
      </c>
      <c r="G7144">
        <v>2</v>
      </c>
      <c r="O7144" t="s">
        <v>5742</v>
      </c>
      <c r="Q7144" t="s">
        <v>8430</v>
      </c>
    </row>
    <row r="7145" spans="1:17" x14ac:dyDescent="0.2">
      <c r="A7145" t="s">
        <v>5739</v>
      </c>
      <c r="B7145" t="s">
        <v>5727</v>
      </c>
      <c r="C7145">
        <v>6</v>
      </c>
      <c r="D7145" t="s">
        <v>5732</v>
      </c>
      <c r="E7145" s="8" t="s">
        <v>5092</v>
      </c>
      <c r="F7145" t="s">
        <v>6239</v>
      </c>
      <c r="G7145">
        <v>1</v>
      </c>
      <c r="Q7145" t="s">
        <v>8420</v>
      </c>
    </row>
    <row r="7146" spans="1:17" x14ac:dyDescent="0.2">
      <c r="A7146" t="s">
        <v>5739</v>
      </c>
      <c r="B7146" t="s">
        <v>5727</v>
      </c>
      <c r="C7146">
        <v>6</v>
      </c>
      <c r="D7146" t="s">
        <v>5732</v>
      </c>
      <c r="E7146" s="8" t="s">
        <v>5094</v>
      </c>
      <c r="F7146" t="s">
        <v>6239</v>
      </c>
      <c r="G7146">
        <v>1</v>
      </c>
      <c r="Q7146" t="s">
        <v>8422</v>
      </c>
    </row>
    <row r="7147" spans="1:17" x14ac:dyDescent="0.2">
      <c r="A7147" t="s">
        <v>5739</v>
      </c>
      <c r="B7147" t="s">
        <v>5727</v>
      </c>
      <c r="C7147">
        <v>6</v>
      </c>
      <c r="D7147" t="s">
        <v>5732</v>
      </c>
      <c r="E7147" s="8" t="s">
        <v>5097</v>
      </c>
      <c r="F7147" t="s">
        <v>6239</v>
      </c>
      <c r="G7147">
        <v>1</v>
      </c>
      <c r="Q7147" t="s">
        <v>8424</v>
      </c>
    </row>
    <row r="7148" spans="1:17" x14ac:dyDescent="0.2">
      <c r="A7148" t="s">
        <v>5739</v>
      </c>
      <c r="B7148" t="s">
        <v>5727</v>
      </c>
      <c r="C7148">
        <v>6</v>
      </c>
      <c r="D7148" t="s">
        <v>5732</v>
      </c>
      <c r="E7148" s="8" t="s">
        <v>5098</v>
      </c>
      <c r="F7148" t="s">
        <v>6239</v>
      </c>
      <c r="G7148">
        <v>1</v>
      </c>
      <c r="Q7148" t="s">
        <v>8423</v>
      </c>
    </row>
    <row r="7149" spans="1:17" x14ac:dyDescent="0.2">
      <c r="A7149" t="s">
        <v>5739</v>
      </c>
      <c r="B7149" t="s">
        <v>5727</v>
      </c>
      <c r="C7149">
        <v>6</v>
      </c>
      <c r="D7149" t="s">
        <v>5732</v>
      </c>
      <c r="E7149" s="8" t="s">
        <v>5166</v>
      </c>
      <c r="F7149" t="s">
        <v>6239</v>
      </c>
      <c r="G7149">
        <v>2</v>
      </c>
      <c r="Q7149" t="s">
        <v>8421</v>
      </c>
    </row>
    <row r="7150" spans="1:17" x14ac:dyDescent="0.2">
      <c r="A7150" t="s">
        <v>5739</v>
      </c>
      <c r="B7150" t="s">
        <v>5727</v>
      </c>
      <c r="C7150">
        <v>6</v>
      </c>
      <c r="D7150" t="s">
        <v>5732</v>
      </c>
      <c r="E7150" s="8" t="s">
        <v>5167</v>
      </c>
      <c r="F7150" t="s">
        <v>6239</v>
      </c>
      <c r="G7150">
        <v>5</v>
      </c>
      <c r="M7150">
        <v>5</v>
      </c>
    </row>
    <row r="7151" spans="1:17" x14ac:dyDescent="0.2">
      <c r="A7151" t="s">
        <v>5739</v>
      </c>
      <c r="B7151" t="s">
        <v>5727</v>
      </c>
      <c r="C7151">
        <v>6</v>
      </c>
      <c r="D7151" t="s">
        <v>5732</v>
      </c>
      <c r="E7151" t="s">
        <v>5056</v>
      </c>
      <c r="F7151" t="s">
        <v>6239</v>
      </c>
      <c r="G7151">
        <v>7</v>
      </c>
      <c r="M7151">
        <v>7</v>
      </c>
    </row>
    <row r="7152" spans="1:17" x14ac:dyDescent="0.2">
      <c r="A7152" t="s">
        <v>5739</v>
      </c>
      <c r="B7152" t="s">
        <v>5727</v>
      </c>
      <c r="C7152">
        <v>6</v>
      </c>
      <c r="D7152" t="s">
        <v>5732</v>
      </c>
      <c r="E7152" s="8" t="s">
        <v>5168</v>
      </c>
      <c r="F7152" t="s">
        <v>1538</v>
      </c>
      <c r="G7152" t="s">
        <v>114</v>
      </c>
      <c r="Q7152" t="s">
        <v>8429</v>
      </c>
    </row>
    <row r="7153" spans="1:17" x14ac:dyDescent="0.2">
      <c r="A7153" t="s">
        <v>5739</v>
      </c>
      <c r="B7153" t="s">
        <v>5727</v>
      </c>
      <c r="C7153">
        <v>6</v>
      </c>
      <c r="D7153" t="s">
        <v>5732</v>
      </c>
      <c r="E7153" s="8" t="s">
        <v>5169</v>
      </c>
      <c r="F7153" t="s">
        <v>1538</v>
      </c>
      <c r="G7153">
        <v>1</v>
      </c>
      <c r="Q7153" t="s">
        <v>8428</v>
      </c>
    </row>
    <row r="7154" spans="1:17" x14ac:dyDescent="0.2">
      <c r="A7154" t="s">
        <v>5739</v>
      </c>
      <c r="B7154" t="s">
        <v>5727</v>
      </c>
      <c r="C7154">
        <v>6</v>
      </c>
      <c r="D7154" t="s">
        <v>5732</v>
      </c>
      <c r="E7154" s="8" t="s">
        <v>5170</v>
      </c>
      <c r="F7154" t="s">
        <v>1538</v>
      </c>
      <c r="G7154">
        <v>2</v>
      </c>
      <c r="Q7154" t="s">
        <v>8427</v>
      </c>
    </row>
    <row r="7155" spans="1:17" x14ac:dyDescent="0.2">
      <c r="A7155" t="s">
        <v>5739</v>
      </c>
      <c r="B7155" t="s">
        <v>5727</v>
      </c>
      <c r="C7155">
        <v>6</v>
      </c>
      <c r="D7155" t="s">
        <v>5732</v>
      </c>
      <c r="E7155" s="8" t="s">
        <v>5171</v>
      </c>
      <c r="F7155" t="s">
        <v>1538</v>
      </c>
      <c r="G7155">
        <v>1</v>
      </c>
      <c r="Q7155" t="s">
        <v>8426</v>
      </c>
    </row>
    <row r="7156" spans="1:17" x14ac:dyDescent="0.2">
      <c r="A7156" t="s">
        <v>5739</v>
      </c>
      <c r="B7156" t="s">
        <v>5727</v>
      </c>
      <c r="C7156">
        <v>6</v>
      </c>
      <c r="D7156" t="s">
        <v>5732</v>
      </c>
      <c r="E7156" s="8" t="s">
        <v>5140</v>
      </c>
      <c r="F7156" t="s">
        <v>1538</v>
      </c>
      <c r="G7156">
        <v>1</v>
      </c>
      <c r="Q7156" t="s">
        <v>8425</v>
      </c>
    </row>
    <row r="7157" spans="1:17" x14ac:dyDescent="0.2">
      <c r="A7157" t="s">
        <v>5739</v>
      </c>
      <c r="B7157" t="s">
        <v>5727</v>
      </c>
      <c r="C7157">
        <v>6</v>
      </c>
      <c r="D7157" t="s">
        <v>5732</v>
      </c>
      <c r="E7157" s="8" t="s">
        <v>5141</v>
      </c>
      <c r="F7157" t="s">
        <v>1538</v>
      </c>
      <c r="G7157">
        <v>6</v>
      </c>
      <c r="M7157">
        <v>5</v>
      </c>
    </row>
    <row r="7158" spans="1:17" x14ac:dyDescent="0.2">
      <c r="A7158" t="s">
        <v>5739</v>
      </c>
      <c r="B7158" t="s">
        <v>5727</v>
      </c>
      <c r="C7158">
        <v>6</v>
      </c>
      <c r="D7158" t="s">
        <v>5732</v>
      </c>
      <c r="E7158" s="8" t="s">
        <v>5142</v>
      </c>
      <c r="F7158" t="s">
        <v>6862</v>
      </c>
      <c r="G7158">
        <v>9</v>
      </c>
      <c r="Q7158" t="s">
        <v>8442</v>
      </c>
    </row>
    <row r="7159" spans="1:17" x14ac:dyDescent="0.2">
      <c r="A7159" t="s">
        <v>5739</v>
      </c>
      <c r="B7159" t="s">
        <v>5727</v>
      </c>
      <c r="C7159">
        <v>6</v>
      </c>
      <c r="D7159" t="s">
        <v>5732</v>
      </c>
      <c r="E7159" s="8" t="s">
        <v>5143</v>
      </c>
      <c r="F7159" t="s">
        <v>5744</v>
      </c>
      <c r="G7159">
        <v>3</v>
      </c>
      <c r="M7159">
        <v>2</v>
      </c>
      <c r="Q7159" t="s">
        <v>8439</v>
      </c>
    </row>
    <row r="7160" spans="1:17" x14ac:dyDescent="0.2">
      <c r="A7160" t="s">
        <v>5739</v>
      </c>
      <c r="B7160" t="s">
        <v>5727</v>
      </c>
      <c r="C7160">
        <v>6</v>
      </c>
      <c r="D7160" t="s">
        <v>5732</v>
      </c>
      <c r="E7160" s="8" t="s">
        <v>5144</v>
      </c>
      <c r="F7160" t="s">
        <v>6978</v>
      </c>
      <c r="G7160" t="s">
        <v>114</v>
      </c>
      <c r="Q7160" t="s">
        <v>8440</v>
      </c>
    </row>
    <row r="7161" spans="1:17" x14ac:dyDescent="0.2">
      <c r="A7161" t="s">
        <v>5739</v>
      </c>
      <c r="B7161" t="s">
        <v>5727</v>
      </c>
      <c r="C7161">
        <v>6</v>
      </c>
      <c r="D7161" t="s">
        <v>5732</v>
      </c>
      <c r="E7161" s="8" t="s">
        <v>5145</v>
      </c>
      <c r="F7161" t="s">
        <v>6978</v>
      </c>
      <c r="G7161">
        <v>1</v>
      </c>
      <c r="Q7161" t="s">
        <v>8441</v>
      </c>
    </row>
    <row r="7162" spans="1:17" x14ac:dyDescent="0.2">
      <c r="A7162" t="s">
        <v>5739</v>
      </c>
      <c r="B7162" t="s">
        <v>5727</v>
      </c>
      <c r="C7162">
        <v>6</v>
      </c>
      <c r="D7162" t="s">
        <v>5732</v>
      </c>
      <c r="E7162" s="8" t="s">
        <v>5146</v>
      </c>
      <c r="F7162" t="s">
        <v>6862</v>
      </c>
      <c r="G7162">
        <v>10</v>
      </c>
      <c r="O7162" t="s">
        <v>5745</v>
      </c>
      <c r="Q7162" t="s">
        <v>8443</v>
      </c>
    </row>
    <row r="7163" spans="1:17" x14ac:dyDescent="0.2">
      <c r="A7163" t="s">
        <v>5739</v>
      </c>
      <c r="B7163" t="s">
        <v>5727</v>
      </c>
      <c r="C7163">
        <v>6</v>
      </c>
      <c r="D7163" t="s">
        <v>5732</v>
      </c>
      <c r="E7163" s="8" t="s">
        <v>5147</v>
      </c>
      <c r="F7163" t="s">
        <v>6978</v>
      </c>
      <c r="G7163">
        <v>5</v>
      </c>
      <c r="M7163">
        <v>5</v>
      </c>
    </row>
    <row r="7164" spans="1:17" x14ac:dyDescent="0.2">
      <c r="A7164" t="s">
        <v>5739</v>
      </c>
      <c r="B7164" t="s">
        <v>5727</v>
      </c>
      <c r="C7164">
        <v>6</v>
      </c>
      <c r="D7164" t="s">
        <v>5732</v>
      </c>
      <c r="E7164" s="8" t="s">
        <v>5081</v>
      </c>
      <c r="F7164" t="s">
        <v>6231</v>
      </c>
      <c r="G7164">
        <v>15</v>
      </c>
      <c r="Q7164" t="s">
        <v>8444</v>
      </c>
    </row>
    <row r="7165" spans="1:17" x14ac:dyDescent="0.2">
      <c r="A7165" t="s">
        <v>5739</v>
      </c>
      <c r="B7165" t="s">
        <v>5727</v>
      </c>
      <c r="C7165">
        <v>6</v>
      </c>
      <c r="D7165" t="s">
        <v>5732</v>
      </c>
      <c r="E7165" s="8" t="s">
        <v>5148</v>
      </c>
      <c r="F7165" t="s">
        <v>1389</v>
      </c>
      <c r="G7165">
        <v>9</v>
      </c>
      <c r="Q7165" t="s">
        <v>8438</v>
      </c>
    </row>
    <row r="7166" spans="1:17" x14ac:dyDescent="0.2">
      <c r="A7166" t="s">
        <v>5739</v>
      </c>
      <c r="B7166" t="s">
        <v>5727</v>
      </c>
      <c r="C7166">
        <v>6</v>
      </c>
      <c r="D7166" t="s">
        <v>5732</v>
      </c>
      <c r="E7166" s="8" t="s">
        <v>5149</v>
      </c>
      <c r="F7166" t="s">
        <v>1389</v>
      </c>
      <c r="G7166">
        <v>2</v>
      </c>
      <c r="Q7166" t="s">
        <v>8434</v>
      </c>
    </row>
    <row r="7167" spans="1:17" x14ac:dyDescent="0.2">
      <c r="A7167" t="s">
        <v>5739</v>
      </c>
      <c r="B7167" t="s">
        <v>5727</v>
      </c>
      <c r="C7167">
        <v>6</v>
      </c>
      <c r="D7167" t="s">
        <v>5732</v>
      </c>
      <c r="E7167" s="8" t="s">
        <v>5150</v>
      </c>
      <c r="F7167" t="s">
        <v>1389</v>
      </c>
      <c r="G7167">
        <v>2</v>
      </c>
      <c r="Q7167" t="s">
        <v>8436</v>
      </c>
    </row>
    <row r="7168" spans="1:17" x14ac:dyDescent="0.2">
      <c r="A7168" t="s">
        <v>5739</v>
      </c>
      <c r="B7168" t="s">
        <v>5727</v>
      </c>
      <c r="C7168">
        <v>6</v>
      </c>
      <c r="D7168" t="s">
        <v>5732</v>
      </c>
      <c r="E7168" s="8" t="s">
        <v>5151</v>
      </c>
      <c r="F7168" t="s">
        <v>1389</v>
      </c>
      <c r="G7168">
        <v>3</v>
      </c>
      <c r="Q7168" t="s">
        <v>8435</v>
      </c>
    </row>
    <row r="7169" spans="1:17" x14ac:dyDescent="0.2">
      <c r="A7169" t="s">
        <v>5739</v>
      </c>
      <c r="B7169" t="s">
        <v>5727</v>
      </c>
      <c r="C7169">
        <v>6</v>
      </c>
      <c r="D7169" t="s">
        <v>5732</v>
      </c>
      <c r="E7169" s="8" t="s">
        <v>5152</v>
      </c>
      <c r="F7169" t="s">
        <v>1389</v>
      </c>
      <c r="G7169">
        <v>1</v>
      </c>
      <c r="Q7169" t="s">
        <v>8437</v>
      </c>
    </row>
    <row r="7170" spans="1:17" x14ac:dyDescent="0.2">
      <c r="A7170" t="s">
        <v>5739</v>
      </c>
      <c r="B7170" t="s">
        <v>5727</v>
      </c>
      <c r="C7170">
        <v>6</v>
      </c>
      <c r="D7170" t="s">
        <v>5732</v>
      </c>
      <c r="E7170" s="8" t="s">
        <v>5153</v>
      </c>
      <c r="F7170" t="s">
        <v>1538</v>
      </c>
      <c r="G7170">
        <v>3</v>
      </c>
      <c r="Q7170" t="s">
        <v>8446</v>
      </c>
    </row>
    <row r="7171" spans="1:17" x14ac:dyDescent="0.2">
      <c r="A7171" t="s">
        <v>5739</v>
      </c>
      <c r="B7171" t="s">
        <v>5727</v>
      </c>
      <c r="C7171">
        <v>6</v>
      </c>
      <c r="D7171" t="s">
        <v>5732</v>
      </c>
      <c r="E7171" s="8" t="s">
        <v>5154</v>
      </c>
      <c r="F7171" t="s">
        <v>1538</v>
      </c>
      <c r="G7171">
        <v>1</v>
      </c>
      <c r="Q7171" t="s">
        <v>8445</v>
      </c>
    </row>
    <row r="7172" spans="1:17" x14ac:dyDescent="0.2">
      <c r="A7172" t="s">
        <v>5739</v>
      </c>
      <c r="B7172" t="s">
        <v>5727</v>
      </c>
      <c r="C7172">
        <v>6</v>
      </c>
      <c r="D7172" t="s">
        <v>5732</v>
      </c>
      <c r="E7172" s="8" t="s">
        <v>5155</v>
      </c>
      <c r="F7172" t="s">
        <v>1538</v>
      </c>
      <c r="G7172">
        <v>41</v>
      </c>
      <c r="Q7172" t="s">
        <v>8447</v>
      </c>
    </row>
    <row r="7173" spans="1:17" x14ac:dyDescent="0.2">
      <c r="A7173" t="s">
        <v>5739</v>
      </c>
      <c r="B7173" t="s">
        <v>5727</v>
      </c>
      <c r="C7173">
        <v>6</v>
      </c>
      <c r="D7173" t="s">
        <v>5732</v>
      </c>
      <c r="E7173" s="8" t="s">
        <v>5156</v>
      </c>
      <c r="F7173" t="s">
        <v>1538</v>
      </c>
      <c r="G7173">
        <v>43</v>
      </c>
      <c r="Q7173" t="s">
        <v>8449</v>
      </c>
    </row>
    <row r="7174" spans="1:17" x14ac:dyDescent="0.2">
      <c r="A7174" t="s">
        <v>5739</v>
      </c>
      <c r="B7174" t="s">
        <v>5727</v>
      </c>
      <c r="C7174">
        <v>6</v>
      </c>
      <c r="D7174" t="s">
        <v>5732</v>
      </c>
      <c r="E7174" s="8" t="s">
        <v>5157</v>
      </c>
      <c r="F7174" t="s">
        <v>1538</v>
      </c>
      <c r="G7174">
        <v>3</v>
      </c>
      <c r="Q7174" t="s">
        <v>8448</v>
      </c>
    </row>
    <row r="7175" spans="1:17" x14ac:dyDescent="0.2">
      <c r="A7175" t="s">
        <v>5739</v>
      </c>
      <c r="B7175" t="s">
        <v>5727</v>
      </c>
      <c r="C7175">
        <v>6</v>
      </c>
      <c r="D7175" t="s">
        <v>5732</v>
      </c>
      <c r="E7175" s="8" t="s">
        <v>5171</v>
      </c>
      <c r="F7175" t="s">
        <v>1538</v>
      </c>
      <c r="G7175">
        <v>1</v>
      </c>
      <c r="O7175" t="s">
        <v>8450</v>
      </c>
    </row>
    <row r="7176" spans="1:17" x14ac:dyDescent="0.2">
      <c r="A7176" t="s">
        <v>5739</v>
      </c>
      <c r="B7176" t="s">
        <v>5727</v>
      </c>
      <c r="C7176">
        <v>6</v>
      </c>
      <c r="D7176" t="s">
        <v>5732</v>
      </c>
      <c r="E7176" s="8" t="s">
        <v>5158</v>
      </c>
      <c r="F7176" t="s">
        <v>1264</v>
      </c>
      <c r="G7176">
        <v>942</v>
      </c>
    </row>
    <row r="7177" spans="1:17" x14ac:dyDescent="0.2">
      <c r="A7177" t="s">
        <v>5739</v>
      </c>
      <c r="B7177" t="s">
        <v>5727</v>
      </c>
      <c r="C7177">
        <v>6</v>
      </c>
      <c r="D7177" t="s">
        <v>5732</v>
      </c>
      <c r="E7177" s="8" t="s">
        <v>5172</v>
      </c>
      <c r="F7177" t="s">
        <v>2681</v>
      </c>
      <c r="H7177">
        <f>1.831-0.308</f>
        <v>1.5229999999999999</v>
      </c>
      <c r="O7177" t="s">
        <v>5107</v>
      </c>
    </row>
    <row r="7178" spans="1:17" x14ac:dyDescent="0.2">
      <c r="A7178" t="s">
        <v>5739</v>
      </c>
      <c r="B7178" t="s">
        <v>5727</v>
      </c>
      <c r="C7178">
        <v>6</v>
      </c>
      <c r="D7178" t="s">
        <v>5732</v>
      </c>
      <c r="E7178" s="8" t="s">
        <v>5173</v>
      </c>
      <c r="F7178" t="s">
        <v>2218</v>
      </c>
      <c r="G7178">
        <v>15</v>
      </c>
    </row>
    <row r="7179" spans="1:17" x14ac:dyDescent="0.2">
      <c r="A7179" t="s">
        <v>5739</v>
      </c>
      <c r="B7179" t="s">
        <v>5727</v>
      </c>
      <c r="C7179">
        <v>6</v>
      </c>
      <c r="D7179" t="s">
        <v>5732</v>
      </c>
      <c r="E7179" s="8" t="s">
        <v>5174</v>
      </c>
      <c r="F7179" t="s">
        <v>2836</v>
      </c>
      <c r="G7179">
        <v>69</v>
      </c>
    </row>
    <row r="7180" spans="1:17" x14ac:dyDescent="0.2">
      <c r="A7180" t="s">
        <v>5739</v>
      </c>
      <c r="B7180" t="s">
        <v>5727</v>
      </c>
      <c r="C7180">
        <v>6</v>
      </c>
      <c r="D7180" t="s">
        <v>5732</v>
      </c>
      <c r="E7180" s="8" t="s">
        <v>5175</v>
      </c>
      <c r="F7180" t="s">
        <v>3875</v>
      </c>
      <c r="G7180">
        <v>9</v>
      </c>
    </row>
    <row r="7181" spans="1:17" x14ac:dyDescent="0.2">
      <c r="A7181" t="s">
        <v>5739</v>
      </c>
      <c r="B7181" t="s">
        <v>5727</v>
      </c>
      <c r="C7181">
        <v>6</v>
      </c>
      <c r="D7181" t="s">
        <v>5732</v>
      </c>
      <c r="E7181" s="8" t="s">
        <v>5139</v>
      </c>
      <c r="F7181" t="s">
        <v>116</v>
      </c>
      <c r="G7181">
        <v>6</v>
      </c>
    </row>
    <row r="7182" spans="1:17" x14ac:dyDescent="0.2">
      <c r="A7182" t="s">
        <v>5739</v>
      </c>
      <c r="B7182" t="s">
        <v>5727</v>
      </c>
      <c r="C7182">
        <v>6</v>
      </c>
      <c r="D7182" t="s">
        <v>5732</v>
      </c>
      <c r="E7182" s="8" t="s">
        <v>5162</v>
      </c>
      <c r="F7182" t="s">
        <v>8452</v>
      </c>
      <c r="G7182">
        <v>14</v>
      </c>
      <c r="M7182">
        <v>2</v>
      </c>
      <c r="Q7182" t="s">
        <v>8451</v>
      </c>
    </row>
    <row r="7183" spans="1:17" x14ac:dyDescent="0.2">
      <c r="A7183" t="s">
        <v>5739</v>
      </c>
      <c r="B7183" t="s">
        <v>5727</v>
      </c>
      <c r="C7183">
        <v>1</v>
      </c>
      <c r="D7183" t="s">
        <v>5732</v>
      </c>
      <c r="E7183" s="8" t="s">
        <v>5081</v>
      </c>
      <c r="F7183" t="s">
        <v>740</v>
      </c>
      <c r="H7183">
        <v>3</v>
      </c>
      <c r="O7183" t="s">
        <v>5749</v>
      </c>
    </row>
    <row r="7184" spans="1:17" x14ac:dyDescent="0.2">
      <c r="A7184" t="s">
        <v>5739</v>
      </c>
      <c r="B7184" t="s">
        <v>5727</v>
      </c>
      <c r="C7184">
        <v>1</v>
      </c>
      <c r="D7184" t="s">
        <v>5732</v>
      </c>
      <c r="E7184" t="s">
        <v>5056</v>
      </c>
      <c r="F7184" t="s">
        <v>1264</v>
      </c>
      <c r="H7184">
        <f>15.3-1.8</f>
        <v>13.5</v>
      </c>
    </row>
    <row r="7185" spans="1:17" x14ac:dyDescent="0.2">
      <c r="A7185" t="s">
        <v>5739</v>
      </c>
      <c r="B7185" t="s">
        <v>5727</v>
      </c>
      <c r="C7185">
        <v>1</v>
      </c>
      <c r="D7185" t="s">
        <v>5732</v>
      </c>
      <c r="E7185" s="8" t="s">
        <v>5089</v>
      </c>
      <c r="F7185" t="s">
        <v>2789</v>
      </c>
      <c r="G7185">
        <v>190</v>
      </c>
    </row>
    <row r="7186" spans="1:17" x14ac:dyDescent="0.2">
      <c r="A7186" t="s">
        <v>5739</v>
      </c>
      <c r="B7186" t="s">
        <v>5727</v>
      </c>
      <c r="C7186">
        <v>1</v>
      </c>
      <c r="D7186" t="s">
        <v>5732</v>
      </c>
      <c r="E7186" s="8" t="s">
        <v>5090</v>
      </c>
      <c r="F7186" t="s">
        <v>112</v>
      </c>
      <c r="G7186">
        <v>140</v>
      </c>
    </row>
    <row r="7187" spans="1:17" x14ac:dyDescent="0.2">
      <c r="A7187" t="s">
        <v>5739</v>
      </c>
      <c r="B7187" t="s">
        <v>5727</v>
      </c>
      <c r="C7187">
        <v>1</v>
      </c>
      <c r="D7187" t="s">
        <v>5732</v>
      </c>
      <c r="E7187" s="8" t="s">
        <v>5082</v>
      </c>
      <c r="F7187" t="s">
        <v>5746</v>
      </c>
      <c r="G7187">
        <v>206</v>
      </c>
      <c r="O7187" t="s">
        <v>5747</v>
      </c>
    </row>
    <row r="7188" spans="1:17" x14ac:dyDescent="0.2">
      <c r="A7188" t="s">
        <v>5739</v>
      </c>
      <c r="B7188" t="s">
        <v>5727</v>
      </c>
      <c r="C7188">
        <v>1</v>
      </c>
      <c r="D7188" t="s">
        <v>5732</v>
      </c>
      <c r="E7188" s="8" t="s">
        <v>5091</v>
      </c>
      <c r="F7188" t="s">
        <v>5163</v>
      </c>
      <c r="G7188">
        <f>976-357</f>
        <v>619</v>
      </c>
      <c r="O7188" t="s">
        <v>5748</v>
      </c>
    </row>
    <row r="7189" spans="1:17" x14ac:dyDescent="0.2">
      <c r="A7189" t="s">
        <v>5740</v>
      </c>
      <c r="B7189" t="s">
        <v>5750</v>
      </c>
      <c r="C7189">
        <v>2</v>
      </c>
      <c r="D7189" t="s">
        <v>5732</v>
      </c>
      <c r="E7189" s="8" t="s">
        <v>5081</v>
      </c>
      <c r="F7189" t="s">
        <v>6862</v>
      </c>
      <c r="G7189">
        <v>5</v>
      </c>
      <c r="Q7189" t="s">
        <v>8453</v>
      </c>
    </row>
    <row r="7190" spans="1:17" x14ac:dyDescent="0.2">
      <c r="A7190" t="s">
        <v>5740</v>
      </c>
      <c r="B7190" t="s">
        <v>5750</v>
      </c>
      <c r="C7190">
        <v>2</v>
      </c>
      <c r="D7190" t="s">
        <v>5732</v>
      </c>
      <c r="E7190" s="8" t="s">
        <v>5082</v>
      </c>
      <c r="F7190" t="s">
        <v>6862</v>
      </c>
      <c r="G7190">
        <v>13</v>
      </c>
      <c r="Q7190" t="s">
        <v>8454</v>
      </c>
    </row>
    <row r="7191" spans="1:17" x14ac:dyDescent="0.2">
      <c r="A7191" t="s">
        <v>5740</v>
      </c>
      <c r="B7191" t="s">
        <v>5750</v>
      </c>
      <c r="C7191">
        <v>2</v>
      </c>
      <c r="D7191" t="s">
        <v>5732</v>
      </c>
      <c r="E7191" s="8" t="s">
        <v>5089</v>
      </c>
      <c r="F7191" t="s">
        <v>6862</v>
      </c>
      <c r="G7191">
        <v>7</v>
      </c>
      <c r="Q7191" t="s">
        <v>8455</v>
      </c>
    </row>
    <row r="7192" spans="1:17" x14ac:dyDescent="0.2">
      <c r="A7192" t="s">
        <v>5740</v>
      </c>
      <c r="B7192" t="s">
        <v>5750</v>
      </c>
      <c r="C7192">
        <v>2</v>
      </c>
      <c r="D7192" t="s">
        <v>5732</v>
      </c>
      <c r="E7192" s="8" t="s">
        <v>5090</v>
      </c>
      <c r="F7192" t="s">
        <v>6862</v>
      </c>
      <c r="G7192">
        <v>11</v>
      </c>
      <c r="Q7192" t="s">
        <v>8456</v>
      </c>
    </row>
    <row r="7193" spans="1:17" x14ac:dyDescent="0.2">
      <c r="A7193" t="s">
        <v>5740</v>
      </c>
      <c r="B7193" t="s">
        <v>5750</v>
      </c>
      <c r="C7193">
        <v>2</v>
      </c>
      <c r="D7193" t="s">
        <v>5732</v>
      </c>
      <c r="E7193" s="8" t="s">
        <v>5091</v>
      </c>
      <c r="F7193" t="s">
        <v>6978</v>
      </c>
      <c r="G7193">
        <v>1</v>
      </c>
      <c r="Q7193" t="s">
        <v>8457</v>
      </c>
    </row>
    <row r="7194" spans="1:17" x14ac:dyDescent="0.2">
      <c r="A7194" t="s">
        <v>5740</v>
      </c>
      <c r="B7194" t="s">
        <v>5750</v>
      </c>
      <c r="C7194">
        <v>2</v>
      </c>
      <c r="D7194" t="s">
        <v>5732</v>
      </c>
      <c r="E7194" s="8" t="s">
        <v>5092</v>
      </c>
      <c r="F7194" t="s">
        <v>6862</v>
      </c>
      <c r="G7194">
        <v>44</v>
      </c>
      <c r="M7194">
        <v>4</v>
      </c>
    </row>
    <row r="7195" spans="1:17" x14ac:dyDescent="0.2">
      <c r="A7195" t="s">
        <v>5740</v>
      </c>
      <c r="B7195" t="s">
        <v>5750</v>
      </c>
      <c r="C7195">
        <v>2</v>
      </c>
      <c r="D7195" t="s">
        <v>5732</v>
      </c>
      <c r="E7195" s="8" t="s">
        <v>5094</v>
      </c>
      <c r="F7195" t="s">
        <v>7337</v>
      </c>
      <c r="G7195">
        <v>20</v>
      </c>
      <c r="Q7195" t="s">
        <v>8458</v>
      </c>
    </row>
    <row r="7196" spans="1:17" x14ac:dyDescent="0.2">
      <c r="A7196" t="s">
        <v>5740</v>
      </c>
      <c r="B7196" t="s">
        <v>5750</v>
      </c>
      <c r="C7196">
        <v>2</v>
      </c>
      <c r="D7196" t="s">
        <v>5732</v>
      </c>
      <c r="E7196" s="8" t="s">
        <v>5097</v>
      </c>
      <c r="F7196" t="s">
        <v>7990</v>
      </c>
      <c r="G7196">
        <v>22</v>
      </c>
      <c r="Q7196" t="s">
        <v>8468</v>
      </c>
    </row>
    <row r="7197" spans="1:17" x14ac:dyDescent="0.2">
      <c r="A7197" t="s">
        <v>5740</v>
      </c>
      <c r="B7197" t="s">
        <v>5750</v>
      </c>
      <c r="C7197">
        <v>2</v>
      </c>
      <c r="D7197" t="s">
        <v>5732</v>
      </c>
      <c r="E7197" s="8" t="s">
        <v>5098</v>
      </c>
      <c r="F7197" t="s">
        <v>7990</v>
      </c>
      <c r="G7197">
        <v>7</v>
      </c>
      <c r="Q7197" t="s">
        <v>8467</v>
      </c>
    </row>
    <row r="7198" spans="1:17" x14ac:dyDescent="0.2">
      <c r="A7198" t="s">
        <v>5740</v>
      </c>
      <c r="B7198" t="s">
        <v>5750</v>
      </c>
      <c r="C7198">
        <v>2</v>
      </c>
      <c r="D7198" t="s">
        <v>5732</v>
      </c>
      <c r="E7198" s="8" t="s">
        <v>5166</v>
      </c>
      <c r="F7198" t="s">
        <v>3930</v>
      </c>
      <c r="G7198">
        <v>4</v>
      </c>
      <c r="M7198" t="s">
        <v>5751</v>
      </c>
      <c r="Q7198" t="s">
        <v>8466</v>
      </c>
    </row>
    <row r="7199" spans="1:17" x14ac:dyDescent="0.2">
      <c r="A7199" t="s">
        <v>5740</v>
      </c>
      <c r="B7199" t="s">
        <v>5750</v>
      </c>
      <c r="C7199">
        <v>2</v>
      </c>
      <c r="D7199" t="s">
        <v>5732</v>
      </c>
      <c r="E7199" s="8" t="s">
        <v>5167</v>
      </c>
      <c r="F7199" t="s">
        <v>1389</v>
      </c>
      <c r="G7199">
        <v>2</v>
      </c>
      <c r="Q7199" t="s">
        <v>8465</v>
      </c>
    </row>
    <row r="7200" spans="1:17" x14ac:dyDescent="0.2">
      <c r="A7200" t="s">
        <v>5740</v>
      </c>
      <c r="B7200" t="s">
        <v>5750</v>
      </c>
      <c r="C7200">
        <v>2</v>
      </c>
      <c r="D7200" t="s">
        <v>5732</v>
      </c>
      <c r="E7200" s="8" t="s">
        <v>5168</v>
      </c>
      <c r="F7200" t="s">
        <v>1389</v>
      </c>
      <c r="G7200">
        <v>4</v>
      </c>
      <c r="Q7200" t="s">
        <v>8464</v>
      </c>
    </row>
    <row r="7201" spans="1:17" x14ac:dyDescent="0.2">
      <c r="A7201" t="s">
        <v>5740</v>
      </c>
      <c r="B7201" t="s">
        <v>5750</v>
      </c>
      <c r="C7201">
        <v>2</v>
      </c>
      <c r="D7201" t="s">
        <v>5732</v>
      </c>
      <c r="E7201" s="8" t="s">
        <v>5169</v>
      </c>
      <c r="F7201" t="s">
        <v>6239</v>
      </c>
      <c r="G7201" t="s">
        <v>114</v>
      </c>
      <c r="Q7201" t="s">
        <v>8461</v>
      </c>
    </row>
    <row r="7202" spans="1:17" x14ac:dyDescent="0.2">
      <c r="A7202" t="s">
        <v>5740</v>
      </c>
      <c r="B7202" t="s">
        <v>5750</v>
      </c>
      <c r="C7202">
        <v>2</v>
      </c>
      <c r="D7202" t="s">
        <v>5732</v>
      </c>
      <c r="E7202" s="8" t="s">
        <v>5170</v>
      </c>
      <c r="F7202" t="s">
        <v>6239</v>
      </c>
      <c r="G7202">
        <v>1</v>
      </c>
      <c r="Q7202" t="s">
        <v>8462</v>
      </c>
    </row>
    <row r="7203" spans="1:17" x14ac:dyDescent="0.2">
      <c r="A7203" t="s">
        <v>5740</v>
      </c>
      <c r="B7203" t="s">
        <v>5750</v>
      </c>
      <c r="C7203">
        <v>2</v>
      </c>
      <c r="D7203" t="s">
        <v>5732</v>
      </c>
      <c r="E7203" s="8" t="s">
        <v>5171</v>
      </c>
      <c r="F7203" t="s">
        <v>6239</v>
      </c>
      <c r="G7203">
        <v>1</v>
      </c>
      <c r="Q7203" t="s">
        <v>8459</v>
      </c>
    </row>
    <row r="7204" spans="1:17" x14ac:dyDescent="0.2">
      <c r="A7204" t="s">
        <v>5740</v>
      </c>
      <c r="B7204" t="s">
        <v>5750</v>
      </c>
      <c r="C7204">
        <v>2</v>
      </c>
      <c r="D7204" t="s">
        <v>5732</v>
      </c>
      <c r="E7204" s="8" t="s">
        <v>5140</v>
      </c>
      <c r="F7204" t="s">
        <v>6239</v>
      </c>
      <c r="G7204">
        <v>1</v>
      </c>
      <c r="Q7204" t="s">
        <v>8460</v>
      </c>
    </row>
    <row r="7205" spans="1:17" x14ac:dyDescent="0.2">
      <c r="A7205" t="s">
        <v>5740</v>
      </c>
      <c r="B7205" t="s">
        <v>5750</v>
      </c>
      <c r="C7205">
        <v>2</v>
      </c>
      <c r="D7205" t="s">
        <v>5732</v>
      </c>
      <c r="E7205" s="8" t="s">
        <v>5141</v>
      </c>
      <c r="F7205" t="s">
        <v>6239</v>
      </c>
      <c r="G7205">
        <v>1</v>
      </c>
      <c r="Q7205" t="s">
        <v>8463</v>
      </c>
    </row>
    <row r="7206" spans="1:17" x14ac:dyDescent="0.2">
      <c r="A7206" t="s">
        <v>5740</v>
      </c>
      <c r="B7206" t="s">
        <v>5750</v>
      </c>
      <c r="C7206">
        <v>2</v>
      </c>
      <c r="D7206" t="s">
        <v>5732</v>
      </c>
      <c r="E7206" s="8" t="s">
        <v>5142</v>
      </c>
      <c r="F7206" t="s">
        <v>4973</v>
      </c>
      <c r="G7206">
        <v>4</v>
      </c>
      <c r="M7206">
        <v>4</v>
      </c>
    </row>
    <row r="7207" spans="1:17" x14ac:dyDescent="0.2">
      <c r="A7207" t="s">
        <v>5740</v>
      </c>
      <c r="B7207" t="s">
        <v>5750</v>
      </c>
      <c r="C7207">
        <v>2</v>
      </c>
      <c r="D7207" t="s">
        <v>5732</v>
      </c>
      <c r="E7207" s="8" t="s">
        <v>5143</v>
      </c>
      <c r="F7207" t="s">
        <v>1538</v>
      </c>
      <c r="G7207">
        <v>8</v>
      </c>
      <c r="Q7207" t="s">
        <v>8472</v>
      </c>
    </row>
    <row r="7208" spans="1:17" x14ac:dyDescent="0.2">
      <c r="A7208" t="s">
        <v>5740</v>
      </c>
      <c r="B7208" t="s">
        <v>5750</v>
      </c>
      <c r="C7208">
        <v>2</v>
      </c>
      <c r="D7208" t="s">
        <v>5732</v>
      </c>
      <c r="E7208" s="8" t="s">
        <v>5144</v>
      </c>
      <c r="F7208" t="s">
        <v>1538</v>
      </c>
      <c r="G7208">
        <v>7</v>
      </c>
      <c r="Q7208" t="s">
        <v>8470</v>
      </c>
    </row>
    <row r="7209" spans="1:17" x14ac:dyDescent="0.2">
      <c r="A7209" t="s">
        <v>5740</v>
      </c>
      <c r="B7209" t="s">
        <v>5750</v>
      </c>
      <c r="C7209">
        <v>2</v>
      </c>
      <c r="D7209" t="s">
        <v>5732</v>
      </c>
      <c r="E7209" s="8" t="s">
        <v>5145</v>
      </c>
      <c r="F7209" t="s">
        <v>1538</v>
      </c>
      <c r="G7209">
        <v>63</v>
      </c>
      <c r="Q7209" t="s">
        <v>8471</v>
      </c>
    </row>
    <row r="7210" spans="1:17" x14ac:dyDescent="0.2">
      <c r="A7210" t="s">
        <v>5740</v>
      </c>
      <c r="B7210" t="s">
        <v>5750</v>
      </c>
      <c r="C7210">
        <v>2</v>
      </c>
      <c r="D7210" t="s">
        <v>5732</v>
      </c>
      <c r="E7210" s="8" t="s">
        <v>5146</v>
      </c>
      <c r="F7210" t="s">
        <v>1538</v>
      </c>
      <c r="G7210">
        <v>40</v>
      </c>
      <c r="Q7210" t="s">
        <v>8473</v>
      </c>
    </row>
    <row r="7211" spans="1:17" x14ac:dyDescent="0.2">
      <c r="A7211" t="s">
        <v>5740</v>
      </c>
      <c r="B7211" t="s">
        <v>5750</v>
      </c>
      <c r="C7211">
        <v>2</v>
      </c>
      <c r="D7211" t="s">
        <v>5732</v>
      </c>
      <c r="E7211" s="8" t="s">
        <v>5147</v>
      </c>
      <c r="F7211" t="s">
        <v>1538</v>
      </c>
      <c r="G7211">
        <v>33</v>
      </c>
      <c r="Q7211" t="s">
        <v>8469</v>
      </c>
    </row>
    <row r="7212" spans="1:17" x14ac:dyDescent="0.2">
      <c r="A7212" t="s">
        <v>5740</v>
      </c>
      <c r="B7212" t="s">
        <v>5750</v>
      </c>
      <c r="C7212">
        <v>2</v>
      </c>
      <c r="D7212" t="s">
        <v>5732</v>
      </c>
      <c r="E7212" s="8" t="s">
        <v>5148</v>
      </c>
      <c r="F7212" t="s">
        <v>1538</v>
      </c>
      <c r="G7212">
        <v>12</v>
      </c>
    </row>
    <row r="7213" spans="1:17" x14ac:dyDescent="0.2">
      <c r="A7213" t="s">
        <v>5740</v>
      </c>
      <c r="B7213" t="s">
        <v>5750</v>
      </c>
      <c r="C7213">
        <v>2</v>
      </c>
      <c r="D7213" t="s">
        <v>5732</v>
      </c>
      <c r="E7213" t="s">
        <v>5056</v>
      </c>
      <c r="F7213" t="s">
        <v>1538</v>
      </c>
      <c r="G7213">
        <v>288</v>
      </c>
      <c r="M7213">
        <v>13</v>
      </c>
    </row>
    <row r="7214" spans="1:17" x14ac:dyDescent="0.2">
      <c r="A7214" t="s">
        <v>5740</v>
      </c>
      <c r="B7214" t="s">
        <v>5750</v>
      </c>
      <c r="C7214">
        <v>2</v>
      </c>
      <c r="D7214" t="s">
        <v>5732</v>
      </c>
      <c r="E7214" s="8" t="s">
        <v>5149</v>
      </c>
      <c r="F7214" t="s">
        <v>6579</v>
      </c>
      <c r="G7214">
        <v>15</v>
      </c>
      <c r="Q7214" t="s">
        <v>8474</v>
      </c>
    </row>
    <row r="7215" spans="1:17" x14ac:dyDescent="0.2">
      <c r="A7215" t="s">
        <v>5740</v>
      </c>
      <c r="B7215" t="s">
        <v>5750</v>
      </c>
      <c r="C7215">
        <v>2</v>
      </c>
      <c r="D7215" t="s">
        <v>5732</v>
      </c>
      <c r="E7215" s="8" t="s">
        <v>5150</v>
      </c>
      <c r="F7215" t="s">
        <v>2836</v>
      </c>
      <c r="G7215">
        <v>52</v>
      </c>
    </row>
    <row r="7216" spans="1:17" x14ac:dyDescent="0.2">
      <c r="A7216" t="s">
        <v>5740</v>
      </c>
      <c r="B7216" t="s">
        <v>5750</v>
      </c>
      <c r="C7216">
        <v>2</v>
      </c>
      <c r="D7216" t="s">
        <v>5732</v>
      </c>
      <c r="E7216" s="8" t="s">
        <v>5151</v>
      </c>
      <c r="F7216" t="s">
        <v>3431</v>
      </c>
      <c r="G7216">
        <v>9</v>
      </c>
    </row>
    <row r="7217" spans="1:17" x14ac:dyDescent="0.2">
      <c r="A7217" t="s">
        <v>5740</v>
      </c>
      <c r="B7217" t="s">
        <v>5750</v>
      </c>
      <c r="C7217">
        <v>2</v>
      </c>
      <c r="D7217" t="s">
        <v>5732</v>
      </c>
      <c r="E7217" s="8" t="s">
        <v>5152</v>
      </c>
      <c r="F7217" t="s">
        <v>121</v>
      </c>
      <c r="G7217">
        <v>6</v>
      </c>
    </row>
    <row r="7218" spans="1:17" x14ac:dyDescent="0.2">
      <c r="A7218" t="s">
        <v>5740</v>
      </c>
      <c r="B7218" t="s">
        <v>5750</v>
      </c>
      <c r="C7218">
        <v>2</v>
      </c>
      <c r="D7218" t="s">
        <v>5732</v>
      </c>
      <c r="E7218" s="8" t="s">
        <v>5153</v>
      </c>
      <c r="F7218" t="s">
        <v>3875</v>
      </c>
      <c r="G7218">
        <v>3</v>
      </c>
    </row>
    <row r="7219" spans="1:17" x14ac:dyDescent="0.2">
      <c r="A7219" t="s">
        <v>5740</v>
      </c>
      <c r="B7219" t="s">
        <v>5750</v>
      </c>
      <c r="C7219">
        <v>2</v>
      </c>
      <c r="D7219" t="s">
        <v>5732</v>
      </c>
      <c r="E7219" s="8" t="s">
        <v>5154</v>
      </c>
      <c r="F7219" t="s">
        <v>106</v>
      </c>
      <c r="G7219">
        <v>2</v>
      </c>
    </row>
    <row r="7220" spans="1:17" x14ac:dyDescent="0.2">
      <c r="A7220" t="s">
        <v>5740</v>
      </c>
      <c r="B7220" t="s">
        <v>5750</v>
      </c>
      <c r="C7220">
        <v>2</v>
      </c>
      <c r="D7220" t="s">
        <v>5732</v>
      </c>
      <c r="E7220" t="s">
        <v>5056</v>
      </c>
      <c r="F7220" t="s">
        <v>440</v>
      </c>
      <c r="G7220">
        <v>22</v>
      </c>
    </row>
    <row r="7221" spans="1:17" x14ac:dyDescent="0.2">
      <c r="A7221" t="s">
        <v>5740</v>
      </c>
      <c r="B7221" t="s">
        <v>5750</v>
      </c>
      <c r="C7221">
        <v>2</v>
      </c>
      <c r="D7221" t="s">
        <v>5732</v>
      </c>
      <c r="E7221" t="s">
        <v>5056</v>
      </c>
      <c r="F7221" t="s">
        <v>3215</v>
      </c>
      <c r="G7221">
        <v>10</v>
      </c>
    </row>
    <row r="7222" spans="1:17" x14ac:dyDescent="0.2">
      <c r="A7222" t="s">
        <v>5740</v>
      </c>
      <c r="B7222" t="s">
        <v>5750</v>
      </c>
      <c r="C7222">
        <v>2</v>
      </c>
      <c r="D7222" t="s">
        <v>5732</v>
      </c>
      <c r="E7222" s="8" t="s">
        <v>5155</v>
      </c>
      <c r="F7222" t="s">
        <v>1264</v>
      </c>
      <c r="H7222">
        <v>2.9220000000000002</v>
      </c>
      <c r="O7222" t="s">
        <v>5754</v>
      </c>
    </row>
    <row r="7223" spans="1:17" x14ac:dyDescent="0.2">
      <c r="A7223" t="s">
        <v>5740</v>
      </c>
      <c r="B7223" t="s">
        <v>5750</v>
      </c>
      <c r="C7223">
        <v>3</v>
      </c>
      <c r="D7223" t="s">
        <v>5732</v>
      </c>
      <c r="E7223" s="8" t="s">
        <v>5081</v>
      </c>
      <c r="F7223" t="s">
        <v>1264</v>
      </c>
      <c r="H7223">
        <f>2.454-0.344</f>
        <v>2.1100000000000003</v>
      </c>
      <c r="O7223" t="s">
        <v>5753</v>
      </c>
    </row>
    <row r="7224" spans="1:17" x14ac:dyDescent="0.2">
      <c r="A7224" t="s">
        <v>5740</v>
      </c>
      <c r="B7224" t="s">
        <v>5750</v>
      </c>
      <c r="C7224">
        <v>3</v>
      </c>
      <c r="D7224" t="s">
        <v>5732</v>
      </c>
      <c r="E7224" s="8" t="s">
        <v>5082</v>
      </c>
      <c r="F7224" t="s">
        <v>1389</v>
      </c>
      <c r="G7224">
        <v>11</v>
      </c>
      <c r="Q7224" t="s">
        <v>8483</v>
      </c>
    </row>
    <row r="7225" spans="1:17" x14ac:dyDescent="0.2">
      <c r="A7225" t="s">
        <v>5740</v>
      </c>
      <c r="B7225" t="s">
        <v>5750</v>
      </c>
      <c r="C7225">
        <v>3</v>
      </c>
      <c r="D7225" t="s">
        <v>5732</v>
      </c>
      <c r="E7225" s="8" t="s">
        <v>5089</v>
      </c>
      <c r="F7225" t="s">
        <v>1389</v>
      </c>
      <c r="G7225">
        <v>11</v>
      </c>
      <c r="Q7225" t="s">
        <v>8484</v>
      </c>
    </row>
    <row r="7226" spans="1:17" x14ac:dyDescent="0.2">
      <c r="A7226" t="s">
        <v>5740</v>
      </c>
      <c r="B7226" t="s">
        <v>5750</v>
      </c>
      <c r="C7226">
        <v>3</v>
      </c>
      <c r="D7226" t="s">
        <v>5732</v>
      </c>
      <c r="E7226" s="8" t="s">
        <v>5090</v>
      </c>
      <c r="F7226" t="s">
        <v>8475</v>
      </c>
      <c r="G7226">
        <v>9</v>
      </c>
      <c r="Q7226" t="s">
        <v>8476</v>
      </c>
    </row>
    <row r="7227" spans="1:17" x14ac:dyDescent="0.2">
      <c r="A7227" t="s">
        <v>5740</v>
      </c>
      <c r="B7227" t="s">
        <v>5750</v>
      </c>
      <c r="C7227">
        <v>3</v>
      </c>
      <c r="D7227" t="s">
        <v>5732</v>
      </c>
      <c r="E7227" s="8" t="s">
        <v>5091</v>
      </c>
      <c r="F7227" t="s">
        <v>8475</v>
      </c>
      <c r="G7227">
        <v>4</v>
      </c>
      <c r="Q7227" t="s">
        <v>8477</v>
      </c>
    </row>
    <row r="7228" spans="1:17" x14ac:dyDescent="0.2">
      <c r="A7228" t="s">
        <v>5740</v>
      </c>
      <c r="B7228" t="s">
        <v>5750</v>
      </c>
      <c r="C7228">
        <v>3</v>
      </c>
      <c r="D7228" t="s">
        <v>5732</v>
      </c>
      <c r="E7228" s="8" t="s">
        <v>5092</v>
      </c>
      <c r="F7228" t="s">
        <v>8475</v>
      </c>
      <c r="G7228">
        <v>1</v>
      </c>
      <c r="Q7228" t="s">
        <v>8478</v>
      </c>
    </row>
    <row r="7229" spans="1:17" x14ac:dyDescent="0.2">
      <c r="A7229" t="s">
        <v>5740</v>
      </c>
      <c r="B7229" t="s">
        <v>5750</v>
      </c>
      <c r="C7229">
        <v>3</v>
      </c>
      <c r="D7229" t="s">
        <v>5732</v>
      </c>
      <c r="E7229" s="8" t="s">
        <v>5094</v>
      </c>
      <c r="F7229" t="s">
        <v>7990</v>
      </c>
      <c r="G7229">
        <v>22</v>
      </c>
      <c r="Q7229" t="s">
        <v>8479</v>
      </c>
    </row>
    <row r="7230" spans="1:17" x14ac:dyDescent="0.2">
      <c r="A7230" t="s">
        <v>5740</v>
      </c>
      <c r="B7230" t="s">
        <v>5750</v>
      </c>
      <c r="C7230">
        <v>3</v>
      </c>
      <c r="D7230" t="s">
        <v>5732</v>
      </c>
      <c r="E7230" s="8" t="s">
        <v>5097</v>
      </c>
      <c r="F7230" t="s">
        <v>7990</v>
      </c>
      <c r="G7230">
        <v>32</v>
      </c>
      <c r="Q7230" t="s">
        <v>8480</v>
      </c>
    </row>
    <row r="7231" spans="1:17" x14ac:dyDescent="0.2">
      <c r="A7231" t="s">
        <v>5740</v>
      </c>
      <c r="B7231" t="s">
        <v>5750</v>
      </c>
      <c r="C7231">
        <v>3</v>
      </c>
      <c r="D7231" t="s">
        <v>5732</v>
      </c>
      <c r="E7231" s="8" t="s">
        <v>5098</v>
      </c>
      <c r="F7231" t="s">
        <v>7990</v>
      </c>
      <c r="G7231">
        <v>13</v>
      </c>
      <c r="Q7231" t="s">
        <v>8481</v>
      </c>
    </row>
    <row r="7232" spans="1:17" x14ac:dyDescent="0.2">
      <c r="A7232" t="s">
        <v>5740</v>
      </c>
      <c r="B7232" t="s">
        <v>5750</v>
      </c>
      <c r="C7232">
        <v>3</v>
      </c>
      <c r="D7232" t="s">
        <v>5732</v>
      </c>
      <c r="E7232" s="8" t="s">
        <v>5166</v>
      </c>
      <c r="F7232" t="s">
        <v>7990</v>
      </c>
      <c r="G7232">
        <v>8</v>
      </c>
      <c r="O7232" t="s">
        <v>7713</v>
      </c>
    </row>
    <row r="7233" spans="1:17" x14ac:dyDescent="0.2">
      <c r="A7233" t="s">
        <v>5740</v>
      </c>
      <c r="B7233" t="s">
        <v>5750</v>
      </c>
      <c r="C7233">
        <v>3</v>
      </c>
      <c r="D7233" t="s">
        <v>5732</v>
      </c>
      <c r="E7233" s="8" t="s">
        <v>5167</v>
      </c>
      <c r="F7233" t="s">
        <v>7990</v>
      </c>
      <c r="G7233">
        <v>2</v>
      </c>
      <c r="O7233" t="s">
        <v>5752</v>
      </c>
      <c r="Q7233" t="s">
        <v>8482</v>
      </c>
    </row>
    <row r="7234" spans="1:17" x14ac:dyDescent="0.2">
      <c r="A7234" t="s">
        <v>5740</v>
      </c>
      <c r="B7234" t="s">
        <v>5750</v>
      </c>
      <c r="C7234">
        <v>3</v>
      </c>
      <c r="D7234" t="s">
        <v>5732</v>
      </c>
      <c r="E7234" s="8" t="s">
        <v>5168</v>
      </c>
      <c r="F7234" t="s">
        <v>7990</v>
      </c>
      <c r="G7234">
        <v>69</v>
      </c>
      <c r="M7234">
        <v>5</v>
      </c>
    </row>
    <row r="7235" spans="1:17" x14ac:dyDescent="0.2">
      <c r="A7235" t="s">
        <v>5740</v>
      </c>
      <c r="B7235" t="s">
        <v>5750</v>
      </c>
      <c r="C7235">
        <v>3</v>
      </c>
      <c r="D7235" t="s">
        <v>5732</v>
      </c>
      <c r="E7235" t="s">
        <v>5056</v>
      </c>
      <c r="F7235" t="s">
        <v>7990</v>
      </c>
      <c r="G7235">
        <v>7</v>
      </c>
      <c r="M7235">
        <v>2</v>
      </c>
    </row>
    <row r="7236" spans="1:17" x14ac:dyDescent="0.2">
      <c r="A7236" t="s">
        <v>5740</v>
      </c>
      <c r="B7236" t="s">
        <v>5750</v>
      </c>
      <c r="C7236">
        <v>3</v>
      </c>
      <c r="D7236" t="s">
        <v>5732</v>
      </c>
      <c r="E7236" s="8" t="s">
        <v>5169</v>
      </c>
      <c r="F7236" t="s">
        <v>1538</v>
      </c>
      <c r="G7236">
        <v>8</v>
      </c>
      <c r="Q7236" t="s">
        <v>8485</v>
      </c>
    </row>
    <row r="7237" spans="1:17" x14ac:dyDescent="0.2">
      <c r="A7237" t="s">
        <v>5740</v>
      </c>
      <c r="B7237" t="s">
        <v>5750</v>
      </c>
      <c r="C7237">
        <v>3</v>
      </c>
      <c r="D7237" t="s">
        <v>5732</v>
      </c>
      <c r="E7237" s="8" t="s">
        <v>5170</v>
      </c>
      <c r="F7237" t="s">
        <v>1538</v>
      </c>
      <c r="G7237">
        <v>7</v>
      </c>
      <c r="Q7237" t="s">
        <v>8486</v>
      </c>
    </row>
    <row r="7238" spans="1:17" x14ac:dyDescent="0.2">
      <c r="A7238" t="s">
        <v>5740</v>
      </c>
      <c r="B7238" t="s">
        <v>5750</v>
      </c>
      <c r="C7238">
        <v>3</v>
      </c>
      <c r="D7238" t="s">
        <v>5732</v>
      </c>
      <c r="E7238" s="8" t="s">
        <v>5171</v>
      </c>
      <c r="F7238" t="s">
        <v>1538</v>
      </c>
      <c r="G7238" t="s">
        <v>114</v>
      </c>
      <c r="Q7238" t="s">
        <v>8490</v>
      </c>
    </row>
    <row r="7239" spans="1:17" x14ac:dyDescent="0.2">
      <c r="A7239" t="s">
        <v>5740</v>
      </c>
      <c r="B7239" t="s">
        <v>5750</v>
      </c>
      <c r="C7239">
        <v>3</v>
      </c>
      <c r="D7239" t="s">
        <v>5732</v>
      </c>
      <c r="E7239" s="8" t="s">
        <v>5140</v>
      </c>
      <c r="F7239" t="s">
        <v>1538</v>
      </c>
      <c r="G7239" t="s">
        <v>114</v>
      </c>
      <c r="Q7239" t="s">
        <v>8489</v>
      </c>
    </row>
    <row r="7240" spans="1:17" x14ac:dyDescent="0.2">
      <c r="A7240" t="s">
        <v>5740</v>
      </c>
      <c r="B7240" t="s">
        <v>5750</v>
      </c>
      <c r="C7240">
        <v>3</v>
      </c>
      <c r="D7240" t="s">
        <v>5732</v>
      </c>
      <c r="E7240" s="8" t="s">
        <v>5141</v>
      </c>
      <c r="F7240" t="s">
        <v>1538</v>
      </c>
      <c r="G7240">
        <v>1</v>
      </c>
      <c r="Q7240" t="s">
        <v>8488</v>
      </c>
    </row>
    <row r="7241" spans="1:17" x14ac:dyDescent="0.2">
      <c r="A7241" t="s">
        <v>5740</v>
      </c>
      <c r="B7241" t="s">
        <v>5750</v>
      </c>
      <c r="C7241">
        <v>3</v>
      </c>
      <c r="D7241" t="s">
        <v>5732</v>
      </c>
      <c r="E7241" s="8" t="s">
        <v>5142</v>
      </c>
      <c r="F7241" t="s">
        <v>1538</v>
      </c>
      <c r="G7241">
        <v>2</v>
      </c>
      <c r="M7241">
        <v>2</v>
      </c>
      <c r="Q7241" t="s">
        <v>8487</v>
      </c>
    </row>
    <row r="7242" spans="1:17" x14ac:dyDescent="0.2">
      <c r="A7242" t="s">
        <v>5740</v>
      </c>
      <c r="B7242" t="s">
        <v>5750</v>
      </c>
      <c r="C7242">
        <v>3</v>
      </c>
      <c r="D7242" t="s">
        <v>5732</v>
      </c>
      <c r="E7242" s="8" t="s">
        <v>5143</v>
      </c>
      <c r="F7242" t="s">
        <v>1538</v>
      </c>
      <c r="G7242">
        <v>5</v>
      </c>
    </row>
    <row r="7243" spans="1:17" x14ac:dyDescent="0.2">
      <c r="A7243" t="s">
        <v>5740</v>
      </c>
      <c r="B7243" t="s">
        <v>5750</v>
      </c>
      <c r="C7243">
        <v>3</v>
      </c>
      <c r="D7243" t="s">
        <v>5732</v>
      </c>
      <c r="E7243" s="8" t="s">
        <v>5144</v>
      </c>
      <c r="F7243" t="s">
        <v>2836</v>
      </c>
      <c r="G7243">
        <v>90</v>
      </c>
    </row>
    <row r="7244" spans="1:17" x14ac:dyDescent="0.2">
      <c r="A7244" t="s">
        <v>5740</v>
      </c>
      <c r="B7244" t="s">
        <v>5750</v>
      </c>
      <c r="C7244">
        <v>3</v>
      </c>
      <c r="D7244" t="s">
        <v>5732</v>
      </c>
      <c r="E7244" s="8" t="s">
        <v>5145</v>
      </c>
      <c r="F7244" t="s">
        <v>7140</v>
      </c>
      <c r="G7244">
        <v>108</v>
      </c>
      <c r="M7244">
        <v>9</v>
      </c>
      <c r="O7244" t="s">
        <v>8492</v>
      </c>
      <c r="Q7244" t="s">
        <v>8491</v>
      </c>
    </row>
    <row r="7245" spans="1:17" x14ac:dyDescent="0.2">
      <c r="A7245" t="s">
        <v>5740</v>
      </c>
      <c r="B7245" t="s">
        <v>5750</v>
      </c>
      <c r="C7245">
        <v>3</v>
      </c>
      <c r="D7245" t="s">
        <v>5732</v>
      </c>
      <c r="E7245" s="8" t="s">
        <v>5146</v>
      </c>
      <c r="F7245" t="s">
        <v>3875</v>
      </c>
      <c r="G7245">
        <v>6</v>
      </c>
    </row>
    <row r="7246" spans="1:17" x14ac:dyDescent="0.2">
      <c r="A7246" t="s">
        <v>5740</v>
      </c>
      <c r="B7246" t="s">
        <v>5750</v>
      </c>
      <c r="C7246">
        <v>3</v>
      </c>
      <c r="D7246" t="s">
        <v>5732</v>
      </c>
      <c r="E7246" s="8" t="s">
        <v>5147</v>
      </c>
      <c r="F7246" t="s">
        <v>121</v>
      </c>
      <c r="G7246">
        <v>1</v>
      </c>
    </row>
    <row r="7247" spans="1:17" x14ac:dyDescent="0.2">
      <c r="A7247" t="s">
        <v>5740</v>
      </c>
      <c r="B7247" t="s">
        <v>5750</v>
      </c>
      <c r="C7247">
        <v>3</v>
      </c>
      <c r="D7247" t="s">
        <v>5732</v>
      </c>
      <c r="E7247" s="8" t="s">
        <v>5148</v>
      </c>
      <c r="F7247" t="s">
        <v>106</v>
      </c>
      <c r="G7247" t="s">
        <v>114</v>
      </c>
    </row>
    <row r="7248" spans="1:17" x14ac:dyDescent="0.2">
      <c r="A7248" t="s">
        <v>5740</v>
      </c>
      <c r="B7248" t="s">
        <v>5750</v>
      </c>
      <c r="C7248">
        <v>3</v>
      </c>
      <c r="D7248" t="s">
        <v>5732</v>
      </c>
      <c r="E7248" s="8" t="s">
        <v>5149</v>
      </c>
      <c r="F7248" t="s">
        <v>810</v>
      </c>
      <c r="G7248">
        <v>2</v>
      </c>
    </row>
    <row r="7249" spans="1:17" x14ac:dyDescent="0.2">
      <c r="A7249" t="s">
        <v>5740</v>
      </c>
      <c r="B7249" t="s">
        <v>5750</v>
      </c>
      <c r="C7249">
        <v>3</v>
      </c>
      <c r="D7249" t="s">
        <v>5732</v>
      </c>
      <c r="E7249" s="8" t="s">
        <v>5150</v>
      </c>
      <c r="F7249" t="s">
        <v>116</v>
      </c>
      <c r="G7249">
        <v>1</v>
      </c>
    </row>
    <row r="7250" spans="1:17" x14ac:dyDescent="0.2">
      <c r="A7250" t="s">
        <v>5740</v>
      </c>
      <c r="B7250" t="s">
        <v>5750</v>
      </c>
      <c r="C7250">
        <v>3</v>
      </c>
      <c r="D7250" t="s">
        <v>5732</v>
      </c>
      <c r="E7250" t="s">
        <v>5056</v>
      </c>
      <c r="F7250" t="s">
        <v>5709</v>
      </c>
      <c r="G7250">
        <v>37</v>
      </c>
      <c r="O7250" t="s">
        <v>5755</v>
      </c>
    </row>
    <row r="7251" spans="1:17" x14ac:dyDescent="0.2">
      <c r="A7251" t="s">
        <v>5740</v>
      </c>
      <c r="B7251" t="s">
        <v>5750</v>
      </c>
      <c r="C7251">
        <v>3</v>
      </c>
      <c r="D7251" t="s">
        <v>5732</v>
      </c>
      <c r="E7251" s="8" t="s">
        <v>5151</v>
      </c>
      <c r="F7251" t="s">
        <v>8498</v>
      </c>
      <c r="G7251">
        <v>63</v>
      </c>
      <c r="Q7251" t="s">
        <v>8493</v>
      </c>
    </row>
    <row r="7252" spans="1:17" x14ac:dyDescent="0.2">
      <c r="A7252" t="s">
        <v>5740</v>
      </c>
      <c r="B7252" t="s">
        <v>5750</v>
      </c>
      <c r="C7252">
        <v>3</v>
      </c>
      <c r="D7252" t="s">
        <v>5732</v>
      </c>
      <c r="E7252" s="8" t="s">
        <v>5153</v>
      </c>
      <c r="F7252" t="s">
        <v>8498</v>
      </c>
      <c r="G7252">
        <v>15</v>
      </c>
      <c r="Q7252" t="s">
        <v>8497</v>
      </c>
    </row>
    <row r="7253" spans="1:17" x14ac:dyDescent="0.2">
      <c r="A7253" t="s">
        <v>5740</v>
      </c>
      <c r="B7253" t="s">
        <v>5750</v>
      </c>
      <c r="C7253">
        <v>3</v>
      </c>
      <c r="D7253" t="s">
        <v>5732</v>
      </c>
      <c r="E7253" s="8" t="s">
        <v>5152</v>
      </c>
      <c r="F7253" t="s">
        <v>8498</v>
      </c>
      <c r="G7253">
        <v>1</v>
      </c>
      <c r="Q7253" t="s">
        <v>8496</v>
      </c>
    </row>
    <row r="7254" spans="1:17" x14ac:dyDescent="0.2">
      <c r="A7254" t="s">
        <v>5740</v>
      </c>
      <c r="B7254" t="s">
        <v>5750</v>
      </c>
      <c r="C7254">
        <v>3</v>
      </c>
      <c r="D7254" t="s">
        <v>5732</v>
      </c>
      <c r="E7254" s="8" t="s">
        <v>5154</v>
      </c>
      <c r="F7254" t="s">
        <v>8498</v>
      </c>
      <c r="G7254">
        <v>6</v>
      </c>
      <c r="Q7254" t="s">
        <v>8494</v>
      </c>
    </row>
    <row r="7255" spans="1:17" x14ac:dyDescent="0.2">
      <c r="A7255" t="s">
        <v>5740</v>
      </c>
      <c r="B7255" t="s">
        <v>5750</v>
      </c>
      <c r="C7255">
        <v>3</v>
      </c>
      <c r="D7255" t="s">
        <v>5732</v>
      </c>
      <c r="E7255" s="8" t="s">
        <v>5155</v>
      </c>
      <c r="F7255" t="s">
        <v>8498</v>
      </c>
      <c r="G7255">
        <v>44</v>
      </c>
      <c r="Q7255" t="s">
        <v>8495</v>
      </c>
    </row>
    <row r="7256" spans="1:17" x14ac:dyDescent="0.2">
      <c r="A7256" t="s">
        <v>5740</v>
      </c>
      <c r="B7256" t="s">
        <v>5750</v>
      </c>
      <c r="C7256">
        <v>3</v>
      </c>
      <c r="D7256" t="s">
        <v>5732</v>
      </c>
      <c r="E7256" s="8" t="s">
        <v>5156</v>
      </c>
      <c r="F7256" t="s">
        <v>8498</v>
      </c>
      <c r="G7256">
        <v>108</v>
      </c>
    </row>
    <row r="7257" spans="1:17" x14ac:dyDescent="0.2">
      <c r="A7257" t="s">
        <v>5740</v>
      </c>
      <c r="B7257" t="s">
        <v>5750</v>
      </c>
      <c r="C7257">
        <v>3</v>
      </c>
      <c r="D7257" t="s">
        <v>5732</v>
      </c>
      <c r="E7257" t="s">
        <v>5056</v>
      </c>
      <c r="F7257" t="s">
        <v>8498</v>
      </c>
      <c r="H7257">
        <v>1.07</v>
      </c>
    </row>
    <row r="7258" spans="1:17" x14ac:dyDescent="0.2">
      <c r="A7258" t="s">
        <v>5740</v>
      </c>
      <c r="B7258" t="s">
        <v>5750</v>
      </c>
      <c r="C7258">
        <v>5</v>
      </c>
      <c r="D7258" t="s">
        <v>5732</v>
      </c>
      <c r="E7258" s="8" t="s">
        <v>5146</v>
      </c>
      <c r="F7258" t="s">
        <v>483</v>
      </c>
      <c r="G7258">
        <v>835</v>
      </c>
    </row>
    <row r="7259" spans="1:17" x14ac:dyDescent="0.2">
      <c r="A7259" t="s">
        <v>5740</v>
      </c>
      <c r="B7259" t="s">
        <v>5750</v>
      </c>
      <c r="C7259">
        <v>5</v>
      </c>
      <c r="D7259" t="s">
        <v>5732</v>
      </c>
      <c r="E7259" s="8" t="s">
        <v>5154</v>
      </c>
      <c r="F7259" t="s">
        <v>1389</v>
      </c>
      <c r="G7259" t="s">
        <v>114</v>
      </c>
      <c r="Q7259" t="s">
        <v>8503</v>
      </c>
    </row>
    <row r="7260" spans="1:17" x14ac:dyDescent="0.2">
      <c r="A7260" t="s">
        <v>5740</v>
      </c>
      <c r="B7260" t="s">
        <v>5750</v>
      </c>
      <c r="C7260">
        <v>5</v>
      </c>
      <c r="D7260" t="s">
        <v>5732</v>
      </c>
      <c r="E7260" s="8" t="s">
        <v>5155</v>
      </c>
      <c r="F7260" t="s">
        <v>1389</v>
      </c>
      <c r="G7260">
        <v>5</v>
      </c>
      <c r="Q7260" t="s">
        <v>8502</v>
      </c>
    </row>
    <row r="7261" spans="1:17" x14ac:dyDescent="0.2">
      <c r="A7261" t="s">
        <v>5740</v>
      </c>
      <c r="B7261" t="s">
        <v>5750</v>
      </c>
      <c r="C7261">
        <v>5</v>
      </c>
      <c r="D7261" t="s">
        <v>5732</v>
      </c>
      <c r="E7261" s="8" t="s">
        <v>5156</v>
      </c>
      <c r="F7261" t="s">
        <v>1389</v>
      </c>
      <c r="G7261">
        <v>2</v>
      </c>
      <c r="Q7261" t="s">
        <v>8501</v>
      </c>
    </row>
    <row r="7262" spans="1:17" x14ac:dyDescent="0.2">
      <c r="A7262" t="s">
        <v>5740</v>
      </c>
      <c r="B7262" t="s">
        <v>5750</v>
      </c>
      <c r="C7262">
        <v>5</v>
      </c>
      <c r="D7262" t="s">
        <v>5732</v>
      </c>
      <c r="E7262" s="8" t="s">
        <v>5157</v>
      </c>
      <c r="F7262" t="s">
        <v>1389</v>
      </c>
      <c r="G7262">
        <v>10</v>
      </c>
      <c r="Q7262" t="s">
        <v>8500</v>
      </c>
    </row>
    <row r="7263" spans="1:17" x14ac:dyDescent="0.2">
      <c r="A7263" t="s">
        <v>5740</v>
      </c>
      <c r="B7263" t="s">
        <v>5750</v>
      </c>
      <c r="C7263">
        <v>5</v>
      </c>
      <c r="D7263" t="s">
        <v>5732</v>
      </c>
      <c r="E7263" s="8" t="s">
        <v>5158</v>
      </c>
      <c r="F7263" t="s">
        <v>1389</v>
      </c>
      <c r="G7263">
        <v>2</v>
      </c>
      <c r="Q7263" t="s">
        <v>8499</v>
      </c>
    </row>
    <row r="7264" spans="1:17" x14ac:dyDescent="0.2">
      <c r="A7264" t="s">
        <v>5740</v>
      </c>
      <c r="B7264" t="s">
        <v>5750</v>
      </c>
      <c r="C7264">
        <v>5</v>
      </c>
      <c r="D7264" t="s">
        <v>5732</v>
      </c>
      <c r="E7264" s="8" t="s">
        <v>5172</v>
      </c>
      <c r="F7264" t="s">
        <v>1389</v>
      </c>
      <c r="G7264">
        <v>20</v>
      </c>
      <c r="M7264">
        <v>5</v>
      </c>
    </row>
    <row r="7265" spans="1:17" x14ac:dyDescent="0.2">
      <c r="A7265" t="s">
        <v>5740</v>
      </c>
      <c r="B7265" t="s">
        <v>5750</v>
      </c>
      <c r="C7265">
        <v>5</v>
      </c>
      <c r="D7265" t="s">
        <v>5732</v>
      </c>
      <c r="E7265" t="s">
        <v>5056</v>
      </c>
      <c r="F7265" t="s">
        <v>1389</v>
      </c>
      <c r="G7265">
        <v>269</v>
      </c>
      <c r="M7265">
        <v>77</v>
      </c>
    </row>
    <row r="7266" spans="1:17" x14ac:dyDescent="0.2">
      <c r="A7266" t="s">
        <v>5740</v>
      </c>
      <c r="B7266" t="s">
        <v>5750</v>
      </c>
      <c r="C7266">
        <v>5</v>
      </c>
      <c r="D7266" t="s">
        <v>5732</v>
      </c>
      <c r="E7266" s="8" t="s">
        <v>5147</v>
      </c>
      <c r="F7266" t="s">
        <v>2836</v>
      </c>
      <c r="G7266">
        <v>313</v>
      </c>
      <c r="O7266" t="s">
        <v>5757</v>
      </c>
    </row>
    <row r="7267" spans="1:17" x14ac:dyDescent="0.2">
      <c r="A7267" t="s">
        <v>5740</v>
      </c>
      <c r="B7267" t="s">
        <v>5750</v>
      </c>
      <c r="C7267">
        <v>5</v>
      </c>
      <c r="D7267" t="s">
        <v>5732</v>
      </c>
      <c r="E7267" s="8" t="s">
        <v>5152</v>
      </c>
      <c r="F7267" t="s">
        <v>3875</v>
      </c>
      <c r="G7267">
        <v>110</v>
      </c>
    </row>
    <row r="7268" spans="1:17" x14ac:dyDescent="0.2">
      <c r="A7268" t="s">
        <v>5740</v>
      </c>
      <c r="B7268" t="s">
        <v>5750</v>
      </c>
      <c r="C7268">
        <v>5</v>
      </c>
      <c r="D7268" t="s">
        <v>5732</v>
      </c>
      <c r="E7268" s="8" t="s">
        <v>5151</v>
      </c>
      <c r="F7268" t="s">
        <v>106</v>
      </c>
      <c r="G7268">
        <v>2</v>
      </c>
    </row>
    <row r="7269" spans="1:17" x14ac:dyDescent="0.2">
      <c r="A7269" t="s">
        <v>5740</v>
      </c>
      <c r="B7269" t="s">
        <v>5750</v>
      </c>
      <c r="C7269">
        <v>5</v>
      </c>
      <c r="D7269" t="s">
        <v>5732</v>
      </c>
      <c r="E7269" s="8" t="s">
        <v>5150</v>
      </c>
      <c r="F7269" t="s">
        <v>3431</v>
      </c>
      <c r="G7269">
        <v>1</v>
      </c>
    </row>
    <row r="7270" spans="1:17" x14ac:dyDescent="0.2">
      <c r="A7270" t="s">
        <v>5740</v>
      </c>
      <c r="B7270" t="s">
        <v>5750</v>
      </c>
      <c r="C7270">
        <v>5</v>
      </c>
      <c r="D7270" t="s">
        <v>5732</v>
      </c>
      <c r="E7270" s="8" t="s">
        <v>5149</v>
      </c>
      <c r="F7270" t="s">
        <v>116</v>
      </c>
      <c r="G7270">
        <v>1</v>
      </c>
    </row>
    <row r="7271" spans="1:17" x14ac:dyDescent="0.2">
      <c r="A7271" t="s">
        <v>5740</v>
      </c>
      <c r="B7271" t="s">
        <v>5750</v>
      </c>
      <c r="C7271">
        <v>5</v>
      </c>
      <c r="D7271" t="s">
        <v>5732</v>
      </c>
      <c r="E7271" s="8" t="s">
        <v>5148</v>
      </c>
      <c r="F7271" t="s">
        <v>7138</v>
      </c>
      <c r="G7271">
        <v>4</v>
      </c>
      <c r="Q7271" t="s">
        <v>8504</v>
      </c>
    </row>
    <row r="7272" spans="1:17" x14ac:dyDescent="0.2">
      <c r="A7272" t="s">
        <v>5740</v>
      </c>
      <c r="B7272" t="s">
        <v>5750</v>
      </c>
      <c r="C7272">
        <v>5</v>
      </c>
      <c r="D7272" t="s">
        <v>5732</v>
      </c>
      <c r="E7272" s="8" t="s">
        <v>5081</v>
      </c>
      <c r="F7272" t="s">
        <v>1425</v>
      </c>
      <c r="G7272">
        <v>37</v>
      </c>
      <c r="Q7272" t="s">
        <v>8506</v>
      </c>
    </row>
    <row r="7273" spans="1:17" x14ac:dyDescent="0.2">
      <c r="A7273" t="s">
        <v>5740</v>
      </c>
      <c r="B7273" t="s">
        <v>5750</v>
      </c>
      <c r="C7273">
        <v>5</v>
      </c>
      <c r="D7273" t="s">
        <v>5732</v>
      </c>
      <c r="E7273" s="8" t="s">
        <v>5089</v>
      </c>
      <c r="F7273" t="s">
        <v>1425</v>
      </c>
      <c r="G7273">
        <v>39</v>
      </c>
      <c r="Q7273" t="s">
        <v>8507</v>
      </c>
    </row>
    <row r="7274" spans="1:17" x14ac:dyDescent="0.2">
      <c r="A7274" t="s">
        <v>5740</v>
      </c>
      <c r="B7274" t="s">
        <v>5750</v>
      </c>
      <c r="C7274">
        <v>5</v>
      </c>
      <c r="D7274" t="s">
        <v>5732</v>
      </c>
      <c r="E7274" s="8" t="s">
        <v>5090</v>
      </c>
      <c r="F7274" t="s">
        <v>1425</v>
      </c>
      <c r="G7274">
        <v>27</v>
      </c>
      <c r="Q7274" t="s">
        <v>8508</v>
      </c>
    </row>
    <row r="7275" spans="1:17" x14ac:dyDescent="0.2">
      <c r="A7275" t="s">
        <v>5740</v>
      </c>
      <c r="B7275" t="s">
        <v>5750</v>
      </c>
      <c r="C7275">
        <v>5</v>
      </c>
      <c r="D7275" t="s">
        <v>5732</v>
      </c>
      <c r="E7275" s="8" t="s">
        <v>5091</v>
      </c>
      <c r="F7275" t="s">
        <v>1425</v>
      </c>
      <c r="G7275">
        <v>37</v>
      </c>
      <c r="Q7275" t="s">
        <v>8509</v>
      </c>
    </row>
    <row r="7276" spans="1:17" x14ac:dyDescent="0.2">
      <c r="A7276" t="s">
        <v>5740</v>
      </c>
      <c r="B7276" t="s">
        <v>5750</v>
      </c>
      <c r="C7276">
        <v>5</v>
      </c>
      <c r="D7276" t="s">
        <v>5732</v>
      </c>
      <c r="E7276" s="8" t="s">
        <v>5092</v>
      </c>
      <c r="F7276" t="s">
        <v>1425</v>
      </c>
      <c r="G7276">
        <v>10</v>
      </c>
      <c r="Q7276" t="s">
        <v>8510</v>
      </c>
    </row>
    <row r="7277" spans="1:17" x14ac:dyDescent="0.2">
      <c r="A7277" t="s">
        <v>5740</v>
      </c>
      <c r="B7277" t="s">
        <v>5750</v>
      </c>
      <c r="C7277">
        <v>5</v>
      </c>
      <c r="D7277" t="s">
        <v>5732</v>
      </c>
      <c r="E7277" s="8" t="s">
        <v>5094</v>
      </c>
      <c r="F7277" t="s">
        <v>1425</v>
      </c>
      <c r="G7277">
        <v>11</v>
      </c>
      <c r="Q7277" t="s">
        <v>8511</v>
      </c>
    </row>
    <row r="7278" spans="1:17" x14ac:dyDescent="0.2">
      <c r="A7278" t="s">
        <v>5740</v>
      </c>
      <c r="B7278" t="s">
        <v>5750</v>
      </c>
      <c r="C7278">
        <v>5</v>
      </c>
      <c r="D7278" t="s">
        <v>5732</v>
      </c>
      <c r="E7278" s="8" t="s">
        <v>5153</v>
      </c>
      <c r="F7278" t="s">
        <v>1425</v>
      </c>
      <c r="G7278">
        <v>6</v>
      </c>
    </row>
    <row r="7279" spans="1:17" x14ac:dyDescent="0.2">
      <c r="A7279" t="s">
        <v>5740</v>
      </c>
      <c r="B7279" t="s">
        <v>5750</v>
      </c>
      <c r="C7279">
        <v>5</v>
      </c>
      <c r="D7279" t="s">
        <v>5732</v>
      </c>
      <c r="E7279" s="8" t="s">
        <v>5143</v>
      </c>
      <c r="F7279" t="s">
        <v>1425</v>
      </c>
      <c r="G7279">
        <v>5</v>
      </c>
    </row>
    <row r="7280" spans="1:17" x14ac:dyDescent="0.2">
      <c r="A7280" t="s">
        <v>5740</v>
      </c>
      <c r="B7280" t="s">
        <v>5750</v>
      </c>
      <c r="C7280">
        <v>5</v>
      </c>
      <c r="D7280" t="s">
        <v>5732</v>
      </c>
      <c r="E7280" s="8" t="s">
        <v>5098</v>
      </c>
      <c r="F7280" t="s">
        <v>1538</v>
      </c>
      <c r="G7280">
        <v>46</v>
      </c>
      <c r="Q7280" t="s">
        <v>8512</v>
      </c>
    </row>
    <row r="7281" spans="1:17" x14ac:dyDescent="0.2">
      <c r="A7281" t="s">
        <v>5740</v>
      </c>
      <c r="B7281" t="s">
        <v>5750</v>
      </c>
      <c r="C7281">
        <v>5</v>
      </c>
      <c r="D7281" t="s">
        <v>5732</v>
      </c>
      <c r="E7281" s="8" t="s">
        <v>5166</v>
      </c>
      <c r="F7281" t="s">
        <v>1538</v>
      </c>
      <c r="G7281">
        <v>16</v>
      </c>
      <c r="Q7281" t="s">
        <v>8513</v>
      </c>
    </row>
    <row r="7282" spans="1:17" x14ac:dyDescent="0.2">
      <c r="A7282" t="s">
        <v>5740</v>
      </c>
      <c r="B7282" t="s">
        <v>5750</v>
      </c>
      <c r="C7282">
        <v>5</v>
      </c>
      <c r="D7282" t="s">
        <v>5732</v>
      </c>
      <c r="E7282" s="8" t="s">
        <v>5167</v>
      </c>
      <c r="F7282" t="s">
        <v>1538</v>
      </c>
      <c r="G7282">
        <v>11</v>
      </c>
      <c r="Q7282" t="s">
        <v>8516</v>
      </c>
    </row>
    <row r="7283" spans="1:17" x14ac:dyDescent="0.2">
      <c r="A7283" t="s">
        <v>5740</v>
      </c>
      <c r="B7283" t="s">
        <v>5750</v>
      </c>
      <c r="C7283">
        <v>5</v>
      </c>
      <c r="D7283" t="s">
        <v>5732</v>
      </c>
      <c r="E7283" s="8" t="s">
        <v>5168</v>
      </c>
      <c r="F7283" t="s">
        <v>1538</v>
      </c>
      <c r="G7283">
        <v>8</v>
      </c>
      <c r="Q7283" t="s">
        <v>8515</v>
      </c>
    </row>
    <row r="7284" spans="1:17" x14ac:dyDescent="0.2">
      <c r="A7284" t="s">
        <v>5740</v>
      </c>
      <c r="B7284" t="s">
        <v>5750</v>
      </c>
      <c r="C7284">
        <v>5</v>
      </c>
      <c r="D7284" t="s">
        <v>5732</v>
      </c>
      <c r="E7284" s="8" t="s">
        <v>5169</v>
      </c>
      <c r="F7284" t="s">
        <v>1538</v>
      </c>
      <c r="G7284">
        <v>2</v>
      </c>
      <c r="Q7284" t="s">
        <v>8517</v>
      </c>
    </row>
    <row r="7285" spans="1:17" x14ac:dyDescent="0.2">
      <c r="A7285" t="s">
        <v>5740</v>
      </c>
      <c r="B7285" t="s">
        <v>5750</v>
      </c>
      <c r="C7285">
        <v>5</v>
      </c>
      <c r="D7285" t="s">
        <v>5732</v>
      </c>
      <c r="E7285" s="8" t="s">
        <v>5170</v>
      </c>
      <c r="F7285" t="s">
        <v>1538</v>
      </c>
      <c r="G7285">
        <v>5</v>
      </c>
      <c r="Q7285" t="s">
        <v>8514</v>
      </c>
    </row>
    <row r="7286" spans="1:17" x14ac:dyDescent="0.2">
      <c r="A7286" t="s">
        <v>5740</v>
      </c>
      <c r="B7286" t="s">
        <v>5750</v>
      </c>
      <c r="C7286">
        <v>5</v>
      </c>
      <c r="D7286" t="s">
        <v>5732</v>
      </c>
      <c r="E7286" s="8" t="s">
        <v>5097</v>
      </c>
      <c r="F7286" t="s">
        <v>7990</v>
      </c>
      <c r="G7286">
        <v>3</v>
      </c>
      <c r="P7286" t="s">
        <v>300</v>
      </c>
      <c r="Q7286" t="s">
        <v>8505</v>
      </c>
    </row>
    <row r="7287" spans="1:17" x14ac:dyDescent="0.2">
      <c r="A7287" t="s">
        <v>5740</v>
      </c>
      <c r="B7287" t="s">
        <v>5750</v>
      </c>
      <c r="C7287">
        <v>5</v>
      </c>
      <c r="D7287" t="s">
        <v>5732</v>
      </c>
      <c r="E7287" s="8" t="s">
        <v>5144</v>
      </c>
      <c r="F7287" t="s">
        <v>1538</v>
      </c>
      <c r="G7287" t="s">
        <v>114</v>
      </c>
      <c r="Q7287" t="s">
        <v>8524</v>
      </c>
    </row>
    <row r="7288" spans="1:17" x14ac:dyDescent="0.2">
      <c r="A7288" t="s">
        <v>5740</v>
      </c>
      <c r="B7288" t="s">
        <v>5750</v>
      </c>
      <c r="C7288">
        <v>5</v>
      </c>
      <c r="D7288" t="s">
        <v>5732</v>
      </c>
      <c r="E7288" s="8" t="s">
        <v>5082</v>
      </c>
      <c r="F7288" t="s">
        <v>8525</v>
      </c>
      <c r="G7288" t="s">
        <v>114</v>
      </c>
      <c r="O7288" t="s">
        <v>8526</v>
      </c>
      <c r="Q7288" t="s">
        <v>8521</v>
      </c>
    </row>
    <row r="7289" spans="1:17" x14ac:dyDescent="0.2">
      <c r="A7289" t="s">
        <v>5740</v>
      </c>
      <c r="B7289" t="s">
        <v>5750</v>
      </c>
      <c r="C7289">
        <v>5</v>
      </c>
      <c r="D7289" t="s">
        <v>5732</v>
      </c>
      <c r="E7289" s="8" t="s">
        <v>5140</v>
      </c>
      <c r="F7289" t="s">
        <v>6978</v>
      </c>
      <c r="G7289" t="s">
        <v>114</v>
      </c>
      <c r="Q7289" t="s">
        <v>8523</v>
      </c>
    </row>
    <row r="7290" spans="1:17" x14ac:dyDescent="0.2">
      <c r="A7290" t="s">
        <v>5740</v>
      </c>
      <c r="B7290" t="s">
        <v>5750</v>
      </c>
      <c r="C7290">
        <v>5</v>
      </c>
      <c r="D7290" t="s">
        <v>5732</v>
      </c>
      <c r="E7290" s="8" t="s">
        <v>5171</v>
      </c>
      <c r="F7290" t="s">
        <v>8475</v>
      </c>
      <c r="G7290">
        <v>8</v>
      </c>
      <c r="Q7290" t="s">
        <v>8518</v>
      </c>
    </row>
    <row r="7291" spans="1:17" x14ac:dyDescent="0.2">
      <c r="A7291" t="s">
        <v>5740</v>
      </c>
      <c r="B7291" t="s">
        <v>5750</v>
      </c>
      <c r="C7291">
        <v>5</v>
      </c>
      <c r="D7291" t="s">
        <v>5732</v>
      </c>
      <c r="E7291" s="8" t="s">
        <v>5142</v>
      </c>
      <c r="F7291" t="s">
        <v>2684</v>
      </c>
      <c r="G7291">
        <v>1</v>
      </c>
      <c r="O7291" t="s">
        <v>8520</v>
      </c>
      <c r="Q7291" t="s">
        <v>8519</v>
      </c>
    </row>
    <row r="7292" spans="1:17" x14ac:dyDescent="0.2">
      <c r="A7292" t="s">
        <v>5740</v>
      </c>
      <c r="B7292" t="s">
        <v>5750</v>
      </c>
      <c r="C7292">
        <v>5</v>
      </c>
      <c r="D7292" t="s">
        <v>5732</v>
      </c>
      <c r="E7292" s="8" t="s">
        <v>5141</v>
      </c>
      <c r="F7292" t="s">
        <v>6978</v>
      </c>
      <c r="G7292" t="s">
        <v>114</v>
      </c>
      <c r="Q7292" t="s">
        <v>8522</v>
      </c>
    </row>
    <row r="7293" spans="1:17" x14ac:dyDescent="0.2">
      <c r="A7293" t="s">
        <v>5740</v>
      </c>
      <c r="B7293" t="s">
        <v>5750</v>
      </c>
      <c r="C7293">
        <v>5</v>
      </c>
      <c r="D7293" t="s">
        <v>5732</v>
      </c>
      <c r="E7293" s="8" t="s">
        <v>5145</v>
      </c>
      <c r="F7293" t="s">
        <v>6239</v>
      </c>
      <c r="G7293">
        <v>1</v>
      </c>
      <c r="M7293">
        <v>3</v>
      </c>
      <c r="Q7293" t="s">
        <v>8521</v>
      </c>
    </row>
    <row r="7294" spans="1:17" x14ac:dyDescent="0.2">
      <c r="A7294" t="s">
        <v>5740</v>
      </c>
      <c r="B7294" t="s">
        <v>5750</v>
      </c>
      <c r="C7294">
        <v>1</v>
      </c>
      <c r="D7294" t="s">
        <v>5732</v>
      </c>
      <c r="E7294" t="s">
        <v>5056</v>
      </c>
      <c r="F7294" t="s">
        <v>1264</v>
      </c>
      <c r="H7294">
        <f>7.5-0.408</f>
        <v>7.0919999999999996</v>
      </c>
    </row>
    <row r="7295" spans="1:17" x14ac:dyDescent="0.2">
      <c r="A7295" t="s">
        <v>5740</v>
      </c>
      <c r="B7295" t="s">
        <v>5750</v>
      </c>
      <c r="C7295">
        <v>1</v>
      </c>
      <c r="D7295" t="s">
        <v>5732</v>
      </c>
      <c r="E7295" s="8" t="s">
        <v>5092</v>
      </c>
      <c r="F7295" t="s">
        <v>2836</v>
      </c>
      <c r="H7295">
        <f>1.4-0.295</f>
        <v>1.105</v>
      </c>
    </row>
    <row r="7296" spans="1:17" x14ac:dyDescent="0.2">
      <c r="A7296" t="s">
        <v>5740</v>
      </c>
      <c r="B7296" t="s">
        <v>5750</v>
      </c>
      <c r="C7296">
        <v>1</v>
      </c>
      <c r="D7296" t="s">
        <v>5732</v>
      </c>
      <c r="E7296" s="8" t="s">
        <v>5091</v>
      </c>
      <c r="F7296" t="s">
        <v>2185</v>
      </c>
      <c r="H7296">
        <f>1.5-0.421</f>
        <v>1.079</v>
      </c>
    </row>
    <row r="7297" spans="1:17" x14ac:dyDescent="0.2">
      <c r="A7297" t="s">
        <v>5740</v>
      </c>
      <c r="B7297" t="s">
        <v>5750</v>
      </c>
      <c r="C7297">
        <v>1</v>
      </c>
      <c r="D7297" t="s">
        <v>5732</v>
      </c>
      <c r="E7297" s="8" t="s">
        <v>5094</v>
      </c>
      <c r="F7297" t="s">
        <v>5651</v>
      </c>
      <c r="G7297">
        <v>155</v>
      </c>
    </row>
    <row r="7298" spans="1:17" x14ac:dyDescent="0.2">
      <c r="A7298" t="s">
        <v>5740</v>
      </c>
      <c r="B7298" t="s">
        <v>5750</v>
      </c>
      <c r="C7298">
        <v>1</v>
      </c>
      <c r="D7298" t="s">
        <v>5732</v>
      </c>
      <c r="E7298" s="8" t="s">
        <v>5090</v>
      </c>
      <c r="F7298" t="s">
        <v>5761</v>
      </c>
      <c r="G7298">
        <v>125</v>
      </c>
      <c r="M7298">
        <v>8</v>
      </c>
    </row>
    <row r="7299" spans="1:17" x14ac:dyDescent="0.2">
      <c r="A7299" t="s">
        <v>5740</v>
      </c>
      <c r="B7299" t="s">
        <v>5750</v>
      </c>
      <c r="C7299">
        <v>1</v>
      </c>
      <c r="D7299" t="s">
        <v>5732</v>
      </c>
      <c r="E7299" s="8" t="s">
        <v>5089</v>
      </c>
      <c r="F7299" t="s">
        <v>5762</v>
      </c>
      <c r="G7299">
        <v>97</v>
      </c>
    </row>
    <row r="7300" spans="1:17" x14ac:dyDescent="0.2">
      <c r="A7300" t="s">
        <v>5740</v>
      </c>
      <c r="B7300" t="s">
        <v>5750</v>
      </c>
      <c r="C7300">
        <v>1</v>
      </c>
      <c r="D7300" t="s">
        <v>5732</v>
      </c>
      <c r="E7300" s="8" t="s">
        <v>5092</v>
      </c>
      <c r="F7300" t="s">
        <v>827</v>
      </c>
      <c r="G7300">
        <v>58</v>
      </c>
    </row>
    <row r="7301" spans="1:17" x14ac:dyDescent="0.2">
      <c r="A7301" t="s">
        <v>5740</v>
      </c>
      <c r="B7301" t="s">
        <v>5750</v>
      </c>
      <c r="C7301">
        <v>1</v>
      </c>
      <c r="D7301" t="s">
        <v>5732</v>
      </c>
      <c r="E7301" s="8" t="s">
        <v>5082</v>
      </c>
      <c r="F7301" t="s">
        <v>5763</v>
      </c>
      <c r="G7301">
        <v>1</v>
      </c>
    </row>
    <row r="7302" spans="1:17" x14ac:dyDescent="0.2">
      <c r="A7302" t="s">
        <v>5740</v>
      </c>
      <c r="B7302" t="s">
        <v>5750</v>
      </c>
      <c r="C7302" t="s">
        <v>462</v>
      </c>
      <c r="D7302" t="s">
        <v>5732</v>
      </c>
      <c r="E7302" t="s">
        <v>462</v>
      </c>
      <c r="F7302" t="s">
        <v>5764</v>
      </c>
      <c r="G7302">
        <v>140</v>
      </c>
    </row>
    <row r="7303" spans="1:17" x14ac:dyDescent="0.2">
      <c r="A7303" t="s">
        <v>5740</v>
      </c>
      <c r="B7303" t="s">
        <v>5750</v>
      </c>
      <c r="C7303">
        <v>6</v>
      </c>
      <c r="D7303" t="s">
        <v>5732</v>
      </c>
      <c r="E7303" s="8" t="s">
        <v>5151</v>
      </c>
      <c r="F7303" t="s">
        <v>1264</v>
      </c>
      <c r="H7303">
        <f>7.9-0.344</f>
        <v>7.556</v>
      </c>
      <c r="O7303" t="s">
        <v>5753</v>
      </c>
    </row>
    <row r="7304" spans="1:17" x14ac:dyDescent="0.2">
      <c r="A7304" t="s">
        <v>5740</v>
      </c>
      <c r="B7304" t="s">
        <v>5750</v>
      </c>
      <c r="C7304">
        <v>6</v>
      </c>
      <c r="D7304" t="s">
        <v>5732</v>
      </c>
      <c r="E7304" s="8" t="s">
        <v>5160</v>
      </c>
      <c r="F7304" t="s">
        <v>2836</v>
      </c>
      <c r="H7304">
        <v>1.252</v>
      </c>
    </row>
    <row r="7305" spans="1:17" x14ac:dyDescent="0.2">
      <c r="A7305" t="s">
        <v>5740</v>
      </c>
      <c r="B7305" t="s">
        <v>5750</v>
      </c>
      <c r="C7305">
        <v>6</v>
      </c>
      <c r="D7305" t="s">
        <v>5732</v>
      </c>
      <c r="E7305" s="8" t="s">
        <v>5152</v>
      </c>
      <c r="F7305" t="s">
        <v>8530</v>
      </c>
      <c r="G7305">
        <v>4</v>
      </c>
      <c r="M7305">
        <v>5</v>
      </c>
      <c r="O7305" t="s">
        <v>8529</v>
      </c>
      <c r="Q7305" t="s">
        <v>8528</v>
      </c>
    </row>
    <row r="7306" spans="1:17" x14ac:dyDescent="0.2">
      <c r="A7306" t="s">
        <v>5740</v>
      </c>
      <c r="B7306" t="s">
        <v>5750</v>
      </c>
      <c r="C7306">
        <v>6</v>
      </c>
      <c r="D7306" t="s">
        <v>5732</v>
      </c>
      <c r="E7306" s="8" t="s">
        <v>5153</v>
      </c>
      <c r="F7306" t="s">
        <v>8211</v>
      </c>
      <c r="G7306">
        <v>227</v>
      </c>
      <c r="M7306">
        <v>5.5</v>
      </c>
      <c r="O7306" t="s">
        <v>8527</v>
      </c>
      <c r="Q7306" t="s">
        <v>8528</v>
      </c>
    </row>
    <row r="7307" spans="1:17" x14ac:dyDescent="0.2">
      <c r="A7307" t="s">
        <v>5740</v>
      </c>
      <c r="B7307" t="s">
        <v>5750</v>
      </c>
      <c r="C7307">
        <v>6</v>
      </c>
      <c r="D7307" t="s">
        <v>5732</v>
      </c>
      <c r="E7307" s="8" t="s">
        <v>5154</v>
      </c>
      <c r="F7307" t="s">
        <v>1389</v>
      </c>
      <c r="G7307">
        <v>7</v>
      </c>
      <c r="Q7307" t="s">
        <v>8535</v>
      </c>
    </row>
    <row r="7308" spans="1:17" x14ac:dyDescent="0.2">
      <c r="A7308" t="s">
        <v>5740</v>
      </c>
      <c r="B7308" t="s">
        <v>5750</v>
      </c>
      <c r="C7308">
        <v>6</v>
      </c>
      <c r="D7308" t="s">
        <v>5732</v>
      </c>
      <c r="E7308" s="8" t="s">
        <v>5155</v>
      </c>
      <c r="F7308" t="s">
        <v>1389</v>
      </c>
      <c r="G7308">
        <v>2</v>
      </c>
      <c r="Q7308" t="s">
        <v>8534</v>
      </c>
    </row>
    <row r="7309" spans="1:17" x14ac:dyDescent="0.2">
      <c r="A7309" t="s">
        <v>5740</v>
      </c>
      <c r="B7309" t="s">
        <v>5750</v>
      </c>
      <c r="C7309">
        <v>6</v>
      </c>
      <c r="D7309" t="s">
        <v>5732</v>
      </c>
      <c r="E7309" s="8" t="s">
        <v>5156</v>
      </c>
      <c r="F7309" t="s">
        <v>1389</v>
      </c>
      <c r="G7309">
        <v>2</v>
      </c>
      <c r="Q7309" t="s">
        <v>8533</v>
      </c>
    </row>
    <row r="7310" spans="1:17" x14ac:dyDescent="0.2">
      <c r="A7310" t="s">
        <v>5740</v>
      </c>
      <c r="B7310" t="s">
        <v>5750</v>
      </c>
      <c r="C7310">
        <v>6</v>
      </c>
      <c r="D7310" t="s">
        <v>5732</v>
      </c>
      <c r="E7310" s="8" t="s">
        <v>5157</v>
      </c>
      <c r="F7310" t="s">
        <v>1389</v>
      </c>
      <c r="G7310">
        <v>5</v>
      </c>
      <c r="Q7310" t="s">
        <v>8532</v>
      </c>
    </row>
    <row r="7311" spans="1:17" x14ac:dyDescent="0.2">
      <c r="A7311" t="s">
        <v>5740</v>
      </c>
      <c r="B7311" t="s">
        <v>5750</v>
      </c>
      <c r="C7311">
        <v>6</v>
      </c>
      <c r="D7311" t="s">
        <v>5732</v>
      </c>
      <c r="E7311" s="8" t="s">
        <v>5158</v>
      </c>
      <c r="F7311" t="s">
        <v>1389</v>
      </c>
      <c r="G7311">
        <v>7</v>
      </c>
      <c r="Q7311" t="s">
        <v>8531</v>
      </c>
    </row>
    <row r="7312" spans="1:17" x14ac:dyDescent="0.2">
      <c r="A7312" t="s">
        <v>5740</v>
      </c>
      <c r="B7312" t="s">
        <v>5750</v>
      </c>
      <c r="C7312">
        <v>6</v>
      </c>
      <c r="D7312" t="s">
        <v>5732</v>
      </c>
      <c r="E7312" s="8" t="s">
        <v>5172</v>
      </c>
      <c r="F7312" t="s">
        <v>1389</v>
      </c>
      <c r="G7312">
        <v>23</v>
      </c>
      <c r="M7312">
        <v>5</v>
      </c>
    </row>
    <row r="7313" spans="1:17" x14ac:dyDescent="0.2">
      <c r="A7313" t="s">
        <v>5740</v>
      </c>
      <c r="B7313" t="s">
        <v>5750</v>
      </c>
      <c r="C7313">
        <v>6</v>
      </c>
      <c r="D7313" t="s">
        <v>5732</v>
      </c>
      <c r="E7313" s="8" t="s">
        <v>5056</v>
      </c>
      <c r="F7313" t="s">
        <v>1389</v>
      </c>
      <c r="G7313">
        <v>69</v>
      </c>
      <c r="M7313">
        <v>19</v>
      </c>
    </row>
    <row r="7314" spans="1:17" x14ac:dyDescent="0.2">
      <c r="A7314" t="s">
        <v>5740</v>
      </c>
      <c r="B7314" t="s">
        <v>5750</v>
      </c>
      <c r="C7314">
        <v>6</v>
      </c>
      <c r="D7314" t="s">
        <v>5732</v>
      </c>
      <c r="E7314" s="8" t="s">
        <v>5173</v>
      </c>
      <c r="F7314" t="s">
        <v>6239</v>
      </c>
      <c r="G7314">
        <v>1</v>
      </c>
      <c r="Q7314" t="s">
        <v>8536</v>
      </c>
    </row>
    <row r="7315" spans="1:17" x14ac:dyDescent="0.2">
      <c r="A7315" t="s">
        <v>5740</v>
      </c>
      <c r="B7315" t="s">
        <v>5750</v>
      </c>
      <c r="C7315">
        <v>6</v>
      </c>
      <c r="D7315" t="s">
        <v>5732</v>
      </c>
      <c r="E7315" s="8" t="s">
        <v>5174</v>
      </c>
      <c r="F7315" t="s">
        <v>6239</v>
      </c>
      <c r="G7315">
        <v>1</v>
      </c>
      <c r="Q7315" t="s">
        <v>8537</v>
      </c>
    </row>
    <row r="7316" spans="1:17" x14ac:dyDescent="0.2">
      <c r="A7316" t="s">
        <v>5740</v>
      </c>
      <c r="B7316" t="s">
        <v>5750</v>
      </c>
      <c r="C7316">
        <v>6</v>
      </c>
      <c r="D7316" t="s">
        <v>5732</v>
      </c>
      <c r="E7316" s="8" t="s">
        <v>5175</v>
      </c>
      <c r="F7316" t="s">
        <v>6239</v>
      </c>
      <c r="G7316">
        <v>1</v>
      </c>
      <c r="Q7316" t="s">
        <v>8538</v>
      </c>
    </row>
    <row r="7317" spans="1:17" x14ac:dyDescent="0.2">
      <c r="A7317" t="s">
        <v>5740</v>
      </c>
      <c r="B7317" t="s">
        <v>5750</v>
      </c>
      <c r="C7317">
        <v>6</v>
      </c>
      <c r="D7317" t="s">
        <v>5732</v>
      </c>
      <c r="E7317" s="8" t="s">
        <v>5139</v>
      </c>
      <c r="F7317" t="s">
        <v>6239</v>
      </c>
      <c r="G7317">
        <v>1</v>
      </c>
      <c r="Q7317" t="s">
        <v>8539</v>
      </c>
    </row>
    <row r="7318" spans="1:17" x14ac:dyDescent="0.2">
      <c r="A7318" t="s">
        <v>5740</v>
      </c>
      <c r="B7318" t="s">
        <v>5750</v>
      </c>
      <c r="C7318">
        <v>6</v>
      </c>
      <c r="D7318" t="s">
        <v>5732</v>
      </c>
      <c r="E7318" s="8" t="s">
        <v>5162</v>
      </c>
      <c r="F7318" t="s">
        <v>6239</v>
      </c>
      <c r="G7318">
        <v>1</v>
      </c>
      <c r="Q7318" t="s">
        <v>8540</v>
      </c>
    </row>
    <row r="7319" spans="1:17" x14ac:dyDescent="0.2">
      <c r="A7319" t="s">
        <v>5740</v>
      </c>
      <c r="B7319" t="s">
        <v>5750</v>
      </c>
      <c r="C7319">
        <v>6</v>
      </c>
      <c r="D7319" t="s">
        <v>5732</v>
      </c>
      <c r="E7319" s="8" t="s">
        <v>5159</v>
      </c>
      <c r="F7319" t="s">
        <v>6239</v>
      </c>
      <c r="G7319">
        <v>4</v>
      </c>
      <c r="M7319">
        <v>5</v>
      </c>
    </row>
    <row r="7320" spans="1:17" x14ac:dyDescent="0.2">
      <c r="A7320" t="s">
        <v>5740</v>
      </c>
      <c r="B7320" t="s">
        <v>5750</v>
      </c>
      <c r="C7320">
        <v>6</v>
      </c>
      <c r="D7320" t="s">
        <v>5732</v>
      </c>
      <c r="E7320" s="8" t="s">
        <v>5056</v>
      </c>
      <c r="F7320" t="s">
        <v>6239</v>
      </c>
      <c r="G7320">
        <v>16</v>
      </c>
      <c r="M7320">
        <v>19</v>
      </c>
    </row>
    <row r="7321" spans="1:17" x14ac:dyDescent="0.2">
      <c r="A7321" t="s">
        <v>5740</v>
      </c>
      <c r="B7321" t="s">
        <v>5750</v>
      </c>
      <c r="C7321">
        <v>6</v>
      </c>
      <c r="D7321" t="s">
        <v>5732</v>
      </c>
      <c r="E7321" s="8" t="s">
        <v>5081</v>
      </c>
      <c r="F7321" t="s">
        <v>8184</v>
      </c>
      <c r="G7321">
        <v>11</v>
      </c>
      <c r="Q7321" t="s">
        <v>8547</v>
      </c>
    </row>
    <row r="7322" spans="1:17" x14ac:dyDescent="0.2">
      <c r="A7322" t="s">
        <v>5740</v>
      </c>
      <c r="B7322" t="s">
        <v>5750</v>
      </c>
      <c r="C7322">
        <v>6</v>
      </c>
      <c r="D7322" t="s">
        <v>5732</v>
      </c>
      <c r="E7322" s="8" t="s">
        <v>5082</v>
      </c>
      <c r="F7322" t="s">
        <v>8549</v>
      </c>
      <c r="G7322" t="s">
        <v>114</v>
      </c>
      <c r="Q7322" t="s">
        <v>8548</v>
      </c>
    </row>
    <row r="7323" spans="1:17" x14ac:dyDescent="0.2">
      <c r="A7323" t="s">
        <v>5740</v>
      </c>
      <c r="B7323" t="s">
        <v>5750</v>
      </c>
      <c r="C7323">
        <v>6</v>
      </c>
      <c r="D7323" t="s">
        <v>5732</v>
      </c>
      <c r="E7323" s="8" t="s">
        <v>5089</v>
      </c>
      <c r="F7323" t="s">
        <v>6978</v>
      </c>
      <c r="G7323" t="s">
        <v>114</v>
      </c>
      <c r="Q7323" t="s">
        <v>8546</v>
      </c>
    </row>
    <row r="7324" spans="1:17" x14ac:dyDescent="0.2">
      <c r="A7324" t="s">
        <v>5740</v>
      </c>
      <c r="B7324" t="s">
        <v>5750</v>
      </c>
      <c r="C7324">
        <v>6</v>
      </c>
      <c r="D7324" t="s">
        <v>5732</v>
      </c>
      <c r="E7324" s="8" t="s">
        <v>5090</v>
      </c>
      <c r="F7324" t="s">
        <v>6978</v>
      </c>
      <c r="G7324">
        <v>2</v>
      </c>
      <c r="Q7324" t="s">
        <v>8545</v>
      </c>
    </row>
    <row r="7325" spans="1:17" x14ac:dyDescent="0.2">
      <c r="A7325" t="s">
        <v>5740</v>
      </c>
      <c r="B7325" t="s">
        <v>5750</v>
      </c>
      <c r="C7325">
        <v>6</v>
      </c>
      <c r="D7325" t="s">
        <v>5732</v>
      </c>
      <c r="E7325" s="8" t="s">
        <v>5091</v>
      </c>
      <c r="F7325" t="s">
        <v>6978</v>
      </c>
      <c r="G7325">
        <v>3</v>
      </c>
      <c r="Q7325" t="s">
        <v>8544</v>
      </c>
    </row>
    <row r="7326" spans="1:17" x14ac:dyDescent="0.2">
      <c r="A7326" t="s">
        <v>5740</v>
      </c>
      <c r="B7326" t="s">
        <v>5750</v>
      </c>
      <c r="C7326">
        <v>6</v>
      </c>
      <c r="D7326" t="s">
        <v>5732</v>
      </c>
      <c r="E7326" s="8" t="s">
        <v>5092</v>
      </c>
      <c r="F7326" t="s">
        <v>6978</v>
      </c>
      <c r="G7326">
        <v>1</v>
      </c>
      <c r="Q7326" t="s">
        <v>8543</v>
      </c>
    </row>
    <row r="7327" spans="1:17" x14ac:dyDescent="0.2">
      <c r="A7327" t="s">
        <v>5740</v>
      </c>
      <c r="B7327" t="s">
        <v>5750</v>
      </c>
      <c r="C7327">
        <v>6</v>
      </c>
      <c r="D7327" t="s">
        <v>5732</v>
      </c>
      <c r="E7327" s="8" t="s">
        <v>5094</v>
      </c>
      <c r="F7327" t="s">
        <v>6862</v>
      </c>
      <c r="G7327">
        <v>11</v>
      </c>
      <c r="Q7327" t="s">
        <v>8542</v>
      </c>
    </row>
    <row r="7328" spans="1:17" x14ac:dyDescent="0.2">
      <c r="A7328" t="s">
        <v>5740</v>
      </c>
      <c r="B7328" t="s">
        <v>5750</v>
      </c>
      <c r="C7328">
        <v>6</v>
      </c>
      <c r="D7328" t="s">
        <v>5732</v>
      </c>
      <c r="E7328" s="8" t="s">
        <v>5097</v>
      </c>
      <c r="F7328" t="s">
        <v>827</v>
      </c>
      <c r="G7328">
        <v>19</v>
      </c>
      <c r="M7328">
        <v>5</v>
      </c>
    </row>
    <row r="7329" spans="1:17" x14ac:dyDescent="0.2">
      <c r="A7329" t="s">
        <v>5740</v>
      </c>
      <c r="B7329" t="s">
        <v>5750</v>
      </c>
      <c r="C7329">
        <v>6</v>
      </c>
      <c r="D7329" t="s">
        <v>5732</v>
      </c>
      <c r="E7329" s="8" t="s">
        <v>5098</v>
      </c>
      <c r="F7329" t="s">
        <v>7337</v>
      </c>
      <c r="G7329">
        <v>23</v>
      </c>
      <c r="Q7329" t="s">
        <v>8541</v>
      </c>
    </row>
    <row r="7330" spans="1:17" x14ac:dyDescent="0.2">
      <c r="A7330" t="s">
        <v>5740</v>
      </c>
      <c r="B7330" t="s">
        <v>5750</v>
      </c>
      <c r="C7330">
        <v>6</v>
      </c>
      <c r="D7330" t="s">
        <v>5732</v>
      </c>
      <c r="E7330" s="8" t="s">
        <v>5056</v>
      </c>
      <c r="F7330" t="s">
        <v>827</v>
      </c>
      <c r="G7330">
        <v>18</v>
      </c>
      <c r="M7330">
        <v>6</v>
      </c>
    </row>
    <row r="7331" spans="1:17" x14ac:dyDescent="0.2">
      <c r="A7331" t="s">
        <v>5740</v>
      </c>
      <c r="B7331" t="s">
        <v>5750</v>
      </c>
      <c r="C7331">
        <v>6</v>
      </c>
      <c r="D7331" t="s">
        <v>5732</v>
      </c>
      <c r="E7331" s="8" t="s">
        <v>5166</v>
      </c>
      <c r="F7331" t="s">
        <v>1538</v>
      </c>
      <c r="G7331">
        <v>20</v>
      </c>
      <c r="Q7331" t="s">
        <v>8554</v>
      </c>
    </row>
    <row r="7332" spans="1:17" x14ac:dyDescent="0.2">
      <c r="A7332" t="s">
        <v>5740</v>
      </c>
      <c r="B7332" t="s">
        <v>5750</v>
      </c>
      <c r="C7332">
        <v>6</v>
      </c>
      <c r="D7332" t="s">
        <v>5732</v>
      </c>
      <c r="E7332" s="8" t="s">
        <v>5167</v>
      </c>
      <c r="F7332" t="s">
        <v>1538</v>
      </c>
      <c r="G7332">
        <v>9</v>
      </c>
      <c r="Q7332" t="s">
        <v>8553</v>
      </c>
    </row>
    <row r="7333" spans="1:17" x14ac:dyDescent="0.2">
      <c r="A7333" t="s">
        <v>5740</v>
      </c>
      <c r="B7333" t="s">
        <v>5750</v>
      </c>
      <c r="C7333">
        <v>6</v>
      </c>
      <c r="D7333" t="s">
        <v>5732</v>
      </c>
      <c r="E7333" s="8" t="s">
        <v>5168</v>
      </c>
      <c r="F7333" t="s">
        <v>1538</v>
      </c>
      <c r="G7333">
        <v>1</v>
      </c>
      <c r="Q7333" t="s">
        <v>8552</v>
      </c>
    </row>
    <row r="7334" spans="1:17" x14ac:dyDescent="0.2">
      <c r="A7334" t="s">
        <v>5740</v>
      </c>
      <c r="B7334" t="s">
        <v>5750</v>
      </c>
      <c r="C7334">
        <v>6</v>
      </c>
      <c r="D7334" t="s">
        <v>5732</v>
      </c>
      <c r="E7334" s="8" t="s">
        <v>5169</v>
      </c>
      <c r="F7334" t="s">
        <v>1538</v>
      </c>
      <c r="G7334">
        <v>6</v>
      </c>
      <c r="Q7334" t="s">
        <v>8551</v>
      </c>
    </row>
    <row r="7335" spans="1:17" x14ac:dyDescent="0.2">
      <c r="A7335" t="s">
        <v>5740</v>
      </c>
      <c r="B7335" t="s">
        <v>5750</v>
      </c>
      <c r="C7335">
        <v>6</v>
      </c>
      <c r="D7335" t="s">
        <v>5732</v>
      </c>
      <c r="E7335" s="8" t="s">
        <v>5170</v>
      </c>
      <c r="F7335" t="s">
        <v>1538</v>
      </c>
      <c r="G7335">
        <v>4</v>
      </c>
      <c r="Q7335" t="s">
        <v>8550</v>
      </c>
    </row>
    <row r="7336" spans="1:17" x14ac:dyDescent="0.2">
      <c r="A7336" t="s">
        <v>5740</v>
      </c>
      <c r="B7336" t="s">
        <v>5750</v>
      </c>
      <c r="C7336">
        <v>6</v>
      </c>
      <c r="D7336" t="s">
        <v>5732</v>
      </c>
      <c r="E7336" s="8" t="s">
        <v>5171</v>
      </c>
      <c r="F7336" t="s">
        <v>1538</v>
      </c>
      <c r="G7336">
        <v>42</v>
      </c>
      <c r="M7336">
        <v>5</v>
      </c>
    </row>
    <row r="7337" spans="1:17" x14ac:dyDescent="0.2">
      <c r="A7337" t="s">
        <v>5740</v>
      </c>
      <c r="B7337" t="s">
        <v>5750</v>
      </c>
      <c r="C7337">
        <v>6</v>
      </c>
      <c r="D7337" t="s">
        <v>5732</v>
      </c>
      <c r="E7337" t="s">
        <v>5056</v>
      </c>
      <c r="F7337" t="s">
        <v>1538</v>
      </c>
      <c r="G7337">
        <v>55</v>
      </c>
      <c r="M7337">
        <v>14</v>
      </c>
    </row>
    <row r="7338" spans="1:17" x14ac:dyDescent="0.2">
      <c r="A7338" t="s">
        <v>5740</v>
      </c>
      <c r="B7338" t="s">
        <v>5750</v>
      </c>
      <c r="C7338">
        <v>6</v>
      </c>
      <c r="D7338" t="s">
        <v>5732</v>
      </c>
      <c r="E7338" s="8" t="s">
        <v>5140</v>
      </c>
      <c r="F7338" t="s">
        <v>1538</v>
      </c>
      <c r="G7338">
        <v>1</v>
      </c>
      <c r="Q7338" t="s">
        <v>8556</v>
      </c>
    </row>
    <row r="7339" spans="1:17" x14ac:dyDescent="0.2">
      <c r="A7339" t="s">
        <v>5740</v>
      </c>
      <c r="B7339" t="s">
        <v>5750</v>
      </c>
      <c r="C7339">
        <v>6</v>
      </c>
      <c r="D7339" t="s">
        <v>5732</v>
      </c>
      <c r="E7339" s="8" t="s">
        <v>5141</v>
      </c>
      <c r="F7339" t="s">
        <v>1538</v>
      </c>
      <c r="G7339">
        <v>1</v>
      </c>
      <c r="Q7339" t="s">
        <v>8557</v>
      </c>
    </row>
    <row r="7340" spans="1:17" x14ac:dyDescent="0.2">
      <c r="A7340" t="s">
        <v>5740</v>
      </c>
      <c r="B7340" t="s">
        <v>5750</v>
      </c>
      <c r="C7340">
        <v>6</v>
      </c>
      <c r="D7340" t="s">
        <v>5732</v>
      </c>
      <c r="E7340" s="8" t="s">
        <v>5142</v>
      </c>
      <c r="F7340" t="s">
        <v>1538</v>
      </c>
      <c r="G7340">
        <v>1</v>
      </c>
      <c r="Q7340" t="s">
        <v>8558</v>
      </c>
    </row>
    <row r="7341" spans="1:17" x14ac:dyDescent="0.2">
      <c r="A7341" t="s">
        <v>5740</v>
      </c>
      <c r="B7341" t="s">
        <v>5750</v>
      </c>
      <c r="C7341">
        <v>6</v>
      </c>
      <c r="D7341" t="s">
        <v>5732</v>
      </c>
      <c r="E7341" s="8" t="s">
        <v>5143</v>
      </c>
      <c r="F7341" t="s">
        <v>1538</v>
      </c>
      <c r="G7341" t="s">
        <v>114</v>
      </c>
      <c r="Q7341" t="s">
        <v>8559</v>
      </c>
    </row>
    <row r="7342" spans="1:17" x14ac:dyDescent="0.2">
      <c r="A7342" t="s">
        <v>5740</v>
      </c>
      <c r="B7342" t="s">
        <v>5750</v>
      </c>
      <c r="C7342">
        <v>6</v>
      </c>
      <c r="D7342" t="s">
        <v>5732</v>
      </c>
      <c r="E7342" s="8" t="s">
        <v>5144</v>
      </c>
      <c r="F7342" t="s">
        <v>1538</v>
      </c>
      <c r="G7342">
        <v>1</v>
      </c>
      <c r="Q7342" t="s">
        <v>8555</v>
      </c>
    </row>
    <row r="7343" spans="1:17" x14ac:dyDescent="0.2">
      <c r="A7343" t="s">
        <v>5740</v>
      </c>
      <c r="B7343" t="s">
        <v>5750</v>
      </c>
      <c r="C7343">
        <v>6</v>
      </c>
      <c r="D7343" t="s">
        <v>5732</v>
      </c>
      <c r="E7343" s="8" t="s">
        <v>5145</v>
      </c>
      <c r="F7343" t="s">
        <v>1538</v>
      </c>
      <c r="G7343">
        <v>4</v>
      </c>
      <c r="M7343">
        <v>4</v>
      </c>
      <c r="Q7343" t="s">
        <v>8560</v>
      </c>
    </row>
    <row r="7344" spans="1:17" x14ac:dyDescent="0.2">
      <c r="A7344" t="s">
        <v>5740</v>
      </c>
      <c r="B7344" t="s">
        <v>5750</v>
      </c>
      <c r="C7344">
        <v>6</v>
      </c>
      <c r="D7344" t="s">
        <v>5732</v>
      </c>
      <c r="E7344" s="8" t="s">
        <v>5146</v>
      </c>
      <c r="F7344" t="s">
        <v>1425</v>
      </c>
      <c r="G7344">
        <v>11</v>
      </c>
      <c r="Q7344" t="s">
        <v>8561</v>
      </c>
    </row>
    <row r="7345" spans="1:17" x14ac:dyDescent="0.2">
      <c r="A7345" t="s">
        <v>5740</v>
      </c>
      <c r="B7345" t="s">
        <v>5750</v>
      </c>
      <c r="C7345">
        <v>6</v>
      </c>
      <c r="D7345" t="s">
        <v>5732</v>
      </c>
      <c r="E7345" s="8" t="s">
        <v>5147</v>
      </c>
      <c r="F7345" t="s">
        <v>7990</v>
      </c>
      <c r="G7345">
        <v>2</v>
      </c>
      <c r="P7345" t="s">
        <v>300</v>
      </c>
      <c r="Q7345" t="s">
        <v>8562</v>
      </c>
    </row>
    <row r="7346" spans="1:17" x14ac:dyDescent="0.2">
      <c r="A7346" t="s">
        <v>5740</v>
      </c>
      <c r="B7346" t="s">
        <v>5750</v>
      </c>
      <c r="C7346">
        <v>6</v>
      </c>
      <c r="D7346" t="s">
        <v>5732</v>
      </c>
      <c r="E7346" s="8" t="s">
        <v>5148</v>
      </c>
      <c r="F7346" t="s">
        <v>7990</v>
      </c>
      <c r="G7346">
        <v>4</v>
      </c>
      <c r="P7346" t="s">
        <v>300</v>
      </c>
      <c r="Q7346" t="s">
        <v>8563</v>
      </c>
    </row>
    <row r="7347" spans="1:17" x14ac:dyDescent="0.2">
      <c r="A7347" t="s">
        <v>5740</v>
      </c>
      <c r="B7347" t="s">
        <v>5750</v>
      </c>
      <c r="C7347">
        <v>6</v>
      </c>
      <c r="D7347" t="s">
        <v>5732</v>
      </c>
      <c r="E7347" s="8" t="s">
        <v>5149</v>
      </c>
      <c r="F7347" t="s">
        <v>7990</v>
      </c>
      <c r="G7347">
        <v>4</v>
      </c>
      <c r="P7347" t="s">
        <v>300</v>
      </c>
      <c r="Q7347" t="s">
        <v>8564</v>
      </c>
    </row>
    <row r="7348" spans="1:17" x14ac:dyDescent="0.2">
      <c r="A7348" t="s">
        <v>5740</v>
      </c>
      <c r="B7348" t="s">
        <v>5750</v>
      </c>
      <c r="C7348">
        <v>6</v>
      </c>
      <c r="D7348" t="s">
        <v>5732</v>
      </c>
      <c r="E7348" s="8" t="s">
        <v>5150</v>
      </c>
      <c r="F7348" t="s">
        <v>1425</v>
      </c>
      <c r="G7348">
        <v>8</v>
      </c>
    </row>
    <row r="7349" spans="1:17" x14ac:dyDescent="0.2">
      <c r="A7349" t="s">
        <v>5740</v>
      </c>
      <c r="B7349" t="s">
        <v>5750</v>
      </c>
      <c r="C7349">
        <v>6</v>
      </c>
      <c r="D7349" t="s">
        <v>5732</v>
      </c>
      <c r="E7349" s="8" t="s">
        <v>5223</v>
      </c>
      <c r="F7349" t="s">
        <v>1425</v>
      </c>
      <c r="G7349">
        <v>12</v>
      </c>
      <c r="M7349">
        <v>3</v>
      </c>
    </row>
    <row r="7350" spans="1:17" x14ac:dyDescent="0.2">
      <c r="A7350" t="s">
        <v>5740</v>
      </c>
      <c r="B7350" t="s">
        <v>5750</v>
      </c>
      <c r="C7350">
        <v>6</v>
      </c>
      <c r="D7350" t="s">
        <v>5732</v>
      </c>
      <c r="E7350" s="8" t="s">
        <v>5161</v>
      </c>
      <c r="F7350" t="s">
        <v>3875</v>
      </c>
      <c r="G7350">
        <v>36</v>
      </c>
    </row>
    <row r="7351" spans="1:17" x14ac:dyDescent="0.2">
      <c r="A7351" t="s">
        <v>5740</v>
      </c>
      <c r="B7351" t="s">
        <v>5750</v>
      </c>
      <c r="C7351">
        <v>6</v>
      </c>
      <c r="D7351" t="s">
        <v>5732</v>
      </c>
      <c r="E7351" s="8" t="s">
        <v>5189</v>
      </c>
      <c r="F7351" t="s">
        <v>121</v>
      </c>
      <c r="G7351">
        <v>19</v>
      </c>
    </row>
    <row r="7352" spans="1:17" x14ac:dyDescent="0.2">
      <c r="A7352" t="s">
        <v>5740</v>
      </c>
      <c r="B7352" t="s">
        <v>5750</v>
      </c>
      <c r="C7352">
        <v>6</v>
      </c>
      <c r="D7352" t="s">
        <v>5732</v>
      </c>
      <c r="E7352" s="8" t="s">
        <v>5184</v>
      </c>
      <c r="F7352" t="s">
        <v>121</v>
      </c>
      <c r="G7352">
        <v>1</v>
      </c>
      <c r="M7352">
        <v>2</v>
      </c>
    </row>
    <row r="7353" spans="1:17" x14ac:dyDescent="0.2">
      <c r="A7353" t="s">
        <v>5740</v>
      </c>
      <c r="B7353" t="s">
        <v>5750</v>
      </c>
      <c r="C7353">
        <v>6</v>
      </c>
      <c r="D7353" t="s">
        <v>5732</v>
      </c>
      <c r="E7353" s="8" t="s">
        <v>5185</v>
      </c>
      <c r="F7353" t="s">
        <v>106</v>
      </c>
      <c r="G7353">
        <v>2</v>
      </c>
    </row>
    <row r="7354" spans="1:17" x14ac:dyDescent="0.2">
      <c r="A7354" t="s">
        <v>5740</v>
      </c>
      <c r="B7354" t="s">
        <v>5750</v>
      </c>
      <c r="C7354">
        <v>6</v>
      </c>
      <c r="D7354" t="s">
        <v>5732</v>
      </c>
      <c r="E7354" s="8" t="s">
        <v>5186</v>
      </c>
      <c r="F7354" t="s">
        <v>3982</v>
      </c>
      <c r="G7354" t="s">
        <v>114</v>
      </c>
    </row>
    <row r="7355" spans="1:17" x14ac:dyDescent="0.2">
      <c r="A7355" t="s">
        <v>5740</v>
      </c>
      <c r="B7355" t="s">
        <v>5750</v>
      </c>
      <c r="C7355">
        <v>6</v>
      </c>
      <c r="D7355" t="s">
        <v>5732</v>
      </c>
      <c r="E7355" s="8" t="s">
        <v>5182</v>
      </c>
      <c r="F7355" t="s">
        <v>116</v>
      </c>
      <c r="G7355">
        <v>1</v>
      </c>
      <c r="M7355">
        <v>2</v>
      </c>
    </row>
    <row r="7356" spans="1:17" x14ac:dyDescent="0.2">
      <c r="A7356" t="s">
        <v>5740</v>
      </c>
      <c r="B7356" t="s">
        <v>5750</v>
      </c>
      <c r="C7356">
        <v>6</v>
      </c>
      <c r="D7356" t="s">
        <v>5732</v>
      </c>
      <c r="E7356" s="8" t="s">
        <v>5187</v>
      </c>
      <c r="F7356" t="s">
        <v>121</v>
      </c>
      <c r="G7356">
        <v>1</v>
      </c>
    </row>
    <row r="7357" spans="1:17" x14ac:dyDescent="0.2">
      <c r="A7357" t="s">
        <v>5740</v>
      </c>
      <c r="B7357" t="s">
        <v>5750</v>
      </c>
      <c r="C7357">
        <v>6</v>
      </c>
      <c r="D7357" t="s">
        <v>5732</v>
      </c>
      <c r="E7357" s="8" t="s">
        <v>5188</v>
      </c>
      <c r="F7357" t="s">
        <v>5767</v>
      </c>
      <c r="G7357">
        <v>4</v>
      </c>
      <c r="O7357" t="s">
        <v>5771</v>
      </c>
    </row>
    <row r="7358" spans="1:17" x14ac:dyDescent="0.2">
      <c r="A7358" t="s">
        <v>5740</v>
      </c>
      <c r="B7358" t="s">
        <v>5750</v>
      </c>
      <c r="C7358">
        <v>6</v>
      </c>
      <c r="D7358" t="s">
        <v>5732</v>
      </c>
      <c r="E7358" s="8" t="s">
        <v>5183</v>
      </c>
      <c r="F7358" t="s">
        <v>5255</v>
      </c>
      <c r="G7358" t="s">
        <v>114</v>
      </c>
      <c r="O7358" t="s">
        <v>5770</v>
      </c>
    </row>
    <row r="7359" spans="1:17" x14ac:dyDescent="0.2">
      <c r="A7359" t="s">
        <v>5740</v>
      </c>
      <c r="B7359" t="s">
        <v>5750</v>
      </c>
      <c r="C7359">
        <v>6</v>
      </c>
      <c r="D7359" t="s">
        <v>5732</v>
      </c>
      <c r="E7359" t="s">
        <v>5056</v>
      </c>
      <c r="F7359" t="s">
        <v>5768</v>
      </c>
      <c r="G7359">
        <v>36</v>
      </c>
    </row>
    <row r="7360" spans="1:17" x14ac:dyDescent="0.2">
      <c r="A7360" t="s">
        <v>5740</v>
      </c>
      <c r="B7360" t="s">
        <v>5750</v>
      </c>
      <c r="C7360">
        <v>4</v>
      </c>
      <c r="D7360" t="s">
        <v>5732</v>
      </c>
      <c r="E7360" s="8" t="s">
        <v>5081</v>
      </c>
      <c r="F7360" t="s">
        <v>1264</v>
      </c>
      <c r="H7360">
        <f>3.2-0.427+6.6-0.344</f>
        <v>9.0289999999999999</v>
      </c>
      <c r="O7360" t="s">
        <v>5769</v>
      </c>
    </row>
    <row r="7361" spans="1:17" x14ac:dyDescent="0.2">
      <c r="A7361" t="s">
        <v>5740</v>
      </c>
      <c r="B7361" t="s">
        <v>5750</v>
      </c>
      <c r="C7361">
        <v>4</v>
      </c>
      <c r="D7361" t="s">
        <v>5732</v>
      </c>
      <c r="E7361" s="8" t="s">
        <v>5082</v>
      </c>
      <c r="F7361" t="s">
        <v>1389</v>
      </c>
      <c r="G7361">
        <v>6</v>
      </c>
    </row>
    <row r="7362" spans="1:17" x14ac:dyDescent="0.2">
      <c r="A7362" t="s">
        <v>5740</v>
      </c>
      <c r="B7362" t="s">
        <v>5750</v>
      </c>
      <c r="C7362">
        <v>4</v>
      </c>
      <c r="D7362" t="s">
        <v>5732</v>
      </c>
      <c r="E7362" s="8" t="s">
        <v>5089</v>
      </c>
      <c r="F7362" t="s">
        <v>1389</v>
      </c>
      <c r="G7362">
        <v>3</v>
      </c>
      <c r="Q7362" t="s">
        <v>8567</v>
      </c>
    </row>
    <row r="7363" spans="1:17" x14ac:dyDescent="0.2">
      <c r="A7363" t="s">
        <v>5740</v>
      </c>
      <c r="B7363" t="s">
        <v>5750</v>
      </c>
      <c r="C7363">
        <v>4</v>
      </c>
      <c r="D7363" t="s">
        <v>5732</v>
      </c>
      <c r="E7363" s="8" t="s">
        <v>5090</v>
      </c>
      <c r="F7363" t="s">
        <v>1389</v>
      </c>
      <c r="G7363">
        <v>5</v>
      </c>
      <c r="Q7363" t="s">
        <v>8566</v>
      </c>
    </row>
    <row r="7364" spans="1:17" x14ac:dyDescent="0.2">
      <c r="A7364" t="s">
        <v>5740</v>
      </c>
      <c r="B7364" t="s">
        <v>5750</v>
      </c>
      <c r="C7364">
        <v>4</v>
      </c>
      <c r="D7364" t="s">
        <v>5732</v>
      </c>
      <c r="E7364" s="8" t="s">
        <v>5091</v>
      </c>
      <c r="F7364" t="s">
        <v>1389</v>
      </c>
      <c r="G7364">
        <v>2</v>
      </c>
      <c r="Q7364" t="s">
        <v>8565</v>
      </c>
    </row>
    <row r="7365" spans="1:17" x14ac:dyDescent="0.2">
      <c r="A7365" t="s">
        <v>5740</v>
      </c>
      <c r="B7365" t="s">
        <v>5750</v>
      </c>
      <c r="C7365">
        <v>4</v>
      </c>
      <c r="D7365" t="s">
        <v>5732</v>
      </c>
      <c r="E7365" s="8" t="s">
        <v>5092</v>
      </c>
      <c r="F7365" t="s">
        <v>1389</v>
      </c>
      <c r="G7365">
        <v>17</v>
      </c>
      <c r="Q7365" t="s">
        <v>8568</v>
      </c>
    </row>
    <row r="7366" spans="1:17" x14ac:dyDescent="0.2">
      <c r="A7366" t="s">
        <v>5740</v>
      </c>
      <c r="B7366" t="s">
        <v>5750</v>
      </c>
      <c r="C7366">
        <v>4</v>
      </c>
      <c r="D7366" t="s">
        <v>5732</v>
      </c>
      <c r="E7366" s="8" t="s">
        <v>5094</v>
      </c>
      <c r="F7366" t="s">
        <v>1389</v>
      </c>
      <c r="G7366">
        <v>32</v>
      </c>
      <c r="M7366">
        <v>5</v>
      </c>
    </row>
    <row r="7367" spans="1:17" x14ac:dyDescent="0.2">
      <c r="A7367" t="s">
        <v>5740</v>
      </c>
      <c r="B7367" t="s">
        <v>5750</v>
      </c>
      <c r="C7367">
        <v>4</v>
      </c>
      <c r="D7367" t="s">
        <v>5732</v>
      </c>
      <c r="E7367" t="s">
        <v>5056</v>
      </c>
      <c r="F7367" t="s">
        <v>1389</v>
      </c>
      <c r="G7367">
        <v>137</v>
      </c>
      <c r="M7367">
        <v>17</v>
      </c>
    </row>
    <row r="7368" spans="1:17" x14ac:dyDescent="0.2">
      <c r="A7368" t="s">
        <v>5740</v>
      </c>
      <c r="B7368" t="s">
        <v>5750</v>
      </c>
      <c r="C7368">
        <v>4</v>
      </c>
      <c r="D7368" t="s">
        <v>5732</v>
      </c>
      <c r="E7368" s="8" t="s">
        <v>5097</v>
      </c>
      <c r="F7368" t="s">
        <v>6862</v>
      </c>
      <c r="G7368">
        <v>22</v>
      </c>
      <c r="Q7368" t="s">
        <v>8574</v>
      </c>
    </row>
    <row r="7369" spans="1:17" x14ac:dyDescent="0.2">
      <c r="A7369" t="s">
        <v>5740</v>
      </c>
      <c r="B7369" t="s">
        <v>5750</v>
      </c>
      <c r="C7369">
        <v>4</v>
      </c>
      <c r="D7369" t="s">
        <v>5732</v>
      </c>
      <c r="E7369" s="8" t="s">
        <v>5098</v>
      </c>
      <c r="F7369" t="s">
        <v>6978</v>
      </c>
      <c r="G7369">
        <v>9</v>
      </c>
      <c r="Q7369" t="s">
        <v>8573</v>
      </c>
    </row>
    <row r="7370" spans="1:17" x14ac:dyDescent="0.2">
      <c r="A7370" t="s">
        <v>5740</v>
      </c>
      <c r="B7370" t="s">
        <v>5750</v>
      </c>
      <c r="C7370">
        <v>4</v>
      </c>
      <c r="D7370" t="s">
        <v>5732</v>
      </c>
      <c r="E7370" s="8" t="s">
        <v>5166</v>
      </c>
      <c r="F7370" t="s">
        <v>6862</v>
      </c>
      <c r="G7370">
        <v>17</v>
      </c>
      <c r="Q7370" t="s">
        <v>8572</v>
      </c>
    </row>
    <row r="7371" spans="1:17" x14ac:dyDescent="0.2">
      <c r="A7371" t="s">
        <v>5740</v>
      </c>
      <c r="B7371" t="s">
        <v>5750</v>
      </c>
      <c r="C7371">
        <v>4</v>
      </c>
      <c r="D7371" t="s">
        <v>5732</v>
      </c>
      <c r="E7371" s="8" t="s">
        <v>5167</v>
      </c>
      <c r="F7371" t="s">
        <v>6862</v>
      </c>
      <c r="G7371">
        <v>12</v>
      </c>
      <c r="Q7371" t="s">
        <v>8570</v>
      </c>
    </row>
    <row r="7372" spans="1:17" x14ac:dyDescent="0.2">
      <c r="A7372" t="s">
        <v>5740</v>
      </c>
      <c r="B7372" t="s">
        <v>5750</v>
      </c>
      <c r="C7372">
        <v>4</v>
      </c>
      <c r="D7372" t="s">
        <v>5732</v>
      </c>
      <c r="E7372" s="8" t="s">
        <v>5168</v>
      </c>
      <c r="F7372" t="s">
        <v>6862</v>
      </c>
      <c r="G7372">
        <v>19</v>
      </c>
      <c r="Q7372" t="s">
        <v>8569</v>
      </c>
    </row>
    <row r="7373" spans="1:17" x14ac:dyDescent="0.2">
      <c r="A7373" t="s">
        <v>5740</v>
      </c>
      <c r="B7373" t="s">
        <v>5750</v>
      </c>
      <c r="C7373">
        <v>4</v>
      </c>
      <c r="D7373" t="s">
        <v>5732</v>
      </c>
      <c r="E7373" s="8" t="s">
        <v>5169</v>
      </c>
      <c r="F7373" t="s">
        <v>6862</v>
      </c>
      <c r="G7373">
        <v>14</v>
      </c>
      <c r="Q7373" t="s">
        <v>8571</v>
      </c>
    </row>
    <row r="7374" spans="1:17" x14ac:dyDescent="0.2">
      <c r="A7374" t="s">
        <v>5740</v>
      </c>
      <c r="B7374" t="s">
        <v>5750</v>
      </c>
      <c r="C7374">
        <v>4</v>
      </c>
      <c r="D7374" t="s">
        <v>5732</v>
      </c>
      <c r="E7374" s="8" t="s">
        <v>5170</v>
      </c>
      <c r="F7374" t="s">
        <v>1538</v>
      </c>
      <c r="G7374">
        <v>21</v>
      </c>
      <c r="Q7374" t="s">
        <v>8576</v>
      </c>
    </row>
    <row r="7375" spans="1:17" x14ac:dyDescent="0.2">
      <c r="A7375" t="s">
        <v>5740</v>
      </c>
      <c r="B7375" t="s">
        <v>5750</v>
      </c>
      <c r="C7375">
        <v>4</v>
      </c>
      <c r="D7375" t="s">
        <v>5732</v>
      </c>
      <c r="E7375" s="8" t="s">
        <v>5171</v>
      </c>
      <c r="F7375" t="s">
        <v>1538</v>
      </c>
      <c r="G7375">
        <v>12</v>
      </c>
      <c r="Q7375" t="s">
        <v>8575</v>
      </c>
    </row>
    <row r="7376" spans="1:17" x14ac:dyDescent="0.2">
      <c r="A7376" t="s">
        <v>5740</v>
      </c>
      <c r="B7376" t="s">
        <v>5750</v>
      </c>
      <c r="C7376">
        <v>4</v>
      </c>
      <c r="D7376" t="s">
        <v>5732</v>
      </c>
      <c r="E7376" s="8" t="s">
        <v>5140</v>
      </c>
      <c r="F7376" t="s">
        <v>1538</v>
      </c>
      <c r="G7376">
        <v>3</v>
      </c>
      <c r="Q7376" t="s">
        <v>8577</v>
      </c>
    </row>
    <row r="7377" spans="1:17" x14ac:dyDescent="0.2">
      <c r="A7377" t="s">
        <v>5740</v>
      </c>
      <c r="B7377" t="s">
        <v>5750</v>
      </c>
      <c r="C7377">
        <v>4</v>
      </c>
      <c r="D7377" t="s">
        <v>5732</v>
      </c>
      <c r="E7377" s="8" t="s">
        <v>5141</v>
      </c>
      <c r="F7377" t="s">
        <v>1538</v>
      </c>
      <c r="G7377">
        <v>15</v>
      </c>
      <c r="Q7377" t="s">
        <v>8578</v>
      </c>
    </row>
    <row r="7378" spans="1:17" x14ac:dyDescent="0.2">
      <c r="A7378" t="s">
        <v>5740</v>
      </c>
      <c r="B7378" t="s">
        <v>5750</v>
      </c>
      <c r="C7378">
        <v>4</v>
      </c>
      <c r="D7378" t="s">
        <v>5732</v>
      </c>
      <c r="E7378" s="8" t="s">
        <v>5142</v>
      </c>
      <c r="F7378" t="s">
        <v>1538</v>
      </c>
      <c r="G7378">
        <v>3</v>
      </c>
      <c r="Q7378" t="s">
        <v>8579</v>
      </c>
    </row>
    <row r="7379" spans="1:17" x14ac:dyDescent="0.2">
      <c r="A7379" t="s">
        <v>5740</v>
      </c>
      <c r="B7379" t="s">
        <v>5750</v>
      </c>
      <c r="C7379">
        <v>4</v>
      </c>
      <c r="D7379" t="s">
        <v>5732</v>
      </c>
      <c r="E7379" s="8" t="s">
        <v>5143</v>
      </c>
      <c r="F7379" t="s">
        <v>1538</v>
      </c>
      <c r="G7379">
        <v>67</v>
      </c>
      <c r="M7379">
        <v>5</v>
      </c>
    </row>
    <row r="7380" spans="1:17" x14ac:dyDescent="0.2">
      <c r="A7380" t="s">
        <v>5740</v>
      </c>
      <c r="B7380" t="s">
        <v>5750</v>
      </c>
      <c r="C7380">
        <v>4</v>
      </c>
      <c r="D7380" t="s">
        <v>5732</v>
      </c>
      <c r="E7380" t="s">
        <v>5056</v>
      </c>
      <c r="F7380" t="s">
        <v>5768</v>
      </c>
      <c r="G7380">
        <v>31</v>
      </c>
    </row>
    <row r="7381" spans="1:17" x14ac:dyDescent="0.2">
      <c r="A7381" t="s">
        <v>5740</v>
      </c>
      <c r="B7381" t="s">
        <v>5750</v>
      </c>
      <c r="C7381">
        <v>4</v>
      </c>
      <c r="D7381" t="s">
        <v>5732</v>
      </c>
      <c r="E7381" t="s">
        <v>5056</v>
      </c>
      <c r="F7381" t="s">
        <v>1538</v>
      </c>
      <c r="H7381">
        <v>1.04</v>
      </c>
      <c r="M7381">
        <v>135</v>
      </c>
    </row>
    <row r="7382" spans="1:17" x14ac:dyDescent="0.2">
      <c r="A7382" t="s">
        <v>5740</v>
      </c>
      <c r="B7382" t="s">
        <v>5750</v>
      </c>
      <c r="C7382">
        <v>4</v>
      </c>
      <c r="D7382" t="s">
        <v>5732</v>
      </c>
      <c r="E7382" s="8" t="s">
        <v>5184</v>
      </c>
      <c r="F7382" t="s">
        <v>1538</v>
      </c>
      <c r="G7382" t="s">
        <v>114</v>
      </c>
      <c r="Q7382" t="s">
        <v>8584</v>
      </c>
    </row>
    <row r="7383" spans="1:17" x14ac:dyDescent="0.2">
      <c r="A7383" t="s">
        <v>5740</v>
      </c>
      <c r="B7383" t="s">
        <v>5750</v>
      </c>
      <c r="C7383">
        <v>4</v>
      </c>
      <c r="D7383" t="s">
        <v>5732</v>
      </c>
      <c r="E7383" s="8" t="s">
        <v>5185</v>
      </c>
      <c r="F7383" t="s">
        <v>1538</v>
      </c>
      <c r="G7383" t="s">
        <v>114</v>
      </c>
      <c r="Q7383" t="s">
        <v>8583</v>
      </c>
    </row>
    <row r="7384" spans="1:17" x14ac:dyDescent="0.2">
      <c r="A7384" t="s">
        <v>5740</v>
      </c>
      <c r="B7384" t="s">
        <v>5750</v>
      </c>
      <c r="C7384">
        <v>4</v>
      </c>
      <c r="D7384" t="s">
        <v>5732</v>
      </c>
      <c r="E7384" s="8" t="s">
        <v>5186</v>
      </c>
      <c r="F7384" t="s">
        <v>1538</v>
      </c>
      <c r="G7384" t="s">
        <v>114</v>
      </c>
      <c r="Q7384" t="s">
        <v>8582</v>
      </c>
    </row>
    <row r="7385" spans="1:17" x14ac:dyDescent="0.2">
      <c r="A7385" t="s">
        <v>5740</v>
      </c>
      <c r="B7385" t="s">
        <v>5750</v>
      </c>
      <c r="C7385">
        <v>4</v>
      </c>
      <c r="D7385" t="s">
        <v>5732</v>
      </c>
      <c r="E7385" s="8" t="s">
        <v>5182</v>
      </c>
      <c r="F7385" t="s">
        <v>1538</v>
      </c>
      <c r="G7385">
        <v>1</v>
      </c>
      <c r="Q7385" t="s">
        <v>8581</v>
      </c>
    </row>
    <row r="7386" spans="1:17" x14ac:dyDescent="0.2">
      <c r="A7386" t="s">
        <v>5740</v>
      </c>
      <c r="B7386" t="s">
        <v>5750</v>
      </c>
      <c r="C7386">
        <v>4</v>
      </c>
      <c r="D7386" t="s">
        <v>5732</v>
      </c>
      <c r="E7386" s="8" t="s">
        <v>5187</v>
      </c>
      <c r="F7386" t="s">
        <v>1538</v>
      </c>
      <c r="G7386">
        <v>1</v>
      </c>
      <c r="Q7386" t="s">
        <v>8580</v>
      </c>
    </row>
    <row r="7387" spans="1:17" x14ac:dyDescent="0.2">
      <c r="A7387" t="s">
        <v>5740</v>
      </c>
      <c r="B7387" t="s">
        <v>5750</v>
      </c>
      <c r="C7387">
        <v>4</v>
      </c>
      <c r="D7387" t="s">
        <v>5732</v>
      </c>
      <c r="E7387" s="8" t="s">
        <v>5146</v>
      </c>
      <c r="F7387" t="s">
        <v>1425</v>
      </c>
      <c r="G7387">
        <v>4</v>
      </c>
      <c r="Q7387" t="s">
        <v>8585</v>
      </c>
    </row>
    <row r="7388" spans="1:17" x14ac:dyDescent="0.2">
      <c r="A7388" t="s">
        <v>5740</v>
      </c>
      <c r="B7388" t="s">
        <v>5750</v>
      </c>
      <c r="C7388">
        <v>4</v>
      </c>
      <c r="D7388" t="s">
        <v>5732</v>
      </c>
      <c r="E7388" s="8" t="s">
        <v>5147</v>
      </c>
      <c r="F7388" t="s">
        <v>1425</v>
      </c>
      <c r="G7388">
        <v>7</v>
      </c>
      <c r="Q7388" t="s">
        <v>8588</v>
      </c>
    </row>
    <row r="7389" spans="1:17" x14ac:dyDescent="0.2">
      <c r="A7389" t="s">
        <v>5740</v>
      </c>
      <c r="B7389" t="s">
        <v>5750</v>
      </c>
      <c r="C7389">
        <v>4</v>
      </c>
      <c r="D7389" t="s">
        <v>5732</v>
      </c>
      <c r="E7389" s="8" t="s">
        <v>5148</v>
      </c>
      <c r="F7389" t="s">
        <v>1425</v>
      </c>
      <c r="G7389">
        <v>16</v>
      </c>
      <c r="Q7389" t="s">
        <v>8586</v>
      </c>
    </row>
    <row r="7390" spans="1:17" x14ac:dyDescent="0.2">
      <c r="A7390" t="s">
        <v>5740</v>
      </c>
      <c r="B7390" t="s">
        <v>5750</v>
      </c>
      <c r="C7390">
        <v>4</v>
      </c>
      <c r="D7390" t="s">
        <v>5732</v>
      </c>
      <c r="E7390" s="8" t="s">
        <v>5145</v>
      </c>
      <c r="F7390" t="s">
        <v>1425</v>
      </c>
      <c r="G7390">
        <v>16</v>
      </c>
      <c r="Q7390" t="s">
        <v>8587</v>
      </c>
    </row>
    <row r="7391" spans="1:17" x14ac:dyDescent="0.2">
      <c r="A7391" t="s">
        <v>5740</v>
      </c>
      <c r="B7391" t="s">
        <v>5750</v>
      </c>
      <c r="C7391">
        <v>4</v>
      </c>
      <c r="D7391" t="s">
        <v>5732</v>
      </c>
      <c r="E7391" s="8" t="s">
        <v>5144</v>
      </c>
      <c r="F7391" t="s">
        <v>1425</v>
      </c>
      <c r="G7391">
        <v>12</v>
      </c>
      <c r="Q7391" t="s">
        <v>8589</v>
      </c>
    </row>
    <row r="7392" spans="1:17" x14ac:dyDescent="0.2">
      <c r="A7392" t="s">
        <v>5740</v>
      </c>
      <c r="B7392" t="s">
        <v>5750</v>
      </c>
      <c r="C7392">
        <v>4</v>
      </c>
      <c r="D7392" t="s">
        <v>5732</v>
      </c>
      <c r="E7392" s="8" t="s">
        <v>5188</v>
      </c>
      <c r="F7392" t="s">
        <v>1425</v>
      </c>
      <c r="G7392">
        <v>56</v>
      </c>
      <c r="M7392">
        <v>5</v>
      </c>
    </row>
    <row r="7393" spans="1:17" x14ac:dyDescent="0.2">
      <c r="A7393" t="s">
        <v>5740</v>
      </c>
      <c r="B7393" t="s">
        <v>5750</v>
      </c>
      <c r="C7393">
        <v>4</v>
      </c>
      <c r="D7393" t="s">
        <v>5732</v>
      </c>
      <c r="E7393" t="s">
        <v>5056</v>
      </c>
      <c r="F7393" t="s">
        <v>1425</v>
      </c>
      <c r="G7393">
        <v>28</v>
      </c>
      <c r="M7393">
        <v>2</v>
      </c>
    </row>
    <row r="7394" spans="1:17" x14ac:dyDescent="0.2">
      <c r="A7394" t="s">
        <v>5740</v>
      </c>
      <c r="B7394" t="s">
        <v>5750</v>
      </c>
      <c r="C7394">
        <v>4</v>
      </c>
      <c r="D7394" t="s">
        <v>5732</v>
      </c>
      <c r="E7394" s="8" t="s">
        <v>5153</v>
      </c>
      <c r="F7394" t="s">
        <v>1425</v>
      </c>
      <c r="G7394">
        <v>2</v>
      </c>
      <c r="Q7394" t="s">
        <v>8593</v>
      </c>
    </row>
    <row r="7395" spans="1:17" x14ac:dyDescent="0.2">
      <c r="A7395" t="s">
        <v>5740</v>
      </c>
      <c r="B7395" t="s">
        <v>5750</v>
      </c>
      <c r="C7395">
        <v>4</v>
      </c>
      <c r="D7395" t="s">
        <v>5732</v>
      </c>
      <c r="E7395" s="8" t="s">
        <v>5152</v>
      </c>
      <c r="F7395" t="s">
        <v>1425</v>
      </c>
      <c r="G7395">
        <v>2</v>
      </c>
      <c r="Q7395" t="s">
        <v>8594</v>
      </c>
    </row>
    <row r="7396" spans="1:17" x14ac:dyDescent="0.2">
      <c r="A7396" t="s">
        <v>5740</v>
      </c>
      <c r="B7396" t="s">
        <v>5750</v>
      </c>
      <c r="C7396">
        <v>4</v>
      </c>
      <c r="D7396" t="s">
        <v>5732</v>
      </c>
      <c r="E7396" s="8" t="s">
        <v>5151</v>
      </c>
      <c r="F7396" t="s">
        <v>6239</v>
      </c>
      <c r="G7396">
        <v>1</v>
      </c>
      <c r="Q7396" t="s">
        <v>8595</v>
      </c>
    </row>
    <row r="7397" spans="1:17" x14ac:dyDescent="0.2">
      <c r="A7397" t="s">
        <v>5740</v>
      </c>
      <c r="B7397" t="s">
        <v>5750</v>
      </c>
      <c r="C7397">
        <v>4</v>
      </c>
      <c r="D7397" t="s">
        <v>5732</v>
      </c>
      <c r="E7397" s="8" t="s">
        <v>5150</v>
      </c>
      <c r="F7397" t="s">
        <v>6239</v>
      </c>
      <c r="G7397">
        <v>1</v>
      </c>
      <c r="Q7397" t="s">
        <v>8596</v>
      </c>
    </row>
    <row r="7398" spans="1:17" x14ac:dyDescent="0.2">
      <c r="A7398" t="s">
        <v>5740</v>
      </c>
      <c r="B7398" t="s">
        <v>5750</v>
      </c>
      <c r="C7398">
        <v>4</v>
      </c>
      <c r="D7398" t="s">
        <v>5732</v>
      </c>
      <c r="E7398" s="8" t="s">
        <v>5172</v>
      </c>
      <c r="F7398" t="s">
        <v>6239</v>
      </c>
      <c r="G7398">
        <v>1</v>
      </c>
      <c r="Q7398" t="s">
        <v>8597</v>
      </c>
    </row>
    <row r="7399" spans="1:17" x14ac:dyDescent="0.2">
      <c r="A7399" t="s">
        <v>5740</v>
      </c>
      <c r="B7399" t="s">
        <v>5750</v>
      </c>
      <c r="C7399">
        <v>4</v>
      </c>
      <c r="D7399" t="s">
        <v>5732</v>
      </c>
      <c r="E7399" s="8" t="s">
        <v>5189</v>
      </c>
      <c r="F7399" t="s">
        <v>1425</v>
      </c>
      <c r="G7399">
        <v>4</v>
      </c>
      <c r="Q7399" t="s">
        <v>8592</v>
      </c>
    </row>
    <row r="7400" spans="1:17" x14ac:dyDescent="0.2">
      <c r="A7400" t="s">
        <v>5740</v>
      </c>
      <c r="B7400" t="s">
        <v>5750</v>
      </c>
      <c r="C7400">
        <v>4</v>
      </c>
      <c r="D7400" t="s">
        <v>5732</v>
      </c>
      <c r="E7400" s="8" t="s">
        <v>5154</v>
      </c>
      <c r="F7400" t="s">
        <v>1425</v>
      </c>
      <c r="G7400">
        <v>6</v>
      </c>
      <c r="Q7400" t="s">
        <v>8591</v>
      </c>
    </row>
    <row r="7401" spans="1:17" x14ac:dyDescent="0.2">
      <c r="A7401" t="s">
        <v>5740</v>
      </c>
      <c r="B7401" t="s">
        <v>5750</v>
      </c>
      <c r="C7401">
        <v>4</v>
      </c>
      <c r="D7401" t="s">
        <v>5732</v>
      </c>
      <c r="E7401" s="8" t="s">
        <v>5149</v>
      </c>
      <c r="F7401" t="s">
        <v>1425</v>
      </c>
      <c r="G7401">
        <v>6</v>
      </c>
      <c r="Q7401" t="s">
        <v>8590</v>
      </c>
    </row>
    <row r="7402" spans="1:17" x14ac:dyDescent="0.2">
      <c r="A7402" t="s">
        <v>5740</v>
      </c>
      <c r="B7402" t="s">
        <v>5750</v>
      </c>
      <c r="C7402">
        <v>4</v>
      </c>
      <c r="D7402" t="s">
        <v>5732</v>
      </c>
      <c r="E7402" s="8" t="s">
        <v>5156</v>
      </c>
      <c r="F7402" t="s">
        <v>5869</v>
      </c>
      <c r="G7402">
        <v>129</v>
      </c>
      <c r="Q7402" t="s">
        <v>5924</v>
      </c>
    </row>
    <row r="7403" spans="1:17" x14ac:dyDescent="0.2">
      <c r="A7403" t="s">
        <v>5740</v>
      </c>
      <c r="B7403" t="s">
        <v>5750</v>
      </c>
      <c r="C7403">
        <v>4</v>
      </c>
      <c r="D7403" t="s">
        <v>5732</v>
      </c>
      <c r="E7403" s="8" t="s">
        <v>5158</v>
      </c>
      <c r="F7403" t="s">
        <v>5869</v>
      </c>
      <c r="G7403">
        <v>148</v>
      </c>
      <c r="Q7403" t="s">
        <v>5925</v>
      </c>
    </row>
    <row r="7404" spans="1:17" x14ac:dyDescent="0.2">
      <c r="A7404" t="s">
        <v>5740</v>
      </c>
      <c r="B7404" t="s">
        <v>5750</v>
      </c>
      <c r="C7404">
        <v>4</v>
      </c>
      <c r="D7404" t="s">
        <v>5732</v>
      </c>
      <c r="E7404" s="8" t="s">
        <v>5155</v>
      </c>
      <c r="F7404" t="s">
        <v>5772</v>
      </c>
      <c r="G7404">
        <v>116</v>
      </c>
      <c r="Q7404" t="s">
        <v>8598</v>
      </c>
    </row>
    <row r="7405" spans="1:17" x14ac:dyDescent="0.2">
      <c r="A7405" t="s">
        <v>5740</v>
      </c>
      <c r="B7405" t="s">
        <v>5750</v>
      </c>
      <c r="C7405">
        <v>4</v>
      </c>
      <c r="D7405" t="s">
        <v>5732</v>
      </c>
      <c r="E7405" s="8" t="s">
        <v>5157</v>
      </c>
      <c r="F7405" t="s">
        <v>8600</v>
      </c>
      <c r="G7405">
        <v>104</v>
      </c>
      <c r="Q7405" t="s">
        <v>8599</v>
      </c>
    </row>
    <row r="7406" spans="1:17" x14ac:dyDescent="0.2">
      <c r="A7406" t="s">
        <v>5740</v>
      </c>
      <c r="B7406" t="s">
        <v>5750</v>
      </c>
      <c r="C7406">
        <v>4</v>
      </c>
      <c r="D7406" t="s">
        <v>5732</v>
      </c>
      <c r="E7406" s="8" t="s">
        <v>5173</v>
      </c>
      <c r="F7406" t="s">
        <v>2836</v>
      </c>
      <c r="G7406">
        <v>125</v>
      </c>
    </row>
    <row r="7407" spans="1:17" x14ac:dyDescent="0.2">
      <c r="A7407" t="s">
        <v>5740</v>
      </c>
      <c r="B7407" t="s">
        <v>5750</v>
      </c>
      <c r="C7407">
        <v>4</v>
      </c>
      <c r="D7407" t="s">
        <v>5732</v>
      </c>
      <c r="E7407" s="8" t="s">
        <v>5159</v>
      </c>
      <c r="F7407" t="s">
        <v>116</v>
      </c>
      <c r="G7407">
        <v>1</v>
      </c>
    </row>
    <row r="7408" spans="1:17" x14ac:dyDescent="0.2">
      <c r="A7408" t="s">
        <v>5740</v>
      </c>
      <c r="B7408" t="s">
        <v>5750</v>
      </c>
      <c r="C7408">
        <v>4</v>
      </c>
      <c r="D7408" t="s">
        <v>5732</v>
      </c>
      <c r="E7408" s="8" t="s">
        <v>5139</v>
      </c>
      <c r="F7408" t="s">
        <v>7138</v>
      </c>
      <c r="G7408">
        <v>10</v>
      </c>
      <c r="M7408">
        <v>7</v>
      </c>
      <c r="Q7408" t="s">
        <v>8602</v>
      </c>
    </row>
    <row r="7409" spans="1:17" x14ac:dyDescent="0.2">
      <c r="A7409" t="s">
        <v>5740</v>
      </c>
      <c r="B7409" t="s">
        <v>5750</v>
      </c>
      <c r="C7409">
        <v>4</v>
      </c>
      <c r="D7409" t="s">
        <v>5732</v>
      </c>
      <c r="E7409" s="8" t="s">
        <v>5161</v>
      </c>
      <c r="F7409" t="s">
        <v>3982</v>
      </c>
      <c r="G7409">
        <v>1</v>
      </c>
    </row>
    <row r="7410" spans="1:17" x14ac:dyDescent="0.2">
      <c r="A7410" t="s">
        <v>5740</v>
      </c>
      <c r="B7410" t="s">
        <v>5750</v>
      </c>
      <c r="C7410">
        <v>4</v>
      </c>
      <c r="D7410" t="s">
        <v>5732</v>
      </c>
      <c r="E7410" s="8" t="s">
        <v>5174</v>
      </c>
      <c r="F7410" t="s">
        <v>7674</v>
      </c>
      <c r="G7410">
        <v>32</v>
      </c>
      <c r="Q7410" t="s">
        <v>8601</v>
      </c>
    </row>
    <row r="7411" spans="1:17" x14ac:dyDescent="0.2">
      <c r="A7411" t="s">
        <v>5740</v>
      </c>
      <c r="B7411" t="s">
        <v>5750</v>
      </c>
      <c r="C7411">
        <v>4</v>
      </c>
      <c r="D7411" t="s">
        <v>5732</v>
      </c>
      <c r="E7411" s="8" t="s">
        <v>5175</v>
      </c>
      <c r="F7411" t="s">
        <v>2218</v>
      </c>
      <c r="G7411">
        <v>5</v>
      </c>
      <c r="O7411" t="s">
        <v>5773</v>
      </c>
    </row>
    <row r="7412" spans="1:17" x14ac:dyDescent="0.2">
      <c r="A7412" t="s">
        <v>5740</v>
      </c>
      <c r="B7412" t="s">
        <v>5750</v>
      </c>
      <c r="C7412">
        <v>4</v>
      </c>
      <c r="D7412" t="s">
        <v>5732</v>
      </c>
      <c r="E7412" s="8" t="s">
        <v>5162</v>
      </c>
      <c r="F7412" t="s">
        <v>3875</v>
      </c>
      <c r="G7412">
        <v>6</v>
      </c>
      <c r="M7412">
        <v>4</v>
      </c>
    </row>
    <row r="7413" spans="1:17" x14ac:dyDescent="0.2">
      <c r="A7413" t="s">
        <v>5740</v>
      </c>
      <c r="B7413" t="s">
        <v>5750</v>
      </c>
      <c r="C7413">
        <v>4</v>
      </c>
      <c r="D7413" t="s">
        <v>5732</v>
      </c>
      <c r="E7413" s="8" t="s">
        <v>5160</v>
      </c>
      <c r="F7413" t="s">
        <v>810</v>
      </c>
      <c r="G7413">
        <v>2</v>
      </c>
      <c r="M7413">
        <v>2</v>
      </c>
    </row>
  </sheetData>
  <autoFilter ref="A1:Q7413" xr:uid="{00000000-0009-0000-0000-000002000000}"/>
  <printOptions gridLines="1"/>
  <pageMargins left="0.74803149606299213" right="0.74803149606299213" top="0.98425196850393704" bottom="0.98425196850393704" header="0.51181102362204722" footer="0.51181102362204722"/>
  <pageSetup paperSize="9" scale="55"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6" sqref="B6"/>
    </sheetView>
  </sheetViews>
  <sheetFormatPr baseColWidth="10" defaultColWidth="11" defaultRowHeight="16" x14ac:dyDescent="0.2"/>
  <cols>
    <col min="1" max="1" width="16" bestFit="1" customWidth="1"/>
    <col min="2" max="2" width="89.83203125" style="11" customWidth="1"/>
  </cols>
  <sheetData>
    <row r="1" spans="1:2" x14ac:dyDescent="0.2">
      <c r="A1" t="s">
        <v>454</v>
      </c>
      <c r="B1" s="11" t="s">
        <v>29</v>
      </c>
    </row>
    <row r="2" spans="1:2" ht="64" x14ac:dyDescent="0.2">
      <c r="A2" t="s">
        <v>455</v>
      </c>
      <c r="B2" s="11" t="s">
        <v>456</v>
      </c>
    </row>
    <row r="3" spans="1:2" ht="32" x14ac:dyDescent="0.2">
      <c r="A3" t="s">
        <v>457</v>
      </c>
      <c r="B3" s="11" t="s">
        <v>458</v>
      </c>
    </row>
    <row r="4" spans="1:2" x14ac:dyDescent="0.2">
      <c r="A4" t="s">
        <v>459</v>
      </c>
      <c r="B4" s="11" t="s">
        <v>460</v>
      </c>
    </row>
    <row r="5" spans="1:2" ht="32" x14ac:dyDescent="0.2">
      <c r="A5" t="s">
        <v>1545</v>
      </c>
      <c r="B5" s="11" t="s">
        <v>1546</v>
      </c>
    </row>
    <row r="6" spans="1:2" ht="64" x14ac:dyDescent="0.2">
      <c r="A6" t="s">
        <v>1544</v>
      </c>
      <c r="B6" s="11" t="s">
        <v>2002</v>
      </c>
    </row>
    <row r="7" spans="1:2" x14ac:dyDescent="0.2">
      <c r="A7" t="s">
        <v>1547</v>
      </c>
      <c r="B7" s="11" t="s">
        <v>1548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92"/>
  <sheetViews>
    <sheetView topLeftCell="A558" workbookViewId="0">
      <selection activeCell="A611" sqref="A611"/>
    </sheetView>
  </sheetViews>
  <sheetFormatPr baseColWidth="10" defaultColWidth="11" defaultRowHeight="16" x14ac:dyDescent="0.2"/>
  <cols>
    <col min="1" max="1" width="45.1640625" bestFit="1" customWidth="1"/>
    <col min="3" max="3" width="20" bestFit="1" customWidth="1"/>
  </cols>
  <sheetData>
    <row r="1" spans="1:4" x14ac:dyDescent="0.2">
      <c r="A1" t="s">
        <v>2683</v>
      </c>
      <c r="B1" t="s">
        <v>3427</v>
      </c>
      <c r="C1" s="6" t="s">
        <v>4818</v>
      </c>
      <c r="D1" t="s">
        <v>958</v>
      </c>
    </row>
    <row r="2" spans="1:4" x14ac:dyDescent="0.2">
      <c r="A2" t="s">
        <v>1523</v>
      </c>
      <c r="B2" t="s">
        <v>740</v>
      </c>
      <c r="C2" s="6" t="s">
        <v>3428</v>
      </c>
    </row>
    <row r="3" spans="1:4" x14ac:dyDescent="0.2">
      <c r="A3" t="s">
        <v>1225</v>
      </c>
      <c r="B3" t="s">
        <v>740</v>
      </c>
      <c r="C3" s="6" t="s">
        <v>4817</v>
      </c>
      <c r="D3" t="s">
        <v>6234</v>
      </c>
    </row>
    <row r="4" spans="1:4" x14ac:dyDescent="0.2">
      <c r="A4" t="s">
        <v>2185</v>
      </c>
      <c r="B4" t="s">
        <v>740</v>
      </c>
      <c r="C4" s="6" t="s">
        <v>4817</v>
      </c>
    </row>
    <row r="5" spans="1:4" x14ac:dyDescent="0.2">
      <c r="A5" t="s">
        <v>1260</v>
      </c>
      <c r="B5" t="s">
        <v>740</v>
      </c>
      <c r="C5" s="6" t="s">
        <v>4817</v>
      </c>
    </row>
    <row r="6" spans="1:4" x14ac:dyDescent="0.2">
      <c r="A6" t="s">
        <v>1261</v>
      </c>
      <c r="B6" t="s">
        <v>2685</v>
      </c>
      <c r="C6" s="6"/>
    </row>
    <row r="7" spans="1:4" x14ac:dyDescent="0.2">
      <c r="A7" t="s">
        <v>2656</v>
      </c>
      <c r="B7" t="s">
        <v>3430</v>
      </c>
      <c r="C7" s="6"/>
    </row>
    <row r="8" spans="1:4" x14ac:dyDescent="0.2">
      <c r="A8" t="s">
        <v>126</v>
      </c>
      <c r="B8" t="s">
        <v>3443</v>
      </c>
      <c r="C8" s="6"/>
    </row>
    <row r="9" spans="1:4" x14ac:dyDescent="0.2">
      <c r="A9" t="s">
        <v>363</v>
      </c>
      <c r="B9" t="s">
        <v>3443</v>
      </c>
      <c r="C9" s="6"/>
    </row>
    <row r="10" spans="1:4" x14ac:dyDescent="0.2">
      <c r="A10" t="s">
        <v>2555</v>
      </c>
      <c r="B10" t="s">
        <v>3430</v>
      </c>
      <c r="C10" s="6"/>
    </row>
    <row r="11" spans="1:4" x14ac:dyDescent="0.2">
      <c r="A11" t="s">
        <v>2173</v>
      </c>
      <c r="B11" t="s">
        <v>740</v>
      </c>
      <c r="C11" s="6" t="s">
        <v>4817</v>
      </c>
    </row>
    <row r="12" spans="1:4" x14ac:dyDescent="0.2">
      <c r="A12" s="15" t="s">
        <v>182</v>
      </c>
      <c r="B12" s="15" t="s">
        <v>740</v>
      </c>
      <c r="C12" s="6" t="s">
        <v>4817</v>
      </c>
      <c r="D12" s="12" t="s">
        <v>3432</v>
      </c>
    </row>
    <row r="13" spans="1:4" x14ac:dyDescent="0.2">
      <c r="A13" t="s">
        <v>643</v>
      </c>
      <c r="B13" t="s">
        <v>740</v>
      </c>
      <c r="C13" s="6" t="s">
        <v>4817</v>
      </c>
    </row>
    <row r="14" spans="1:4" x14ac:dyDescent="0.2">
      <c r="A14" t="s">
        <v>652</v>
      </c>
      <c r="B14" t="s">
        <v>3443</v>
      </c>
      <c r="C14" s="6"/>
    </row>
    <row r="15" spans="1:4" x14ac:dyDescent="0.2">
      <c r="A15" t="s">
        <v>644</v>
      </c>
      <c r="B15" t="s">
        <v>740</v>
      </c>
      <c r="C15" s="6" t="s">
        <v>4817</v>
      </c>
    </row>
    <row r="16" spans="1:4" x14ac:dyDescent="0.2">
      <c r="A16" t="s">
        <v>799</v>
      </c>
      <c r="B16" t="s">
        <v>1351</v>
      </c>
      <c r="C16" s="6"/>
    </row>
    <row r="17" spans="1:4" x14ac:dyDescent="0.2">
      <c r="A17" t="s">
        <v>988</v>
      </c>
      <c r="B17" t="s">
        <v>1351</v>
      </c>
      <c r="C17" s="6"/>
    </row>
    <row r="18" spans="1:4" x14ac:dyDescent="0.2">
      <c r="A18" t="s">
        <v>335</v>
      </c>
      <c r="B18" t="s">
        <v>1351</v>
      </c>
      <c r="C18" s="6"/>
    </row>
    <row r="19" spans="1:4" x14ac:dyDescent="0.2">
      <c r="A19" t="s">
        <v>1353</v>
      </c>
      <c r="B19" t="s">
        <v>1351</v>
      </c>
      <c r="C19" s="6"/>
    </row>
    <row r="20" spans="1:4" x14ac:dyDescent="0.2">
      <c r="A20" t="s">
        <v>1347</v>
      </c>
      <c r="B20" t="s">
        <v>3433</v>
      </c>
      <c r="C20" s="6"/>
    </row>
    <row r="21" spans="1:4" x14ac:dyDescent="0.2">
      <c r="A21" t="s">
        <v>1457</v>
      </c>
      <c r="B21" t="s">
        <v>1351</v>
      </c>
      <c r="C21" s="6"/>
    </row>
    <row r="22" spans="1:4" x14ac:dyDescent="0.2">
      <c r="A22" t="s">
        <v>483</v>
      </c>
      <c r="B22" t="s">
        <v>1351</v>
      </c>
      <c r="C22" s="6"/>
    </row>
    <row r="23" spans="1:4" x14ac:dyDescent="0.2">
      <c r="A23" t="s">
        <v>1524</v>
      </c>
      <c r="B23" t="s">
        <v>740</v>
      </c>
      <c r="C23" s="6" t="s">
        <v>4817</v>
      </c>
    </row>
    <row r="24" spans="1:4" x14ac:dyDescent="0.2">
      <c r="A24" t="s">
        <v>1538</v>
      </c>
      <c r="B24" t="s">
        <v>740</v>
      </c>
      <c r="C24" s="6" t="s">
        <v>3428</v>
      </c>
    </row>
    <row r="25" spans="1:4" x14ac:dyDescent="0.2">
      <c r="A25" t="s">
        <v>332</v>
      </c>
      <c r="B25" t="s">
        <v>740</v>
      </c>
      <c r="C25" s="6" t="s">
        <v>3428</v>
      </c>
    </row>
    <row r="26" spans="1:4" x14ac:dyDescent="0.2">
      <c r="A26" s="16" t="s">
        <v>1533</v>
      </c>
      <c r="B26" t="s">
        <v>740</v>
      </c>
      <c r="C26" s="37" t="s">
        <v>4817</v>
      </c>
      <c r="D26" t="s">
        <v>3434</v>
      </c>
    </row>
    <row r="27" spans="1:4" x14ac:dyDescent="0.2">
      <c r="A27" t="s">
        <v>1583</v>
      </c>
      <c r="B27" t="s">
        <v>740</v>
      </c>
      <c r="C27" s="6" t="s">
        <v>3428</v>
      </c>
    </row>
    <row r="28" spans="1:4" x14ac:dyDescent="0.2">
      <c r="A28" s="16" t="s">
        <v>1235</v>
      </c>
      <c r="B28" t="s">
        <v>740</v>
      </c>
      <c r="C28" s="37" t="s">
        <v>4817</v>
      </c>
      <c r="D28" t="s">
        <v>3434</v>
      </c>
    </row>
    <row r="29" spans="1:4" x14ac:dyDescent="0.2">
      <c r="A29" t="s">
        <v>1564</v>
      </c>
      <c r="B29" t="s">
        <v>2685</v>
      </c>
      <c r="C29" s="6"/>
    </row>
    <row r="30" spans="1:4" x14ac:dyDescent="0.2">
      <c r="A30" t="s">
        <v>2186</v>
      </c>
      <c r="B30" t="s">
        <v>2685</v>
      </c>
      <c r="C30" s="6"/>
    </row>
    <row r="31" spans="1:4" x14ac:dyDescent="0.2">
      <c r="A31" s="16" t="s">
        <v>2520</v>
      </c>
      <c r="B31" t="s">
        <v>740</v>
      </c>
      <c r="C31" s="6" t="s">
        <v>4817</v>
      </c>
    </row>
    <row r="32" spans="1:4" x14ac:dyDescent="0.2">
      <c r="A32" s="12" t="s">
        <v>2588</v>
      </c>
      <c r="B32" t="s">
        <v>740</v>
      </c>
      <c r="C32" s="6" t="s">
        <v>3428</v>
      </c>
      <c r="D32" t="s">
        <v>3435</v>
      </c>
    </row>
    <row r="33" spans="1:4" x14ac:dyDescent="0.2">
      <c r="A33" s="16" t="s">
        <v>274</v>
      </c>
      <c r="B33" t="s">
        <v>740</v>
      </c>
      <c r="C33" s="37" t="s">
        <v>6236</v>
      </c>
      <c r="D33" t="s">
        <v>6237</v>
      </c>
    </row>
    <row r="34" spans="1:4" x14ac:dyDescent="0.2">
      <c r="A34" s="16" t="s">
        <v>1539</v>
      </c>
      <c r="B34" t="s">
        <v>740</v>
      </c>
      <c r="C34" s="37" t="s">
        <v>3428</v>
      </c>
      <c r="D34" t="s">
        <v>6235</v>
      </c>
    </row>
    <row r="35" spans="1:4" x14ac:dyDescent="0.2">
      <c r="A35" t="s">
        <v>872</v>
      </c>
      <c r="B35" t="s">
        <v>3433</v>
      </c>
      <c r="C35" s="6"/>
    </row>
    <row r="36" spans="1:4" x14ac:dyDescent="0.2">
      <c r="A36" t="s">
        <v>391</v>
      </c>
      <c r="B36" t="s">
        <v>3433</v>
      </c>
      <c r="C36" s="6"/>
    </row>
    <row r="37" spans="1:4" x14ac:dyDescent="0.2">
      <c r="A37" t="s">
        <v>2660</v>
      </c>
      <c r="B37" t="s">
        <v>3433</v>
      </c>
      <c r="C37" s="6"/>
    </row>
    <row r="38" spans="1:4" x14ac:dyDescent="0.2">
      <c r="A38" t="s">
        <v>651</v>
      </c>
      <c r="B38" t="s">
        <v>3433</v>
      </c>
      <c r="C38" s="6"/>
    </row>
    <row r="39" spans="1:4" x14ac:dyDescent="0.2">
      <c r="A39" t="s">
        <v>106</v>
      </c>
      <c r="B39" t="s">
        <v>3433</v>
      </c>
      <c r="C39" s="6"/>
    </row>
    <row r="40" spans="1:4" x14ac:dyDescent="0.2">
      <c r="A40" t="s">
        <v>612</v>
      </c>
      <c r="B40" t="s">
        <v>3433</v>
      </c>
      <c r="C40" s="6"/>
    </row>
    <row r="41" spans="1:4" x14ac:dyDescent="0.2">
      <c r="A41" t="s">
        <v>375</v>
      </c>
      <c r="B41" t="s">
        <v>3430</v>
      </c>
      <c r="C41" s="6"/>
    </row>
    <row r="42" spans="1:4" x14ac:dyDescent="0.2">
      <c r="A42" t="s">
        <v>392</v>
      </c>
      <c r="B42" t="s">
        <v>1351</v>
      </c>
      <c r="C42" s="6"/>
    </row>
    <row r="43" spans="1:4" x14ac:dyDescent="0.2">
      <c r="A43" t="s">
        <v>697</v>
      </c>
      <c r="B43" t="s">
        <v>3430</v>
      </c>
      <c r="C43" s="6"/>
    </row>
    <row r="44" spans="1:4" x14ac:dyDescent="0.2">
      <c r="A44" t="s">
        <v>1351</v>
      </c>
      <c r="B44" t="s">
        <v>1351</v>
      </c>
      <c r="C44" s="6"/>
    </row>
    <row r="45" spans="1:4" x14ac:dyDescent="0.2">
      <c r="A45" t="s">
        <v>1567</v>
      </c>
      <c r="B45" t="s">
        <v>1351</v>
      </c>
      <c r="C45" s="6"/>
    </row>
    <row r="46" spans="1:4" x14ac:dyDescent="0.2">
      <c r="A46" t="s">
        <v>505</v>
      </c>
      <c r="B46" t="s">
        <v>1351</v>
      </c>
      <c r="C46" s="6"/>
    </row>
    <row r="47" spans="1:4" x14ac:dyDescent="0.2">
      <c r="A47" t="s">
        <v>1554</v>
      </c>
      <c r="B47" t="s">
        <v>3433</v>
      </c>
      <c r="C47" s="6"/>
    </row>
    <row r="48" spans="1:4" x14ac:dyDescent="0.2">
      <c r="A48" t="s">
        <v>1591</v>
      </c>
      <c r="B48" t="s">
        <v>3433</v>
      </c>
      <c r="C48" s="6"/>
    </row>
    <row r="49" spans="1:3" x14ac:dyDescent="0.2">
      <c r="A49" t="s">
        <v>110</v>
      </c>
      <c r="B49" t="s">
        <v>3436</v>
      </c>
      <c r="C49" s="6"/>
    </row>
    <row r="50" spans="1:3" x14ac:dyDescent="0.2">
      <c r="A50" s="16" t="s">
        <v>1560</v>
      </c>
      <c r="B50" t="s">
        <v>740</v>
      </c>
      <c r="C50" s="37" t="s">
        <v>3437</v>
      </c>
    </row>
    <row r="51" spans="1:3" x14ac:dyDescent="0.2">
      <c r="A51" s="16" t="s">
        <v>2657</v>
      </c>
      <c r="B51" t="s">
        <v>740</v>
      </c>
      <c r="C51" s="37" t="s">
        <v>3437</v>
      </c>
    </row>
    <row r="52" spans="1:3" x14ac:dyDescent="0.2">
      <c r="A52" t="s">
        <v>113</v>
      </c>
      <c r="B52" t="s">
        <v>2685</v>
      </c>
      <c r="C52" s="6"/>
    </row>
    <row r="53" spans="1:3" x14ac:dyDescent="0.2">
      <c r="A53" t="s">
        <v>338</v>
      </c>
      <c r="B53" t="s">
        <v>2685</v>
      </c>
      <c r="C53" s="6"/>
    </row>
    <row r="54" spans="1:3" x14ac:dyDescent="0.2">
      <c r="A54" t="s">
        <v>213</v>
      </c>
      <c r="B54" t="s">
        <v>3443</v>
      </c>
      <c r="C54" s="6"/>
    </row>
    <row r="55" spans="1:3" x14ac:dyDescent="0.2">
      <c r="A55" t="s">
        <v>1083</v>
      </c>
      <c r="B55" t="s">
        <v>3430</v>
      </c>
      <c r="C55" s="6"/>
    </row>
    <row r="56" spans="1:3" x14ac:dyDescent="0.2">
      <c r="A56" t="s">
        <v>118</v>
      </c>
      <c r="B56" t="s">
        <v>3443</v>
      </c>
      <c r="C56" s="6"/>
    </row>
    <row r="57" spans="1:3" x14ac:dyDescent="0.2">
      <c r="A57" t="s">
        <v>395</v>
      </c>
      <c r="B57" t="s">
        <v>3443</v>
      </c>
      <c r="C57" s="6"/>
    </row>
    <row r="58" spans="1:3" x14ac:dyDescent="0.2">
      <c r="A58" t="s">
        <v>1537</v>
      </c>
      <c r="B58" t="s">
        <v>3430</v>
      </c>
      <c r="C58" s="6"/>
    </row>
    <row r="59" spans="1:3" x14ac:dyDescent="0.2">
      <c r="A59" t="s">
        <v>647</v>
      </c>
      <c r="B59" t="s">
        <v>3430</v>
      </c>
      <c r="C59" s="6"/>
    </row>
    <row r="60" spans="1:3" x14ac:dyDescent="0.2">
      <c r="A60" t="s">
        <v>125</v>
      </c>
      <c r="B60" t="s">
        <v>3443</v>
      </c>
      <c r="C60" s="6"/>
    </row>
    <row r="61" spans="1:3" x14ac:dyDescent="0.2">
      <c r="A61" t="s">
        <v>121</v>
      </c>
      <c r="B61" t="s">
        <v>3443</v>
      </c>
      <c r="C61" s="6"/>
    </row>
    <row r="62" spans="1:3" x14ac:dyDescent="0.2">
      <c r="A62" t="s">
        <v>339</v>
      </c>
      <c r="B62" t="s">
        <v>3443</v>
      </c>
      <c r="C62" s="6"/>
    </row>
    <row r="63" spans="1:3" x14ac:dyDescent="0.2">
      <c r="A63" t="s">
        <v>2218</v>
      </c>
      <c r="B63" t="s">
        <v>3443</v>
      </c>
      <c r="C63" s="6"/>
    </row>
    <row r="64" spans="1:3" x14ac:dyDescent="0.2">
      <c r="A64" t="s">
        <v>2552</v>
      </c>
      <c r="B64" t="s">
        <v>3443</v>
      </c>
      <c r="C64" s="6"/>
    </row>
    <row r="65" spans="1:3" x14ac:dyDescent="0.2">
      <c r="A65" t="s">
        <v>2172</v>
      </c>
      <c r="B65" t="s">
        <v>740</v>
      </c>
      <c r="C65" s="6" t="s">
        <v>4817</v>
      </c>
    </row>
    <row r="66" spans="1:3" x14ac:dyDescent="0.2">
      <c r="A66" t="s">
        <v>1529</v>
      </c>
      <c r="B66" t="s">
        <v>740</v>
      </c>
      <c r="C66" s="6" t="s">
        <v>4817</v>
      </c>
    </row>
    <row r="67" spans="1:3" x14ac:dyDescent="0.2">
      <c r="A67" t="s">
        <v>1389</v>
      </c>
      <c r="B67" t="s">
        <v>740</v>
      </c>
      <c r="C67" s="6" t="s">
        <v>228</v>
      </c>
    </row>
    <row r="68" spans="1:3" x14ac:dyDescent="0.2">
      <c r="A68" t="s">
        <v>364</v>
      </c>
      <c r="B68" t="s">
        <v>740</v>
      </c>
      <c r="C68" s="6" t="s">
        <v>228</v>
      </c>
    </row>
    <row r="69" spans="1:3" x14ac:dyDescent="0.2">
      <c r="A69" t="s">
        <v>228</v>
      </c>
      <c r="B69" t="s">
        <v>740</v>
      </c>
      <c r="C69" s="6" t="s">
        <v>228</v>
      </c>
    </row>
    <row r="70" spans="1:3" x14ac:dyDescent="0.2">
      <c r="A70" t="s">
        <v>623</v>
      </c>
      <c r="B70" t="s">
        <v>740</v>
      </c>
      <c r="C70" s="6" t="s">
        <v>228</v>
      </c>
    </row>
    <row r="71" spans="1:3" x14ac:dyDescent="0.2">
      <c r="A71" t="s">
        <v>624</v>
      </c>
      <c r="B71" t="s">
        <v>740</v>
      </c>
      <c r="C71" s="6" t="s">
        <v>228</v>
      </c>
    </row>
    <row r="72" spans="1:3" x14ac:dyDescent="0.2">
      <c r="A72" t="s">
        <v>627</v>
      </c>
      <c r="B72" t="s">
        <v>740</v>
      </c>
      <c r="C72" s="6" t="s">
        <v>228</v>
      </c>
    </row>
    <row r="73" spans="1:3" x14ac:dyDescent="0.2">
      <c r="A73" t="s">
        <v>1459</v>
      </c>
      <c r="B73" t="s">
        <v>2789</v>
      </c>
      <c r="C73" s="6"/>
    </row>
    <row r="74" spans="1:3" x14ac:dyDescent="0.2">
      <c r="A74" t="s">
        <v>2488</v>
      </c>
      <c r="B74" t="s">
        <v>3430</v>
      </c>
      <c r="C74" s="6"/>
    </row>
    <row r="75" spans="1:3" x14ac:dyDescent="0.2">
      <c r="A75" t="s">
        <v>2589</v>
      </c>
      <c r="B75" t="s">
        <v>3430</v>
      </c>
      <c r="C75" s="6"/>
    </row>
    <row r="76" spans="1:3" x14ac:dyDescent="0.2">
      <c r="A76" t="s">
        <v>2556</v>
      </c>
      <c r="B76" t="s">
        <v>3430</v>
      </c>
      <c r="C76" s="6"/>
    </row>
    <row r="77" spans="1:3" x14ac:dyDescent="0.2">
      <c r="A77" t="s">
        <v>2554</v>
      </c>
      <c r="B77" t="s">
        <v>3430</v>
      </c>
      <c r="C77" s="6"/>
    </row>
    <row r="78" spans="1:3" x14ac:dyDescent="0.2">
      <c r="A78" t="s">
        <v>511</v>
      </c>
      <c r="B78" t="s">
        <v>2789</v>
      </c>
      <c r="C78" s="6"/>
    </row>
    <row r="79" spans="1:3" x14ac:dyDescent="0.2">
      <c r="A79" t="s">
        <v>341</v>
      </c>
      <c r="B79" t="s">
        <v>2789</v>
      </c>
      <c r="C79" s="6"/>
    </row>
    <row r="80" spans="1:3" x14ac:dyDescent="0.2">
      <c r="A80" t="s">
        <v>740</v>
      </c>
      <c r="B80" t="s">
        <v>740</v>
      </c>
      <c r="C80" s="6" t="s">
        <v>4817</v>
      </c>
    </row>
    <row r="81" spans="1:3" x14ac:dyDescent="0.2">
      <c r="A81" t="s">
        <v>411</v>
      </c>
      <c r="B81" t="s">
        <v>740</v>
      </c>
      <c r="C81" s="6" t="s">
        <v>4817</v>
      </c>
    </row>
    <row r="82" spans="1:3" x14ac:dyDescent="0.2">
      <c r="A82" t="s">
        <v>800</v>
      </c>
      <c r="B82" t="s">
        <v>740</v>
      </c>
      <c r="C82" s="6" t="s">
        <v>4817</v>
      </c>
    </row>
    <row r="83" spans="1:3" x14ac:dyDescent="0.2">
      <c r="A83" t="s">
        <v>130</v>
      </c>
      <c r="B83" t="s">
        <v>740</v>
      </c>
      <c r="C83" s="6" t="s">
        <v>4817</v>
      </c>
    </row>
    <row r="84" spans="1:3" x14ac:dyDescent="0.2">
      <c r="A84" t="s">
        <v>366</v>
      </c>
      <c r="B84" t="s">
        <v>740</v>
      </c>
      <c r="C84" s="6" t="s">
        <v>4817</v>
      </c>
    </row>
    <row r="85" spans="1:3" x14ac:dyDescent="0.2">
      <c r="A85" t="s">
        <v>409</v>
      </c>
      <c r="B85" t="s">
        <v>740</v>
      </c>
      <c r="C85" s="6" t="s">
        <v>4817</v>
      </c>
    </row>
    <row r="86" spans="1:3" x14ac:dyDescent="0.2">
      <c r="A86" t="s">
        <v>440</v>
      </c>
      <c r="B86" t="s">
        <v>3433</v>
      </c>
      <c r="C86" s="6"/>
    </row>
    <row r="87" spans="1:3" x14ac:dyDescent="0.2">
      <c r="A87" t="s">
        <v>428</v>
      </c>
      <c r="B87" t="s">
        <v>3433</v>
      </c>
      <c r="C87" s="6"/>
    </row>
    <row r="88" spans="1:3" x14ac:dyDescent="0.2">
      <c r="A88" t="s">
        <v>430</v>
      </c>
      <c r="B88" t="s">
        <v>3430</v>
      </c>
      <c r="C88" s="6"/>
    </row>
    <row r="89" spans="1:3" x14ac:dyDescent="0.2">
      <c r="A89" t="s">
        <v>393</v>
      </c>
      <c r="B89" t="s">
        <v>3433</v>
      </c>
      <c r="C89" s="6"/>
    </row>
    <row r="90" spans="1:3" x14ac:dyDescent="0.2">
      <c r="A90" t="s">
        <v>398</v>
      </c>
      <c r="B90" t="s">
        <v>3430</v>
      </c>
      <c r="C90" s="6"/>
    </row>
    <row r="91" spans="1:3" x14ac:dyDescent="0.2">
      <c r="A91" t="s">
        <v>403</v>
      </c>
      <c r="B91" t="s">
        <v>3430</v>
      </c>
      <c r="C91" s="6"/>
    </row>
    <row r="92" spans="1:3" x14ac:dyDescent="0.2">
      <c r="A92" t="s">
        <v>1425</v>
      </c>
      <c r="B92" t="s">
        <v>740</v>
      </c>
      <c r="C92" s="6" t="s">
        <v>4819</v>
      </c>
    </row>
    <row r="93" spans="1:3" x14ac:dyDescent="0.2">
      <c r="A93" t="s">
        <v>1391</v>
      </c>
      <c r="B93" t="s">
        <v>740</v>
      </c>
      <c r="C93" s="6" t="s">
        <v>4819</v>
      </c>
    </row>
    <row r="94" spans="1:3" x14ac:dyDescent="0.2">
      <c r="A94" t="s">
        <v>1326</v>
      </c>
      <c r="B94" t="s">
        <v>740</v>
      </c>
      <c r="C94" s="6" t="s">
        <v>4819</v>
      </c>
    </row>
    <row r="95" spans="1:3" x14ac:dyDescent="0.2">
      <c r="A95" t="s">
        <v>343</v>
      </c>
      <c r="B95" t="s">
        <v>740</v>
      </c>
      <c r="C95" s="6" t="s">
        <v>4819</v>
      </c>
    </row>
    <row r="96" spans="1:3" x14ac:dyDescent="0.2">
      <c r="A96" t="s">
        <v>640</v>
      </c>
      <c r="B96" t="s">
        <v>740</v>
      </c>
      <c r="C96" s="6" t="s">
        <v>4819</v>
      </c>
    </row>
    <row r="97" spans="1:3" x14ac:dyDescent="0.2">
      <c r="A97" t="s">
        <v>619</v>
      </c>
      <c r="B97" t="s">
        <v>740</v>
      </c>
      <c r="C97" s="6" t="s">
        <v>4819</v>
      </c>
    </row>
    <row r="98" spans="1:3" x14ac:dyDescent="0.2">
      <c r="A98" t="s">
        <v>1461</v>
      </c>
      <c r="B98" t="s">
        <v>740</v>
      </c>
      <c r="C98" s="6" t="s">
        <v>6243</v>
      </c>
    </row>
    <row r="99" spans="1:3" x14ac:dyDescent="0.2">
      <c r="A99" t="s">
        <v>1305</v>
      </c>
      <c r="B99" t="s">
        <v>740</v>
      </c>
      <c r="C99" s="6" t="s">
        <v>6243</v>
      </c>
    </row>
    <row r="100" spans="1:3" x14ac:dyDescent="0.2">
      <c r="A100" t="s">
        <v>1186</v>
      </c>
      <c r="B100" t="s">
        <v>740</v>
      </c>
      <c r="C100" s="6" t="s">
        <v>6243</v>
      </c>
    </row>
    <row r="101" spans="1:3" x14ac:dyDescent="0.2">
      <c r="A101" t="s">
        <v>471</v>
      </c>
      <c r="B101" t="s">
        <v>740</v>
      </c>
      <c r="C101" s="6" t="s">
        <v>4817</v>
      </c>
    </row>
    <row r="102" spans="1:3" x14ac:dyDescent="0.2">
      <c r="A102" t="s">
        <v>1460</v>
      </c>
      <c r="B102" t="s">
        <v>3430</v>
      </c>
      <c r="C102" s="6"/>
    </row>
    <row r="103" spans="1:3" x14ac:dyDescent="0.2">
      <c r="A103" t="s">
        <v>1264</v>
      </c>
      <c r="B103" t="s">
        <v>1351</v>
      </c>
      <c r="C103" s="6"/>
    </row>
    <row r="104" spans="1:3" x14ac:dyDescent="0.2">
      <c r="A104" t="s">
        <v>2590</v>
      </c>
      <c r="B104" t="s">
        <v>3430</v>
      </c>
      <c r="C104" s="6"/>
    </row>
    <row r="105" spans="1:3" x14ac:dyDescent="0.2">
      <c r="A105" t="s">
        <v>298</v>
      </c>
      <c r="B105" t="s">
        <v>1351</v>
      </c>
      <c r="C105" s="6"/>
    </row>
    <row r="106" spans="1:3" x14ac:dyDescent="0.2">
      <c r="A106" t="s">
        <v>847</v>
      </c>
      <c r="B106" t="s">
        <v>1351</v>
      </c>
      <c r="C106" s="6"/>
    </row>
    <row r="107" spans="1:3" x14ac:dyDescent="0.2">
      <c r="A107" t="s">
        <v>766</v>
      </c>
      <c r="B107" t="s">
        <v>740</v>
      </c>
      <c r="C107" s="6" t="s">
        <v>3438</v>
      </c>
    </row>
    <row r="108" spans="1:3" x14ac:dyDescent="0.2">
      <c r="A108" t="s">
        <v>1031</v>
      </c>
      <c r="B108" t="s">
        <v>740</v>
      </c>
      <c r="C108" s="6" t="s">
        <v>3438</v>
      </c>
    </row>
    <row r="109" spans="1:3" x14ac:dyDescent="0.2">
      <c r="A109" t="s">
        <v>1311</v>
      </c>
      <c r="B109" t="s">
        <v>740</v>
      </c>
      <c r="C109" s="6" t="s">
        <v>3438</v>
      </c>
    </row>
    <row r="110" spans="1:3" x14ac:dyDescent="0.2">
      <c r="A110" t="s">
        <v>2675</v>
      </c>
      <c r="B110" t="s">
        <v>3436</v>
      </c>
      <c r="C110" s="6"/>
    </row>
    <row r="111" spans="1:3" x14ac:dyDescent="0.2">
      <c r="A111" t="s">
        <v>2681</v>
      </c>
      <c r="B111" t="s">
        <v>2622</v>
      </c>
      <c r="C111" s="6"/>
    </row>
    <row r="112" spans="1:3" x14ac:dyDescent="0.2">
      <c r="A112" t="s">
        <v>2679</v>
      </c>
      <c r="B112" t="s">
        <v>3436</v>
      </c>
      <c r="C112" s="6"/>
    </row>
    <row r="113" spans="1:4" x14ac:dyDescent="0.2">
      <c r="A113" t="s">
        <v>2561</v>
      </c>
      <c r="B113" t="s">
        <v>740</v>
      </c>
      <c r="C113" s="6" t="s">
        <v>4817</v>
      </c>
    </row>
    <row r="114" spans="1:4" x14ac:dyDescent="0.2">
      <c r="A114" t="s">
        <v>1053</v>
      </c>
      <c r="B114" t="s">
        <v>740</v>
      </c>
      <c r="C114" s="6" t="s">
        <v>4817</v>
      </c>
    </row>
    <row r="115" spans="1:4" x14ac:dyDescent="0.2">
      <c r="A115" t="s">
        <v>1551</v>
      </c>
      <c r="B115" t="s">
        <v>740</v>
      </c>
      <c r="C115" s="6" t="s">
        <v>4817</v>
      </c>
    </row>
    <row r="116" spans="1:4" x14ac:dyDescent="0.2">
      <c r="A116" t="s">
        <v>140</v>
      </c>
      <c r="B116" t="s">
        <v>740</v>
      </c>
      <c r="C116" s="6" t="s">
        <v>4817</v>
      </c>
    </row>
    <row r="117" spans="1:4" x14ac:dyDescent="0.2">
      <c r="A117" t="s">
        <v>1535</v>
      </c>
      <c r="B117" t="s">
        <v>740</v>
      </c>
      <c r="C117" s="6" t="s">
        <v>4817</v>
      </c>
    </row>
    <row r="118" spans="1:4" x14ac:dyDescent="0.2">
      <c r="A118" t="s">
        <v>698</v>
      </c>
      <c r="B118" t="s">
        <v>740</v>
      </c>
      <c r="C118" s="6" t="s">
        <v>4817</v>
      </c>
    </row>
    <row r="119" spans="1:4" x14ac:dyDescent="0.2">
      <c r="A119" t="s">
        <v>1229</v>
      </c>
      <c r="B119" t="s">
        <v>740</v>
      </c>
      <c r="C119" s="6" t="s">
        <v>3428</v>
      </c>
    </row>
    <row r="120" spans="1:4" x14ac:dyDescent="0.2">
      <c r="A120" t="s">
        <v>1582</v>
      </c>
      <c r="B120" t="s">
        <v>740</v>
      </c>
      <c r="C120" s="6" t="s">
        <v>3428</v>
      </c>
    </row>
    <row r="121" spans="1:4" x14ac:dyDescent="0.2">
      <c r="A121" t="s">
        <v>2203</v>
      </c>
      <c r="B121" t="s">
        <v>740</v>
      </c>
      <c r="C121" s="6" t="s">
        <v>3428</v>
      </c>
    </row>
    <row r="122" spans="1:4" x14ac:dyDescent="0.2">
      <c r="A122" t="s">
        <v>1426</v>
      </c>
      <c r="B122" t="s">
        <v>740</v>
      </c>
      <c r="C122" s="37" t="s">
        <v>6236</v>
      </c>
    </row>
    <row r="123" spans="1:4" x14ac:dyDescent="0.2">
      <c r="A123" t="s">
        <v>804</v>
      </c>
      <c r="B123" t="s">
        <v>740</v>
      </c>
      <c r="C123" s="37" t="s">
        <v>6236</v>
      </c>
    </row>
    <row r="124" spans="1:4" x14ac:dyDescent="0.2">
      <c r="A124" t="s">
        <v>1587</v>
      </c>
      <c r="B124" t="s">
        <v>740</v>
      </c>
      <c r="C124" s="6" t="s">
        <v>4817</v>
      </c>
    </row>
    <row r="125" spans="1:4" x14ac:dyDescent="0.2">
      <c r="A125" t="s">
        <v>273</v>
      </c>
      <c r="B125" t="s">
        <v>740</v>
      </c>
      <c r="C125" s="6" t="s">
        <v>4817</v>
      </c>
    </row>
    <row r="126" spans="1:4" x14ac:dyDescent="0.2">
      <c r="A126" t="s">
        <v>144</v>
      </c>
      <c r="B126" t="s">
        <v>740</v>
      </c>
      <c r="C126" s="6" t="s">
        <v>4817</v>
      </c>
    </row>
    <row r="127" spans="1:4" x14ac:dyDescent="0.2">
      <c r="A127" t="s">
        <v>142</v>
      </c>
      <c r="B127" t="s">
        <v>740</v>
      </c>
      <c r="C127" s="6" t="s">
        <v>4817</v>
      </c>
    </row>
    <row r="128" spans="1:4" x14ac:dyDescent="0.2">
      <c r="A128" s="17" t="s">
        <v>365</v>
      </c>
      <c r="B128" t="s">
        <v>740</v>
      </c>
      <c r="C128" s="37" t="s">
        <v>3437</v>
      </c>
      <c r="D128" t="s">
        <v>3439</v>
      </c>
    </row>
    <row r="129" spans="1:3" x14ac:dyDescent="0.2">
      <c r="A129" t="s">
        <v>1527</v>
      </c>
      <c r="B129" t="s">
        <v>740</v>
      </c>
      <c r="C129" s="37" t="s">
        <v>3437</v>
      </c>
    </row>
    <row r="130" spans="1:3" x14ac:dyDescent="0.2">
      <c r="A130" t="s">
        <v>2206</v>
      </c>
      <c r="B130" t="s">
        <v>740</v>
      </c>
      <c r="C130" s="37" t="s">
        <v>3437</v>
      </c>
    </row>
    <row r="131" spans="1:3" x14ac:dyDescent="0.2">
      <c r="A131" t="s">
        <v>1574</v>
      </c>
      <c r="B131" t="s">
        <v>740</v>
      </c>
      <c r="C131" s="6" t="s">
        <v>4817</v>
      </c>
    </row>
    <row r="132" spans="1:3" x14ac:dyDescent="0.2">
      <c r="A132" t="s">
        <v>986</v>
      </c>
      <c r="B132" t="s">
        <v>2685</v>
      </c>
      <c r="C132" s="38"/>
    </row>
    <row r="133" spans="1:3" x14ac:dyDescent="0.2">
      <c r="A133" t="s">
        <v>1279</v>
      </c>
      <c r="B133" t="s">
        <v>1351</v>
      </c>
      <c r="C133" s="6"/>
    </row>
    <row r="134" spans="1:3" x14ac:dyDescent="0.2">
      <c r="A134" t="s">
        <v>334</v>
      </c>
      <c r="B134" t="s">
        <v>1351</v>
      </c>
      <c r="C134" s="6"/>
    </row>
    <row r="135" spans="1:3" x14ac:dyDescent="0.2">
      <c r="A135" t="s">
        <v>480</v>
      </c>
      <c r="B135" t="s">
        <v>1351</v>
      </c>
      <c r="C135" s="6"/>
    </row>
    <row r="136" spans="1:3" x14ac:dyDescent="0.2">
      <c r="A136" t="s">
        <v>1005</v>
      </c>
      <c r="B136" t="s">
        <v>1351</v>
      </c>
      <c r="C136" s="6"/>
    </row>
    <row r="137" spans="1:3" x14ac:dyDescent="0.2">
      <c r="A137" t="s">
        <v>1223</v>
      </c>
      <c r="B137" t="s">
        <v>3436</v>
      </c>
      <c r="C137" s="6"/>
    </row>
    <row r="138" spans="1:3" x14ac:dyDescent="0.2">
      <c r="A138" t="s">
        <v>1458</v>
      </c>
      <c r="B138" t="s">
        <v>3443</v>
      </c>
      <c r="C138" s="6"/>
    </row>
    <row r="139" spans="1:3" x14ac:dyDescent="0.2">
      <c r="A139" t="s">
        <v>987</v>
      </c>
      <c r="B139" t="s">
        <v>3443</v>
      </c>
      <c r="C139" s="6"/>
    </row>
    <row r="140" spans="1:3" x14ac:dyDescent="0.2">
      <c r="A140" t="s">
        <v>914</v>
      </c>
      <c r="B140" t="s">
        <v>3443</v>
      </c>
      <c r="C140" s="6"/>
    </row>
    <row r="141" spans="1:3" x14ac:dyDescent="0.2">
      <c r="A141" t="s">
        <v>998</v>
      </c>
      <c r="B141" t="s">
        <v>740</v>
      </c>
      <c r="C141" s="6" t="s">
        <v>4817</v>
      </c>
    </row>
    <row r="142" spans="1:3" x14ac:dyDescent="0.2">
      <c r="A142" t="s">
        <v>397</v>
      </c>
      <c r="B142" t="s">
        <v>740</v>
      </c>
      <c r="C142" s="6" t="s">
        <v>4817</v>
      </c>
    </row>
    <row r="143" spans="1:3" x14ac:dyDescent="0.2">
      <c r="A143" t="s">
        <v>178</v>
      </c>
      <c r="B143" t="s">
        <v>3436</v>
      </c>
      <c r="C143" s="6"/>
    </row>
    <row r="144" spans="1:3" x14ac:dyDescent="0.2">
      <c r="A144" t="s">
        <v>145</v>
      </c>
      <c r="B144" t="s">
        <v>740</v>
      </c>
      <c r="C144" s="6" t="s">
        <v>4817</v>
      </c>
    </row>
    <row r="145" spans="1:3" x14ac:dyDescent="0.2">
      <c r="A145" t="s">
        <v>984</v>
      </c>
      <c r="B145" t="s">
        <v>3433</v>
      </c>
      <c r="C145" s="6"/>
    </row>
    <row r="146" spans="1:3" x14ac:dyDescent="0.2">
      <c r="A146" t="s">
        <v>915</v>
      </c>
      <c r="B146" t="s">
        <v>3433</v>
      </c>
      <c r="C146" s="6"/>
    </row>
    <row r="147" spans="1:3" x14ac:dyDescent="0.2">
      <c r="A147" t="s">
        <v>1589</v>
      </c>
      <c r="B147" t="s">
        <v>3430</v>
      </c>
      <c r="C147" s="6"/>
    </row>
    <row r="148" spans="1:3" x14ac:dyDescent="0.2">
      <c r="A148" t="s">
        <v>1344</v>
      </c>
      <c r="B148" t="s">
        <v>3430</v>
      </c>
      <c r="C148" s="6"/>
    </row>
    <row r="149" spans="1:3" x14ac:dyDescent="0.2">
      <c r="A149" t="s">
        <v>871</v>
      </c>
      <c r="B149" t="s">
        <v>3430</v>
      </c>
      <c r="C149" s="6"/>
    </row>
    <row r="150" spans="1:3" x14ac:dyDescent="0.2">
      <c r="A150" t="s">
        <v>1595</v>
      </c>
      <c r="B150" t="s">
        <v>3436</v>
      </c>
      <c r="C150" s="6"/>
    </row>
    <row r="151" spans="1:3" x14ac:dyDescent="0.2">
      <c r="A151" t="s">
        <v>724</v>
      </c>
      <c r="B151" t="s">
        <v>3430</v>
      </c>
      <c r="C151" s="6"/>
    </row>
    <row r="152" spans="1:3" x14ac:dyDescent="0.2">
      <c r="A152" t="s">
        <v>1183</v>
      </c>
      <c r="B152" t="s">
        <v>3430</v>
      </c>
      <c r="C152" s="6"/>
    </row>
    <row r="153" spans="1:3" x14ac:dyDescent="0.2">
      <c r="A153" t="s">
        <v>1040</v>
      </c>
      <c r="B153" t="s">
        <v>1351</v>
      </c>
      <c r="C153" s="6"/>
    </row>
    <row r="154" spans="1:3" x14ac:dyDescent="0.2">
      <c r="A154" t="s">
        <v>2622</v>
      </c>
      <c r="B154" t="s">
        <v>2622</v>
      </c>
      <c r="C154" s="6"/>
    </row>
    <row r="155" spans="1:3" x14ac:dyDescent="0.2">
      <c r="A155" t="s">
        <v>2202</v>
      </c>
      <c r="B155" t="s">
        <v>504</v>
      </c>
      <c r="C155" s="6"/>
    </row>
    <row r="156" spans="1:3" x14ac:dyDescent="0.2">
      <c r="A156" t="s">
        <v>307</v>
      </c>
      <c r="B156" t="s">
        <v>3443</v>
      </c>
      <c r="C156" s="6"/>
    </row>
    <row r="157" spans="1:3" x14ac:dyDescent="0.2">
      <c r="A157" t="s">
        <v>192</v>
      </c>
      <c r="B157" t="s">
        <v>740</v>
      </c>
      <c r="C157" s="6" t="s">
        <v>6243</v>
      </c>
    </row>
    <row r="158" spans="1:3" x14ac:dyDescent="0.2">
      <c r="A158" t="s">
        <v>1030</v>
      </c>
      <c r="B158" t="s">
        <v>740</v>
      </c>
      <c r="C158" s="6" t="s">
        <v>6243</v>
      </c>
    </row>
    <row r="159" spans="1:3" x14ac:dyDescent="0.2">
      <c r="A159" t="s">
        <v>202</v>
      </c>
      <c r="B159" t="s">
        <v>740</v>
      </c>
      <c r="C159" s="6" t="s">
        <v>6243</v>
      </c>
    </row>
    <row r="160" spans="1:3" x14ac:dyDescent="0.2">
      <c r="A160" t="s">
        <v>234</v>
      </c>
      <c r="B160" t="s">
        <v>740</v>
      </c>
      <c r="C160" s="6" t="s">
        <v>6243</v>
      </c>
    </row>
    <row r="161" spans="1:3" x14ac:dyDescent="0.2">
      <c r="A161" t="s">
        <v>760</v>
      </c>
      <c r="B161" t="s">
        <v>740</v>
      </c>
      <c r="C161" s="6" t="s">
        <v>4817</v>
      </c>
    </row>
    <row r="162" spans="1:3" x14ac:dyDescent="0.2">
      <c r="A162" t="s">
        <v>1013</v>
      </c>
      <c r="B162" t="s">
        <v>3436</v>
      </c>
      <c r="C162" s="6"/>
    </row>
    <row r="163" spans="1:3" x14ac:dyDescent="0.2">
      <c r="A163" t="s">
        <v>810</v>
      </c>
      <c r="B163" t="s">
        <v>3443</v>
      </c>
      <c r="C163" s="6"/>
    </row>
    <row r="164" spans="1:3" x14ac:dyDescent="0.2">
      <c r="A164" t="s">
        <v>360</v>
      </c>
      <c r="B164" t="s">
        <v>3443</v>
      </c>
      <c r="C164" s="6"/>
    </row>
    <row r="165" spans="1:3" x14ac:dyDescent="0.2">
      <c r="A165" t="s">
        <v>1041</v>
      </c>
      <c r="B165" t="s">
        <v>3443</v>
      </c>
      <c r="C165" s="6"/>
    </row>
    <row r="166" spans="1:3" x14ac:dyDescent="0.2">
      <c r="A166" t="s">
        <v>1061</v>
      </c>
      <c r="B166" t="s">
        <v>3443</v>
      </c>
      <c r="C166" s="6"/>
    </row>
    <row r="167" spans="1:3" x14ac:dyDescent="0.2">
      <c r="A167" t="s">
        <v>808</v>
      </c>
      <c r="B167" t="s">
        <v>3430</v>
      </c>
      <c r="C167" s="6"/>
    </row>
    <row r="168" spans="1:3" x14ac:dyDescent="0.2">
      <c r="A168" t="s">
        <v>214</v>
      </c>
      <c r="B168" t="s">
        <v>740</v>
      </c>
      <c r="C168" s="6" t="s">
        <v>6243</v>
      </c>
    </row>
    <row r="169" spans="1:3" x14ac:dyDescent="0.2">
      <c r="A169" t="s">
        <v>108</v>
      </c>
      <c r="B169" t="s">
        <v>3430</v>
      </c>
      <c r="C169" s="6"/>
    </row>
    <row r="170" spans="1:3" x14ac:dyDescent="0.2">
      <c r="A170" t="s">
        <v>1559</v>
      </c>
      <c r="B170" t="s">
        <v>740</v>
      </c>
      <c r="C170" s="6" t="s">
        <v>3440</v>
      </c>
    </row>
    <row r="171" spans="1:3" x14ac:dyDescent="0.2">
      <c r="A171" t="s">
        <v>1390</v>
      </c>
      <c r="B171" t="s">
        <v>740</v>
      </c>
      <c r="C171" s="6" t="s">
        <v>3440</v>
      </c>
    </row>
    <row r="172" spans="1:3" x14ac:dyDescent="0.2">
      <c r="A172" t="s">
        <v>2553</v>
      </c>
      <c r="B172" t="s">
        <v>3430</v>
      </c>
      <c r="C172" s="6"/>
    </row>
    <row r="173" spans="1:3" x14ac:dyDescent="0.2">
      <c r="A173" t="s">
        <v>515</v>
      </c>
      <c r="B173" t="s">
        <v>3430</v>
      </c>
      <c r="C173" s="6"/>
    </row>
    <row r="174" spans="1:3" x14ac:dyDescent="0.2">
      <c r="A174" t="s">
        <v>2659</v>
      </c>
      <c r="B174" t="s">
        <v>3433</v>
      </c>
      <c r="C174" s="6"/>
    </row>
    <row r="175" spans="1:3" x14ac:dyDescent="0.2">
      <c r="A175" t="s">
        <v>646</v>
      </c>
      <c r="B175" t="s">
        <v>3433</v>
      </c>
      <c r="C175" s="6"/>
    </row>
    <row r="176" spans="1:3" x14ac:dyDescent="0.2">
      <c r="A176" t="s">
        <v>407</v>
      </c>
      <c r="B176" t="s">
        <v>3433</v>
      </c>
      <c r="C176" s="6"/>
    </row>
    <row r="177" spans="1:3" x14ac:dyDescent="0.2">
      <c r="A177" t="s">
        <v>956</v>
      </c>
      <c r="B177" t="s">
        <v>740</v>
      </c>
      <c r="C177" s="6" t="s">
        <v>4817</v>
      </c>
    </row>
    <row r="178" spans="1:3" x14ac:dyDescent="0.2">
      <c r="A178" t="s">
        <v>1303</v>
      </c>
      <c r="B178" t="s">
        <v>740</v>
      </c>
      <c r="C178" s="6" t="s">
        <v>3437</v>
      </c>
    </row>
    <row r="179" spans="1:3" x14ac:dyDescent="0.2">
      <c r="A179" t="s">
        <v>426</v>
      </c>
      <c r="B179" t="s">
        <v>740</v>
      </c>
      <c r="C179" s="6" t="s">
        <v>4817</v>
      </c>
    </row>
    <row r="180" spans="1:3" x14ac:dyDescent="0.2">
      <c r="A180" t="s">
        <v>333</v>
      </c>
      <c r="B180" t="s">
        <v>3433</v>
      </c>
      <c r="C180" s="6"/>
    </row>
    <row r="181" spans="1:3" x14ac:dyDescent="0.2">
      <c r="A181" t="s">
        <v>477</v>
      </c>
      <c r="B181" t="s">
        <v>740</v>
      </c>
      <c r="C181" s="6" t="s">
        <v>4817</v>
      </c>
    </row>
    <row r="182" spans="1:3" x14ac:dyDescent="0.2">
      <c r="A182" t="s">
        <v>104</v>
      </c>
      <c r="B182" t="s">
        <v>504</v>
      </c>
      <c r="C182" s="6"/>
    </row>
    <row r="183" spans="1:3" x14ac:dyDescent="0.2">
      <c r="A183" t="s">
        <v>337</v>
      </c>
      <c r="B183" t="s">
        <v>504</v>
      </c>
      <c r="C183" s="6"/>
    </row>
    <row r="184" spans="1:3" x14ac:dyDescent="0.2">
      <c r="A184" t="s">
        <v>504</v>
      </c>
      <c r="B184" t="s">
        <v>504</v>
      </c>
      <c r="C184" s="6"/>
    </row>
    <row r="185" spans="1:3" x14ac:dyDescent="0.2">
      <c r="A185" t="s">
        <v>362</v>
      </c>
      <c r="B185" t="s">
        <v>504</v>
      </c>
      <c r="C185" s="6"/>
    </row>
    <row r="186" spans="1:3" x14ac:dyDescent="0.2">
      <c r="A186" t="s">
        <v>664</v>
      </c>
      <c r="B186" t="s">
        <v>3430</v>
      </c>
      <c r="C186" s="6"/>
    </row>
    <row r="187" spans="1:3" x14ac:dyDescent="0.2">
      <c r="A187" t="s">
        <v>645</v>
      </c>
      <c r="B187" t="s">
        <v>3433</v>
      </c>
      <c r="C187" s="6"/>
    </row>
    <row r="188" spans="1:3" x14ac:dyDescent="0.2">
      <c r="A188" t="s">
        <v>2215</v>
      </c>
      <c r="B188" t="s">
        <v>3433</v>
      </c>
      <c r="C188" s="6"/>
    </row>
    <row r="189" spans="1:3" x14ac:dyDescent="0.2">
      <c r="A189" t="s">
        <v>2222</v>
      </c>
      <c r="B189" t="s">
        <v>3433</v>
      </c>
      <c r="C189" s="6"/>
    </row>
    <row r="190" spans="1:3" x14ac:dyDescent="0.2">
      <c r="A190" t="s">
        <v>2672</v>
      </c>
      <c r="B190" t="s">
        <v>3436</v>
      </c>
      <c r="C190" s="6"/>
    </row>
    <row r="191" spans="1:3" x14ac:dyDescent="0.2">
      <c r="A191" t="s">
        <v>1581</v>
      </c>
      <c r="B191" t="s">
        <v>3433</v>
      </c>
      <c r="C191" s="6"/>
    </row>
    <row r="192" spans="1:3" x14ac:dyDescent="0.2">
      <c r="A192" t="s">
        <v>675</v>
      </c>
      <c r="B192" t="s">
        <v>3436</v>
      </c>
      <c r="C192" s="6"/>
    </row>
    <row r="193" spans="1:4" x14ac:dyDescent="0.2">
      <c r="A193" t="s">
        <v>2680</v>
      </c>
      <c r="B193" t="s">
        <v>3430</v>
      </c>
      <c r="C193" s="6"/>
    </row>
    <row r="194" spans="1:4" x14ac:dyDescent="0.2">
      <c r="A194" t="s">
        <v>2083</v>
      </c>
      <c r="B194" t="s">
        <v>2622</v>
      </c>
      <c r="C194" s="6"/>
    </row>
    <row r="195" spans="1:4" x14ac:dyDescent="0.2">
      <c r="A195" s="16" t="s">
        <v>827</v>
      </c>
      <c r="B195" t="s">
        <v>740</v>
      </c>
      <c r="C195" s="37" t="s">
        <v>5995</v>
      </c>
      <c r="D195" s="16" t="s">
        <v>3441</v>
      </c>
    </row>
    <row r="196" spans="1:4" x14ac:dyDescent="0.2">
      <c r="A196" s="16" t="s">
        <v>611</v>
      </c>
      <c r="B196" t="s">
        <v>740</v>
      </c>
      <c r="C196" s="6" t="s">
        <v>5995</v>
      </c>
      <c r="D196" s="16" t="s">
        <v>3441</v>
      </c>
    </row>
    <row r="197" spans="1:4" x14ac:dyDescent="0.2">
      <c r="A197" s="16" t="s">
        <v>2623</v>
      </c>
      <c r="B197" t="s">
        <v>740</v>
      </c>
      <c r="C197" s="6" t="s">
        <v>5995</v>
      </c>
      <c r="D197" s="16" t="s">
        <v>3441</v>
      </c>
    </row>
    <row r="198" spans="1:4" x14ac:dyDescent="0.2">
      <c r="A198" s="16" t="s">
        <v>666</v>
      </c>
      <c r="B198" t="s">
        <v>740</v>
      </c>
      <c r="C198" s="6" t="s">
        <v>5995</v>
      </c>
      <c r="D198" s="16" t="s">
        <v>3441</v>
      </c>
    </row>
    <row r="199" spans="1:4" x14ac:dyDescent="0.2">
      <c r="A199" s="16" t="s">
        <v>1231</v>
      </c>
      <c r="B199" t="s">
        <v>740</v>
      </c>
      <c r="C199" s="6" t="s">
        <v>5995</v>
      </c>
      <c r="D199" s="16" t="s">
        <v>3441</v>
      </c>
    </row>
    <row r="200" spans="1:4" x14ac:dyDescent="0.2">
      <c r="A200" s="16" t="s">
        <v>884</v>
      </c>
      <c r="B200" t="s">
        <v>740</v>
      </c>
      <c r="C200" s="6" t="s">
        <v>5995</v>
      </c>
      <c r="D200" s="16" t="s">
        <v>3441</v>
      </c>
    </row>
    <row r="201" spans="1:4" x14ac:dyDescent="0.2">
      <c r="A201" s="16" t="s">
        <v>927</v>
      </c>
      <c r="B201" t="s">
        <v>740</v>
      </c>
      <c r="C201" s="6" t="s">
        <v>5995</v>
      </c>
      <c r="D201" s="16" t="s">
        <v>3441</v>
      </c>
    </row>
    <row r="202" spans="1:4" x14ac:dyDescent="0.2">
      <c r="A202" s="16" t="s">
        <v>1427</v>
      </c>
      <c r="B202" t="s">
        <v>740</v>
      </c>
      <c r="C202" s="6" t="s">
        <v>5995</v>
      </c>
      <c r="D202" s="16" t="s">
        <v>3441</v>
      </c>
    </row>
    <row r="203" spans="1:4" x14ac:dyDescent="0.2">
      <c r="A203" s="16" t="s">
        <v>376</v>
      </c>
      <c r="B203" t="s">
        <v>740</v>
      </c>
      <c r="C203" s="6" t="s">
        <v>5995</v>
      </c>
      <c r="D203" s="16" t="s">
        <v>3441</v>
      </c>
    </row>
    <row r="204" spans="1:4" x14ac:dyDescent="0.2">
      <c r="A204" s="16" t="s">
        <v>1536</v>
      </c>
      <c r="B204" t="s">
        <v>740</v>
      </c>
      <c r="C204" s="6" t="s">
        <v>5995</v>
      </c>
      <c r="D204" s="16" t="s">
        <v>3441</v>
      </c>
    </row>
    <row r="205" spans="1:4" x14ac:dyDescent="0.2">
      <c r="A205" s="16" t="s">
        <v>826</v>
      </c>
      <c r="B205" t="s">
        <v>740</v>
      </c>
      <c r="C205" s="6" t="s">
        <v>5995</v>
      </c>
      <c r="D205" s="16" t="s">
        <v>3441</v>
      </c>
    </row>
    <row r="206" spans="1:4" x14ac:dyDescent="0.2">
      <c r="A206" s="16" t="s">
        <v>1561</v>
      </c>
      <c r="B206" t="s">
        <v>740</v>
      </c>
      <c r="C206" s="6" t="s">
        <v>5995</v>
      </c>
      <c r="D206" s="16" t="s">
        <v>3441</v>
      </c>
    </row>
    <row r="207" spans="1:4" x14ac:dyDescent="0.2">
      <c r="A207" s="16" t="s">
        <v>642</v>
      </c>
      <c r="B207" t="s">
        <v>740</v>
      </c>
      <c r="C207" s="6" t="s">
        <v>5995</v>
      </c>
      <c r="D207" s="16" t="s">
        <v>3441</v>
      </c>
    </row>
    <row r="208" spans="1:4" x14ac:dyDescent="0.2">
      <c r="A208" t="s">
        <v>134</v>
      </c>
      <c r="B208" t="s">
        <v>740</v>
      </c>
      <c r="C208" s="6" t="s">
        <v>4817</v>
      </c>
      <c r="D208" s="16" t="s">
        <v>3441</v>
      </c>
    </row>
    <row r="209" spans="1:4" x14ac:dyDescent="0.2">
      <c r="A209" t="s">
        <v>1316</v>
      </c>
      <c r="B209" t="s">
        <v>2685</v>
      </c>
      <c r="C209" s="6"/>
    </row>
    <row r="210" spans="1:4" x14ac:dyDescent="0.2">
      <c r="A210" t="s">
        <v>304</v>
      </c>
      <c r="B210" t="s">
        <v>740</v>
      </c>
      <c r="C210" s="6" t="s">
        <v>4817</v>
      </c>
      <c r="D210" s="16" t="s">
        <v>3442</v>
      </c>
    </row>
    <row r="211" spans="1:4" x14ac:dyDescent="0.2">
      <c r="A211" t="s">
        <v>374</v>
      </c>
      <c r="B211" t="s">
        <v>740</v>
      </c>
      <c r="C211" s="6" t="s">
        <v>4817</v>
      </c>
      <c r="D211" s="16" t="s">
        <v>3442</v>
      </c>
    </row>
    <row r="212" spans="1:4" x14ac:dyDescent="0.2">
      <c r="A212" t="s">
        <v>610</v>
      </c>
      <c r="B212" t="s">
        <v>740</v>
      </c>
      <c r="C212" s="6" t="s">
        <v>4817</v>
      </c>
      <c r="D212" s="16" t="s">
        <v>3442</v>
      </c>
    </row>
    <row r="213" spans="1:4" x14ac:dyDescent="0.2">
      <c r="A213" t="s">
        <v>179</v>
      </c>
      <c r="B213" t="s">
        <v>3433</v>
      </c>
      <c r="C213" s="6"/>
    </row>
    <row r="214" spans="1:4" x14ac:dyDescent="0.2">
      <c r="A214" t="s">
        <v>116</v>
      </c>
      <c r="B214" t="s">
        <v>3433</v>
      </c>
      <c r="C214" s="6"/>
    </row>
    <row r="215" spans="1:4" x14ac:dyDescent="0.2">
      <c r="A215" t="s">
        <v>239</v>
      </c>
      <c r="B215" t="s">
        <v>740</v>
      </c>
      <c r="C215" s="6" t="s">
        <v>4817</v>
      </c>
    </row>
    <row r="216" spans="1:4" x14ac:dyDescent="0.2">
      <c r="A216" t="s">
        <v>2110</v>
      </c>
      <c r="B216" t="s">
        <v>740</v>
      </c>
      <c r="C216" s="6" t="s">
        <v>3428</v>
      </c>
    </row>
    <row r="217" spans="1:4" x14ac:dyDescent="0.2">
      <c r="A217" t="s">
        <v>112</v>
      </c>
      <c r="B217" t="s">
        <v>2685</v>
      </c>
      <c r="C217" s="6"/>
    </row>
    <row r="218" spans="1:4" x14ac:dyDescent="0.2">
      <c r="A218" t="s">
        <v>405</v>
      </c>
      <c r="B218" t="s">
        <v>2685</v>
      </c>
      <c r="C218" s="6"/>
    </row>
    <row r="219" spans="1:4" x14ac:dyDescent="0.2">
      <c r="A219" t="s">
        <v>2658</v>
      </c>
      <c r="B219" t="s">
        <v>2685</v>
      </c>
      <c r="C219" s="6"/>
    </row>
    <row r="220" spans="1:4" x14ac:dyDescent="0.2">
      <c r="A220" t="s">
        <v>473</v>
      </c>
      <c r="B220" t="s">
        <v>2685</v>
      </c>
      <c r="C220" s="6"/>
    </row>
    <row r="221" spans="1:4" x14ac:dyDescent="0.2">
      <c r="A221" t="s">
        <v>115</v>
      </c>
      <c r="B221" t="s">
        <v>2685</v>
      </c>
      <c r="C221" s="6"/>
    </row>
    <row r="222" spans="1:4" x14ac:dyDescent="0.2">
      <c r="A222" t="s">
        <v>999</v>
      </c>
      <c r="B222" t="s">
        <v>3430</v>
      </c>
      <c r="C222" s="6"/>
    </row>
    <row r="223" spans="1:4" x14ac:dyDescent="0.2">
      <c r="A223" t="s">
        <v>665</v>
      </c>
      <c r="B223" t="s">
        <v>2685</v>
      </c>
      <c r="C223" s="6"/>
    </row>
    <row r="224" spans="1:4" x14ac:dyDescent="0.2">
      <c r="A224" t="s">
        <v>2223</v>
      </c>
      <c r="B224" t="s">
        <v>3430</v>
      </c>
      <c r="C224" s="6"/>
    </row>
    <row r="225" spans="1:4" x14ac:dyDescent="0.2">
      <c r="A225" t="s">
        <v>220</v>
      </c>
      <c r="B225" t="s">
        <v>740</v>
      </c>
      <c r="C225" s="6" t="s">
        <v>4817</v>
      </c>
      <c r="D225" s="16" t="s">
        <v>3441</v>
      </c>
    </row>
    <row r="226" spans="1:4" x14ac:dyDescent="0.2">
      <c r="A226" t="s">
        <v>1304</v>
      </c>
      <c r="B226" t="s">
        <v>740</v>
      </c>
      <c r="C226" s="6" t="s">
        <v>4817</v>
      </c>
    </row>
    <row r="227" spans="1:4" x14ac:dyDescent="0.2">
      <c r="A227" t="s">
        <v>122</v>
      </c>
      <c r="B227" t="s">
        <v>3443</v>
      </c>
      <c r="C227" s="6"/>
    </row>
    <row r="228" spans="1:4" x14ac:dyDescent="0.2">
      <c r="A228" t="s">
        <v>128</v>
      </c>
      <c r="B228" t="s">
        <v>3443</v>
      </c>
      <c r="C228" s="6"/>
    </row>
    <row r="229" spans="1:4" x14ac:dyDescent="0.2">
      <c r="A229" t="s">
        <v>2184</v>
      </c>
      <c r="B229" t="s">
        <v>3433</v>
      </c>
      <c r="C229" s="6"/>
    </row>
    <row r="230" spans="1:4" x14ac:dyDescent="0.2">
      <c r="A230" t="s">
        <v>2221</v>
      </c>
      <c r="B230" t="s">
        <v>3433</v>
      </c>
      <c r="C230" s="6"/>
    </row>
    <row r="231" spans="1:4" x14ac:dyDescent="0.2">
      <c r="A231" t="s">
        <v>136</v>
      </c>
      <c r="B231" t="s">
        <v>740</v>
      </c>
      <c r="C231" s="6" t="s">
        <v>4817</v>
      </c>
    </row>
    <row r="232" spans="1:4" x14ac:dyDescent="0.2">
      <c r="A232" t="s">
        <v>547</v>
      </c>
      <c r="B232" t="s">
        <v>740</v>
      </c>
      <c r="C232" s="6" t="s">
        <v>4817</v>
      </c>
    </row>
    <row r="233" spans="1:4" x14ac:dyDescent="0.2">
      <c r="A233" t="s">
        <v>1185</v>
      </c>
      <c r="B233" t="s">
        <v>3430</v>
      </c>
      <c r="C233" s="6"/>
    </row>
    <row r="234" spans="1:4" x14ac:dyDescent="0.2">
      <c r="A234" t="s">
        <v>1226</v>
      </c>
      <c r="B234" t="s">
        <v>740</v>
      </c>
      <c r="C234" s="6" t="s">
        <v>4817</v>
      </c>
    </row>
    <row r="235" spans="1:4" x14ac:dyDescent="0.2">
      <c r="A235" t="s">
        <v>701</v>
      </c>
      <c r="B235" t="s">
        <v>740</v>
      </c>
      <c r="C235" s="6" t="s">
        <v>4817</v>
      </c>
    </row>
    <row r="236" spans="1:4" x14ac:dyDescent="0.2">
      <c r="A236" t="s">
        <v>305</v>
      </c>
      <c r="B236" t="s">
        <v>740</v>
      </c>
      <c r="C236" s="6" t="s">
        <v>4817</v>
      </c>
    </row>
    <row r="237" spans="1:4" x14ac:dyDescent="0.2">
      <c r="A237" t="s">
        <v>2690</v>
      </c>
      <c r="B237" t="s">
        <v>3433</v>
      </c>
      <c r="C237" s="6"/>
    </row>
    <row r="238" spans="1:4" x14ac:dyDescent="0.2">
      <c r="A238" t="s">
        <v>2693</v>
      </c>
      <c r="B238" t="s">
        <v>2789</v>
      </c>
      <c r="C238" s="6"/>
    </row>
    <row r="239" spans="1:4" x14ac:dyDescent="0.2">
      <c r="A239" t="s">
        <v>2756</v>
      </c>
      <c r="B239" t="s">
        <v>2622</v>
      </c>
      <c r="C239" s="6"/>
    </row>
    <row r="240" spans="1:4" x14ac:dyDescent="0.2">
      <c r="A240" t="s">
        <v>2769</v>
      </c>
      <c r="B240" t="s">
        <v>3433</v>
      </c>
      <c r="C240" s="6"/>
    </row>
    <row r="241" spans="1:3" x14ac:dyDescent="0.2">
      <c r="A241" t="s">
        <v>2771</v>
      </c>
      <c r="B241" t="s">
        <v>3443</v>
      </c>
      <c r="C241" s="6"/>
    </row>
    <row r="242" spans="1:3" x14ac:dyDescent="0.2">
      <c r="A242" t="s">
        <v>2779</v>
      </c>
      <c r="B242" t="s">
        <v>740</v>
      </c>
      <c r="C242" s="6" t="s">
        <v>4817</v>
      </c>
    </row>
    <row r="243" spans="1:3" x14ac:dyDescent="0.2">
      <c r="A243" t="s">
        <v>2784</v>
      </c>
      <c r="B243" t="s">
        <v>740</v>
      </c>
      <c r="C243" s="6" t="s">
        <v>6243</v>
      </c>
    </row>
    <row r="244" spans="1:3" x14ac:dyDescent="0.2">
      <c r="A244" t="s">
        <v>2789</v>
      </c>
      <c r="B244" t="s">
        <v>2789</v>
      </c>
      <c r="C244" s="6"/>
    </row>
    <row r="245" spans="1:3" x14ac:dyDescent="0.2">
      <c r="A245" t="s">
        <v>2791</v>
      </c>
      <c r="B245" t="s">
        <v>3433</v>
      </c>
      <c r="C245" s="6"/>
    </row>
    <row r="246" spans="1:3" x14ac:dyDescent="0.2">
      <c r="A246" t="s">
        <v>2818</v>
      </c>
      <c r="B246" t="s">
        <v>2685</v>
      </c>
      <c r="C246" s="6"/>
    </row>
    <row r="247" spans="1:3" x14ac:dyDescent="0.2">
      <c r="A247" t="s">
        <v>2837</v>
      </c>
      <c r="B247" t="s">
        <v>3430</v>
      </c>
      <c r="C247" s="6"/>
    </row>
    <row r="248" spans="1:3" x14ac:dyDescent="0.2">
      <c r="A248" t="s">
        <v>2836</v>
      </c>
      <c r="B248" t="s">
        <v>2789</v>
      </c>
      <c r="C248" s="6"/>
    </row>
    <row r="249" spans="1:3" x14ac:dyDescent="0.2">
      <c r="A249" t="s">
        <v>2930</v>
      </c>
      <c r="B249" t="s">
        <v>740</v>
      </c>
      <c r="C249" s="6" t="s">
        <v>4817</v>
      </c>
    </row>
    <row r="250" spans="1:3" x14ac:dyDescent="0.2">
      <c r="A250" t="s">
        <v>2957</v>
      </c>
      <c r="B250" t="s">
        <v>3433</v>
      </c>
      <c r="C250" s="6"/>
    </row>
    <row r="251" spans="1:3" x14ac:dyDescent="0.2">
      <c r="A251" t="s">
        <v>2958</v>
      </c>
      <c r="B251" t="s">
        <v>1351</v>
      </c>
      <c r="C251" s="6"/>
    </row>
    <row r="252" spans="1:3" x14ac:dyDescent="0.2">
      <c r="A252" t="s">
        <v>2959</v>
      </c>
      <c r="B252" t="s">
        <v>740</v>
      </c>
      <c r="C252" s="6" t="s">
        <v>4817</v>
      </c>
    </row>
    <row r="253" spans="1:3" x14ac:dyDescent="0.2">
      <c r="A253" t="s">
        <v>2992</v>
      </c>
      <c r="B253" t="s">
        <v>740</v>
      </c>
      <c r="C253" s="6" t="s">
        <v>3428</v>
      </c>
    </row>
    <row r="254" spans="1:3" x14ac:dyDescent="0.2">
      <c r="A254" t="s">
        <v>2993</v>
      </c>
      <c r="B254" t="s">
        <v>3436</v>
      </c>
      <c r="C254" s="6"/>
    </row>
    <row r="255" spans="1:3" x14ac:dyDescent="0.2">
      <c r="A255" t="s">
        <v>3022</v>
      </c>
      <c r="B255" t="s">
        <v>740</v>
      </c>
      <c r="C255" s="6" t="s">
        <v>5995</v>
      </c>
    </row>
    <row r="256" spans="1:3" x14ac:dyDescent="0.2">
      <c r="A256" t="s">
        <v>3023</v>
      </c>
      <c r="B256" t="s">
        <v>740</v>
      </c>
      <c r="C256" s="6" t="s">
        <v>5995</v>
      </c>
    </row>
    <row r="257" spans="1:3" x14ac:dyDescent="0.2">
      <c r="A257" t="s">
        <v>3105</v>
      </c>
      <c r="B257" t="s">
        <v>740</v>
      </c>
      <c r="C257" s="6" t="s">
        <v>5995</v>
      </c>
    </row>
    <row r="258" spans="1:3" x14ac:dyDescent="0.2">
      <c r="A258" t="s">
        <v>3107</v>
      </c>
      <c r="B258" t="s">
        <v>740</v>
      </c>
      <c r="C258" s="6" t="s">
        <v>4817</v>
      </c>
    </row>
    <row r="259" spans="1:3" x14ac:dyDescent="0.2">
      <c r="A259" t="s">
        <v>3135</v>
      </c>
      <c r="B259" t="s">
        <v>740</v>
      </c>
      <c r="C259" s="6" t="s">
        <v>3428</v>
      </c>
    </row>
    <row r="260" spans="1:3" x14ac:dyDescent="0.2">
      <c r="A260" t="s">
        <v>3182</v>
      </c>
      <c r="B260" t="s">
        <v>740</v>
      </c>
      <c r="C260" s="6" t="s">
        <v>4817</v>
      </c>
    </row>
    <row r="261" spans="1:3" x14ac:dyDescent="0.2">
      <c r="A261" t="s">
        <v>3183</v>
      </c>
      <c r="B261" t="s">
        <v>2789</v>
      </c>
      <c r="C261" s="6"/>
    </row>
    <row r="262" spans="1:3" x14ac:dyDescent="0.2">
      <c r="A262" t="s">
        <v>3184</v>
      </c>
      <c r="B262" t="s">
        <v>740</v>
      </c>
      <c r="C262" s="6" t="s">
        <v>4817</v>
      </c>
    </row>
    <row r="263" spans="1:3" x14ac:dyDescent="0.2">
      <c r="A263" t="s">
        <v>3215</v>
      </c>
      <c r="B263" t="s">
        <v>740</v>
      </c>
      <c r="C263" s="6" t="s">
        <v>4817</v>
      </c>
    </row>
    <row r="264" spans="1:3" x14ac:dyDescent="0.2">
      <c r="A264" t="s">
        <v>3250</v>
      </c>
      <c r="B264" t="s">
        <v>2789</v>
      </c>
      <c r="C264" s="6"/>
    </row>
    <row r="265" spans="1:3" x14ac:dyDescent="0.2">
      <c r="A265" t="s">
        <v>3251</v>
      </c>
      <c r="B265" t="s">
        <v>740</v>
      </c>
      <c r="C265" s="6" t="s">
        <v>4817</v>
      </c>
    </row>
    <row r="266" spans="1:3" x14ac:dyDescent="0.2">
      <c r="A266" t="s">
        <v>3252</v>
      </c>
      <c r="B266" t="s">
        <v>3430</v>
      </c>
      <c r="C266" s="6"/>
    </row>
    <row r="267" spans="1:3" x14ac:dyDescent="0.2">
      <c r="A267" t="s">
        <v>3253</v>
      </c>
      <c r="B267" t="s">
        <v>740</v>
      </c>
      <c r="C267" s="6" t="s">
        <v>4817</v>
      </c>
    </row>
    <row r="268" spans="1:3" x14ac:dyDescent="0.2">
      <c r="A268" t="s">
        <v>3282</v>
      </c>
      <c r="B268" t="s">
        <v>740</v>
      </c>
      <c r="C268" s="6" t="s">
        <v>5995</v>
      </c>
    </row>
    <row r="269" spans="1:3" x14ac:dyDescent="0.2">
      <c r="A269" t="s">
        <v>3289</v>
      </c>
      <c r="B269" t="s">
        <v>3443</v>
      </c>
      <c r="C269" s="6"/>
    </row>
    <row r="270" spans="1:3" x14ac:dyDescent="0.2">
      <c r="A270" t="s">
        <v>3357</v>
      </c>
      <c r="B270" t="s">
        <v>2789</v>
      </c>
      <c r="C270" s="6"/>
    </row>
    <row r="271" spans="1:3" x14ac:dyDescent="0.2">
      <c r="A271" t="s">
        <v>3390</v>
      </c>
      <c r="B271" t="s">
        <v>3430</v>
      </c>
      <c r="C271" s="6"/>
    </row>
    <row r="272" spans="1:3" x14ac:dyDescent="0.2">
      <c r="A272" t="s">
        <v>3391</v>
      </c>
      <c r="B272" t="s">
        <v>3433</v>
      </c>
      <c r="C272" s="6"/>
    </row>
    <row r="273" spans="1:3" x14ac:dyDescent="0.2">
      <c r="A273" t="s">
        <v>3423</v>
      </c>
      <c r="B273" t="s">
        <v>3430</v>
      </c>
      <c r="C273" s="6"/>
    </row>
    <row r="274" spans="1:3" x14ac:dyDescent="0.2">
      <c r="A274" t="s">
        <v>3424</v>
      </c>
      <c r="B274" t="s">
        <v>740</v>
      </c>
      <c r="C274" s="6" t="s">
        <v>4817</v>
      </c>
    </row>
    <row r="275" spans="1:3" x14ac:dyDescent="0.2">
      <c r="A275" t="s">
        <v>3452</v>
      </c>
      <c r="B275" t="s">
        <v>3430</v>
      </c>
      <c r="C275" s="6"/>
    </row>
    <row r="276" spans="1:3" x14ac:dyDescent="0.2">
      <c r="A276" t="s">
        <v>3453</v>
      </c>
      <c r="B276" t="s">
        <v>3430</v>
      </c>
      <c r="C276" s="6"/>
    </row>
    <row r="277" spans="1:3" x14ac:dyDescent="0.2">
      <c r="A277" t="s">
        <v>3454</v>
      </c>
      <c r="B277" t="s">
        <v>3433</v>
      </c>
      <c r="C277" s="6"/>
    </row>
    <row r="278" spans="1:3" x14ac:dyDescent="0.2">
      <c r="A278" t="s">
        <v>3456</v>
      </c>
      <c r="B278" t="s">
        <v>740</v>
      </c>
      <c r="C278" s="6" t="s">
        <v>4817</v>
      </c>
    </row>
    <row r="279" spans="1:3" x14ac:dyDescent="0.2">
      <c r="A279" t="s">
        <v>2684</v>
      </c>
      <c r="B279" t="s">
        <v>740</v>
      </c>
      <c r="C279" s="6" t="s">
        <v>4817</v>
      </c>
    </row>
    <row r="280" spans="1:3" x14ac:dyDescent="0.2">
      <c r="A280" t="s">
        <v>3457</v>
      </c>
      <c r="B280" t="s">
        <v>3443</v>
      </c>
      <c r="C280" s="6"/>
    </row>
    <row r="281" spans="1:3" x14ac:dyDescent="0.2">
      <c r="A281" t="s">
        <v>3458</v>
      </c>
      <c r="B281" t="s">
        <v>3430</v>
      </c>
      <c r="C281" s="6"/>
    </row>
    <row r="282" spans="1:3" x14ac:dyDescent="0.2">
      <c r="A282" t="s">
        <v>3459</v>
      </c>
      <c r="B282" t="s">
        <v>2789</v>
      </c>
      <c r="C282" s="6"/>
    </row>
    <row r="283" spans="1:3" x14ac:dyDescent="0.2">
      <c r="A283" t="s">
        <v>3464</v>
      </c>
      <c r="B283" t="s">
        <v>740</v>
      </c>
      <c r="C283" s="6" t="s">
        <v>4819</v>
      </c>
    </row>
    <row r="284" spans="1:3" x14ac:dyDescent="0.2">
      <c r="A284" t="s">
        <v>3465</v>
      </c>
      <c r="B284" t="s">
        <v>740</v>
      </c>
      <c r="C284" s="6" t="s">
        <v>4817</v>
      </c>
    </row>
    <row r="285" spans="1:3" x14ac:dyDescent="0.2">
      <c r="A285" t="s">
        <v>3466</v>
      </c>
      <c r="B285" t="s">
        <v>740</v>
      </c>
      <c r="C285" s="6" t="s">
        <v>4819</v>
      </c>
    </row>
    <row r="286" spans="1:3" x14ac:dyDescent="0.2">
      <c r="A286" t="s">
        <v>3429</v>
      </c>
      <c r="B286" t="s">
        <v>3430</v>
      </c>
      <c r="C286" s="6"/>
    </row>
    <row r="287" spans="1:3" x14ac:dyDescent="0.2">
      <c r="A287" t="s">
        <v>3471</v>
      </c>
      <c r="B287" t="s">
        <v>3436</v>
      </c>
      <c r="C287" s="6"/>
    </row>
    <row r="288" spans="1:3" x14ac:dyDescent="0.2">
      <c r="A288" t="s">
        <v>3473</v>
      </c>
      <c r="B288" t="s">
        <v>2789</v>
      </c>
      <c r="C288" s="6"/>
    </row>
    <row r="289" spans="1:4" x14ac:dyDescent="0.2">
      <c r="A289" t="s">
        <v>3477</v>
      </c>
      <c r="B289" t="s">
        <v>3443</v>
      </c>
      <c r="C289" s="6"/>
    </row>
    <row r="290" spans="1:4" x14ac:dyDescent="0.2">
      <c r="A290" t="s">
        <v>3431</v>
      </c>
      <c r="B290" t="s">
        <v>3443</v>
      </c>
      <c r="C290" s="6"/>
    </row>
    <row r="291" spans="1:4" x14ac:dyDescent="0.2">
      <c r="A291" t="s">
        <v>3481</v>
      </c>
      <c r="B291" t="s">
        <v>740</v>
      </c>
      <c r="C291" s="6" t="s">
        <v>6239</v>
      </c>
      <c r="D291" t="s">
        <v>6241</v>
      </c>
    </row>
    <row r="292" spans="1:4" x14ac:dyDescent="0.2">
      <c r="A292" t="s">
        <v>3499</v>
      </c>
      <c r="B292" t="s">
        <v>740</v>
      </c>
      <c r="C292" s="6" t="s">
        <v>4817</v>
      </c>
    </row>
    <row r="293" spans="1:4" x14ac:dyDescent="0.2">
      <c r="A293" t="s">
        <v>3500</v>
      </c>
      <c r="B293" t="s">
        <v>740</v>
      </c>
      <c r="C293" s="6" t="s">
        <v>4817</v>
      </c>
    </row>
    <row r="294" spans="1:4" x14ac:dyDescent="0.2">
      <c r="A294" t="s">
        <v>3501</v>
      </c>
      <c r="B294" t="s">
        <v>740</v>
      </c>
      <c r="C294" s="6" t="s">
        <v>4817</v>
      </c>
    </row>
    <row r="295" spans="1:4" x14ac:dyDescent="0.2">
      <c r="A295" t="s">
        <v>3503</v>
      </c>
      <c r="B295" t="s">
        <v>3430</v>
      </c>
      <c r="C295" s="6"/>
    </row>
    <row r="296" spans="1:4" x14ac:dyDescent="0.2">
      <c r="A296" t="s">
        <v>3863</v>
      </c>
      <c r="B296" t="s">
        <v>2685</v>
      </c>
      <c r="C296" s="6"/>
    </row>
    <row r="297" spans="1:4" x14ac:dyDescent="0.2">
      <c r="A297" t="s">
        <v>3864</v>
      </c>
      <c r="B297" t="s">
        <v>3436</v>
      </c>
      <c r="C297" s="6"/>
    </row>
    <row r="298" spans="1:4" x14ac:dyDescent="0.2">
      <c r="A298" t="s">
        <v>3867</v>
      </c>
      <c r="B298" t="s">
        <v>3443</v>
      </c>
      <c r="C298" s="6"/>
    </row>
    <row r="299" spans="1:4" x14ac:dyDescent="0.2">
      <c r="A299" t="s">
        <v>3873</v>
      </c>
      <c r="B299" t="s">
        <v>3436</v>
      </c>
      <c r="C299" s="6"/>
    </row>
    <row r="300" spans="1:4" x14ac:dyDescent="0.2">
      <c r="A300" t="s">
        <v>3469</v>
      </c>
      <c r="B300" t="s">
        <v>3443</v>
      </c>
      <c r="C300" s="6"/>
    </row>
    <row r="301" spans="1:4" x14ac:dyDescent="0.2">
      <c r="A301" t="s">
        <v>3874</v>
      </c>
      <c r="B301" t="s">
        <v>3443</v>
      </c>
      <c r="C301" s="6"/>
    </row>
    <row r="302" spans="1:4" x14ac:dyDescent="0.2">
      <c r="A302" t="s">
        <v>3875</v>
      </c>
      <c r="B302" t="s">
        <v>3433</v>
      </c>
      <c r="C302" s="6"/>
    </row>
    <row r="303" spans="1:4" x14ac:dyDescent="0.2">
      <c r="A303" t="s">
        <v>3877</v>
      </c>
      <c r="B303" t="s">
        <v>3430</v>
      </c>
      <c r="C303" s="6"/>
    </row>
    <row r="304" spans="1:4" x14ac:dyDescent="0.2">
      <c r="A304" t="s">
        <v>3881</v>
      </c>
      <c r="B304" t="s">
        <v>3443</v>
      </c>
      <c r="C304" s="6"/>
    </row>
    <row r="305" spans="1:3" x14ac:dyDescent="0.2">
      <c r="A305" t="s">
        <v>3895</v>
      </c>
      <c r="B305" t="s">
        <v>740</v>
      </c>
      <c r="C305" s="6" t="s">
        <v>5995</v>
      </c>
    </row>
    <row r="306" spans="1:3" x14ac:dyDescent="0.2">
      <c r="A306" t="s">
        <v>3901</v>
      </c>
      <c r="B306" t="s">
        <v>740</v>
      </c>
      <c r="C306" s="6" t="s">
        <v>6239</v>
      </c>
    </row>
    <row r="307" spans="1:3" x14ac:dyDescent="0.2">
      <c r="A307" t="s">
        <v>3902</v>
      </c>
      <c r="B307" t="s">
        <v>740</v>
      </c>
      <c r="C307" s="6" t="s">
        <v>4817</v>
      </c>
    </row>
    <row r="308" spans="1:3" x14ac:dyDescent="0.2">
      <c r="A308" t="s">
        <v>3910</v>
      </c>
      <c r="B308" t="s">
        <v>3430</v>
      </c>
      <c r="C308" s="6"/>
    </row>
    <row r="309" spans="1:3" x14ac:dyDescent="0.2">
      <c r="A309" t="s">
        <v>2685</v>
      </c>
      <c r="B309" t="s">
        <v>2685</v>
      </c>
      <c r="C309" s="6"/>
    </row>
    <row r="310" spans="1:3" x14ac:dyDescent="0.2">
      <c r="A310" t="s">
        <v>3923</v>
      </c>
      <c r="B310" t="s">
        <v>3436</v>
      </c>
      <c r="C310" s="6"/>
    </row>
    <row r="311" spans="1:3" x14ac:dyDescent="0.2">
      <c r="A311" t="s">
        <v>3928</v>
      </c>
      <c r="B311" t="s">
        <v>2789</v>
      </c>
      <c r="C311" s="6"/>
    </row>
    <row r="312" spans="1:3" x14ac:dyDescent="0.2">
      <c r="A312" t="s">
        <v>3930</v>
      </c>
      <c r="B312" t="s">
        <v>740</v>
      </c>
      <c r="C312" s="6" t="s">
        <v>4817</v>
      </c>
    </row>
    <row r="313" spans="1:3" x14ac:dyDescent="0.2">
      <c r="A313" t="s">
        <v>3931</v>
      </c>
      <c r="B313" t="s">
        <v>3430</v>
      </c>
      <c r="C313" s="6"/>
    </row>
    <row r="314" spans="1:3" x14ac:dyDescent="0.2">
      <c r="A314" t="s">
        <v>3932</v>
      </c>
      <c r="B314" t="s">
        <v>3430</v>
      </c>
      <c r="C314" s="6"/>
    </row>
    <row r="315" spans="1:3" x14ac:dyDescent="0.2">
      <c r="A315" t="s">
        <v>3939</v>
      </c>
      <c r="B315" t="s">
        <v>740</v>
      </c>
      <c r="C315" s="6" t="s">
        <v>4817</v>
      </c>
    </row>
    <row r="316" spans="1:3" x14ac:dyDescent="0.2">
      <c r="A316" t="s">
        <v>3940</v>
      </c>
      <c r="B316" t="s">
        <v>3430</v>
      </c>
      <c r="C316" s="6"/>
    </row>
    <row r="317" spans="1:3" x14ac:dyDescent="0.2">
      <c r="A317" t="s">
        <v>3941</v>
      </c>
      <c r="B317" t="s">
        <v>3436</v>
      </c>
      <c r="C317" s="6"/>
    </row>
    <row r="318" spans="1:3" x14ac:dyDescent="0.2">
      <c r="A318" t="s">
        <v>3943</v>
      </c>
      <c r="B318" t="s">
        <v>740</v>
      </c>
      <c r="C318" s="6" t="s">
        <v>4817</v>
      </c>
    </row>
    <row r="319" spans="1:3" x14ac:dyDescent="0.2">
      <c r="A319" t="s">
        <v>3944</v>
      </c>
      <c r="B319" t="s">
        <v>740</v>
      </c>
      <c r="C319" s="6" t="s">
        <v>3437</v>
      </c>
    </row>
    <row r="320" spans="1:3" x14ac:dyDescent="0.2">
      <c r="A320" t="s">
        <v>3945</v>
      </c>
      <c r="B320" t="s">
        <v>2789</v>
      </c>
      <c r="C320" s="6"/>
    </row>
    <row r="321" spans="1:3" x14ac:dyDescent="0.2">
      <c r="A321" t="s">
        <v>3946</v>
      </c>
      <c r="B321" t="s">
        <v>3433</v>
      </c>
      <c r="C321" s="6"/>
    </row>
    <row r="322" spans="1:3" x14ac:dyDescent="0.2">
      <c r="A322" t="s">
        <v>3950</v>
      </c>
      <c r="B322" t="s">
        <v>740</v>
      </c>
      <c r="C322" s="6" t="s">
        <v>3428</v>
      </c>
    </row>
    <row r="323" spans="1:3" x14ac:dyDescent="0.2">
      <c r="A323" t="s">
        <v>3951</v>
      </c>
      <c r="B323" t="s">
        <v>3436</v>
      </c>
      <c r="C323" s="6"/>
    </row>
    <row r="324" spans="1:3" x14ac:dyDescent="0.2">
      <c r="A324" t="s">
        <v>3954</v>
      </c>
      <c r="B324" t="s">
        <v>740</v>
      </c>
      <c r="C324" s="6" t="s">
        <v>4817</v>
      </c>
    </row>
    <row r="325" spans="1:3" x14ac:dyDescent="0.2">
      <c r="A325" t="s">
        <v>3961</v>
      </c>
      <c r="B325" t="s">
        <v>740</v>
      </c>
      <c r="C325" s="6" t="s">
        <v>4817</v>
      </c>
    </row>
    <row r="326" spans="1:3" x14ac:dyDescent="0.2">
      <c r="A326" t="s">
        <v>3962</v>
      </c>
      <c r="B326" t="s">
        <v>740</v>
      </c>
      <c r="C326" s="6" t="s">
        <v>4817</v>
      </c>
    </row>
    <row r="327" spans="1:3" x14ac:dyDescent="0.2">
      <c r="A327" t="s">
        <v>3964</v>
      </c>
      <c r="B327" t="s">
        <v>740</v>
      </c>
      <c r="C327" s="6" t="s">
        <v>4817</v>
      </c>
    </row>
    <row r="328" spans="1:3" x14ac:dyDescent="0.2">
      <c r="A328" t="s">
        <v>3971</v>
      </c>
      <c r="B328" t="s">
        <v>740</v>
      </c>
      <c r="C328" s="6" t="s">
        <v>4819</v>
      </c>
    </row>
    <row r="329" spans="1:3" x14ac:dyDescent="0.2">
      <c r="A329" t="s">
        <v>3972</v>
      </c>
      <c r="B329" t="s">
        <v>740</v>
      </c>
      <c r="C329" s="6" t="s">
        <v>4819</v>
      </c>
    </row>
    <row r="330" spans="1:3" x14ac:dyDescent="0.2">
      <c r="A330" t="s">
        <v>3973</v>
      </c>
      <c r="B330" t="s">
        <v>3430</v>
      </c>
      <c r="C330" s="6"/>
    </row>
    <row r="331" spans="1:3" x14ac:dyDescent="0.2">
      <c r="A331" t="s">
        <v>3974</v>
      </c>
      <c r="B331" t="s">
        <v>740</v>
      </c>
      <c r="C331" s="6" t="s">
        <v>5995</v>
      </c>
    </row>
    <row r="332" spans="1:3" x14ac:dyDescent="0.2">
      <c r="A332" t="s">
        <v>3975</v>
      </c>
      <c r="B332" t="s">
        <v>3436</v>
      </c>
      <c r="C332" s="6"/>
    </row>
    <row r="333" spans="1:3" x14ac:dyDescent="0.2">
      <c r="A333" t="s">
        <v>3967</v>
      </c>
      <c r="B333" t="s">
        <v>740</v>
      </c>
      <c r="C333" s="6" t="s">
        <v>4817</v>
      </c>
    </row>
    <row r="334" spans="1:3" x14ac:dyDescent="0.2">
      <c r="A334" t="s">
        <v>3982</v>
      </c>
      <c r="B334" t="s">
        <v>3430</v>
      </c>
      <c r="C334" s="6"/>
    </row>
    <row r="335" spans="1:3" x14ac:dyDescent="0.2">
      <c r="A335" t="s">
        <v>3983</v>
      </c>
      <c r="B335" t="s">
        <v>2789</v>
      </c>
      <c r="C335" s="6"/>
    </row>
    <row r="336" spans="1:3" x14ac:dyDescent="0.2">
      <c r="A336" t="s">
        <v>3984</v>
      </c>
      <c r="B336" t="s">
        <v>740</v>
      </c>
      <c r="C336" s="6" t="s">
        <v>3437</v>
      </c>
    </row>
    <row r="337" spans="1:3" x14ac:dyDescent="0.2">
      <c r="A337" t="s">
        <v>3985</v>
      </c>
      <c r="B337" t="s">
        <v>740</v>
      </c>
      <c r="C337" s="6" t="s">
        <v>4817</v>
      </c>
    </row>
    <row r="338" spans="1:3" x14ac:dyDescent="0.2">
      <c r="A338" t="s">
        <v>4880</v>
      </c>
      <c r="B338" t="s">
        <v>3436</v>
      </c>
      <c r="C338" s="6"/>
    </row>
    <row r="339" spans="1:3" x14ac:dyDescent="0.2">
      <c r="A339" t="s">
        <v>4881</v>
      </c>
      <c r="B339" t="s">
        <v>740</v>
      </c>
      <c r="C339" s="6" t="s">
        <v>4819</v>
      </c>
    </row>
    <row r="340" spans="1:3" x14ac:dyDescent="0.2">
      <c r="A340" t="s">
        <v>4882</v>
      </c>
      <c r="B340" t="s">
        <v>740</v>
      </c>
      <c r="C340" s="6" t="s">
        <v>4817</v>
      </c>
    </row>
    <row r="341" spans="1:3" x14ac:dyDescent="0.2">
      <c r="A341" t="s">
        <v>4973</v>
      </c>
      <c r="B341" t="s">
        <v>740</v>
      </c>
      <c r="C341" s="6" t="s">
        <v>4817</v>
      </c>
    </row>
    <row r="342" spans="1:3" x14ac:dyDescent="0.2">
      <c r="A342" t="s">
        <v>4974</v>
      </c>
      <c r="B342" t="s">
        <v>3433</v>
      </c>
      <c r="C342" s="6"/>
    </row>
    <row r="343" spans="1:3" x14ac:dyDescent="0.2">
      <c r="A343" t="s">
        <v>4975</v>
      </c>
      <c r="B343" t="s">
        <v>3430</v>
      </c>
      <c r="C343" s="6"/>
    </row>
    <row r="344" spans="1:3" x14ac:dyDescent="0.2">
      <c r="A344" t="s">
        <v>4976</v>
      </c>
      <c r="B344" t="s">
        <v>740</v>
      </c>
      <c r="C344" s="6" t="s">
        <v>4817</v>
      </c>
    </row>
    <row r="345" spans="1:3" x14ac:dyDescent="0.2">
      <c r="A345" t="s">
        <v>5016</v>
      </c>
      <c r="B345" t="s">
        <v>3430</v>
      </c>
      <c r="C345" s="6"/>
    </row>
    <row r="346" spans="1:3" x14ac:dyDescent="0.2">
      <c r="A346" t="s">
        <v>5015</v>
      </c>
      <c r="B346" t="s">
        <v>740</v>
      </c>
      <c r="C346" s="6" t="s">
        <v>4817</v>
      </c>
    </row>
    <row r="347" spans="1:3" x14ac:dyDescent="0.2">
      <c r="A347" t="s">
        <v>5014</v>
      </c>
      <c r="B347" t="s">
        <v>740</v>
      </c>
      <c r="C347" s="6" t="s">
        <v>4819</v>
      </c>
    </row>
    <row r="348" spans="1:3" x14ac:dyDescent="0.2">
      <c r="A348" t="s">
        <v>5053</v>
      </c>
      <c r="B348" t="s">
        <v>740</v>
      </c>
      <c r="C348" s="6" t="s">
        <v>3437</v>
      </c>
    </row>
    <row r="349" spans="1:3" x14ac:dyDescent="0.2">
      <c r="A349" t="s">
        <v>5084</v>
      </c>
      <c r="B349" t="s">
        <v>3433</v>
      </c>
      <c r="C349" s="6"/>
    </row>
    <row r="350" spans="1:3" x14ac:dyDescent="0.2">
      <c r="A350" t="s">
        <v>5087</v>
      </c>
      <c r="B350" t="s">
        <v>740</v>
      </c>
      <c r="C350" s="6" t="s">
        <v>3428</v>
      </c>
    </row>
    <row r="351" spans="1:3" x14ac:dyDescent="0.2">
      <c r="A351" t="s">
        <v>5095</v>
      </c>
      <c r="B351" t="s">
        <v>2789</v>
      </c>
      <c r="C351" s="6"/>
    </row>
    <row r="352" spans="1:3" x14ac:dyDescent="0.2">
      <c r="A352" t="s">
        <v>5100</v>
      </c>
      <c r="B352" t="s">
        <v>2789</v>
      </c>
      <c r="C352" s="6"/>
    </row>
    <row r="353" spans="1:3" x14ac:dyDescent="0.2">
      <c r="A353" t="s">
        <v>5103</v>
      </c>
      <c r="B353" t="s">
        <v>740</v>
      </c>
      <c r="C353" s="6" t="s">
        <v>228</v>
      </c>
    </row>
    <row r="354" spans="1:3" x14ac:dyDescent="0.2">
      <c r="A354" t="s">
        <v>5104</v>
      </c>
      <c r="B354" t="s">
        <v>740</v>
      </c>
      <c r="C354" s="6" t="s">
        <v>4817</v>
      </c>
    </row>
    <row r="355" spans="1:3" x14ac:dyDescent="0.2">
      <c r="A355" t="s">
        <v>5106</v>
      </c>
      <c r="B355" t="s">
        <v>740</v>
      </c>
      <c r="C355" s="6" t="s">
        <v>4817</v>
      </c>
    </row>
    <row r="356" spans="1:3" x14ac:dyDescent="0.2">
      <c r="A356" t="s">
        <v>5109</v>
      </c>
      <c r="B356" t="s">
        <v>3430</v>
      </c>
      <c r="C356" s="6"/>
    </row>
    <row r="357" spans="1:3" x14ac:dyDescent="0.2">
      <c r="A357" t="s">
        <v>5093</v>
      </c>
      <c r="B357" t="s">
        <v>2789</v>
      </c>
      <c r="C357" s="6"/>
    </row>
    <row r="358" spans="1:3" x14ac:dyDescent="0.2">
      <c r="A358" t="s">
        <v>5112</v>
      </c>
      <c r="B358" t="s">
        <v>2789</v>
      </c>
      <c r="C358" s="6"/>
    </row>
    <row r="359" spans="1:3" x14ac:dyDescent="0.2">
      <c r="A359" t="s">
        <v>5113</v>
      </c>
      <c r="B359" t="s">
        <v>3436</v>
      </c>
      <c r="C359" s="6"/>
    </row>
    <row r="360" spans="1:3" x14ac:dyDescent="0.2">
      <c r="A360" t="s">
        <v>5117</v>
      </c>
      <c r="B360" t="s">
        <v>740</v>
      </c>
      <c r="C360" s="6" t="s">
        <v>5995</v>
      </c>
    </row>
    <row r="361" spans="1:3" x14ac:dyDescent="0.2">
      <c r="A361" t="s">
        <v>5119</v>
      </c>
      <c r="B361" t="s">
        <v>3433</v>
      </c>
      <c r="C361" s="6"/>
    </row>
    <row r="362" spans="1:3" x14ac:dyDescent="0.2">
      <c r="A362" t="s">
        <v>5121</v>
      </c>
      <c r="B362" t="s">
        <v>740</v>
      </c>
      <c r="C362" s="6" t="s">
        <v>4819</v>
      </c>
    </row>
    <row r="363" spans="1:3" x14ac:dyDescent="0.2">
      <c r="A363" t="s">
        <v>5122</v>
      </c>
      <c r="B363" t="s">
        <v>740</v>
      </c>
      <c r="C363" s="6" t="s">
        <v>4817</v>
      </c>
    </row>
    <row r="364" spans="1:3" x14ac:dyDescent="0.2">
      <c r="A364" t="s">
        <v>5125</v>
      </c>
      <c r="B364" t="s">
        <v>3433</v>
      </c>
      <c r="C364" s="6"/>
    </row>
    <row r="365" spans="1:3" x14ac:dyDescent="0.2">
      <c r="A365" t="s">
        <v>5705</v>
      </c>
      <c r="B365" t="s">
        <v>2789</v>
      </c>
      <c r="C365" s="6"/>
    </row>
    <row r="366" spans="1:3" x14ac:dyDescent="0.2">
      <c r="A366" t="s">
        <v>5127</v>
      </c>
      <c r="B366" t="s">
        <v>504</v>
      </c>
      <c r="C366" s="6"/>
    </row>
    <row r="367" spans="1:3" x14ac:dyDescent="0.2">
      <c r="A367" t="s">
        <v>5128</v>
      </c>
      <c r="B367" t="s">
        <v>3436</v>
      </c>
      <c r="C367" s="6"/>
    </row>
    <row r="368" spans="1:3" x14ac:dyDescent="0.2">
      <c r="A368" t="s">
        <v>5163</v>
      </c>
      <c r="B368" t="s">
        <v>504</v>
      </c>
      <c r="C368" s="6"/>
    </row>
    <row r="369" spans="1:3" x14ac:dyDescent="0.2">
      <c r="A369" t="s">
        <v>3927</v>
      </c>
      <c r="B369" t="s">
        <v>2789</v>
      </c>
      <c r="C369" s="6"/>
    </row>
    <row r="370" spans="1:3" x14ac:dyDescent="0.2">
      <c r="A370" t="s">
        <v>5176</v>
      </c>
      <c r="B370" t="s">
        <v>740</v>
      </c>
      <c r="C370" s="6" t="s">
        <v>6243</v>
      </c>
    </row>
    <row r="371" spans="1:3" x14ac:dyDescent="0.2">
      <c r="A371" t="s">
        <v>5177</v>
      </c>
      <c r="B371" t="s">
        <v>740</v>
      </c>
      <c r="C371" s="6" t="s">
        <v>4817</v>
      </c>
    </row>
    <row r="372" spans="1:3" x14ac:dyDescent="0.2">
      <c r="A372" t="s">
        <v>5195</v>
      </c>
      <c r="B372" t="s">
        <v>3433</v>
      </c>
      <c r="C372" s="6"/>
    </row>
    <row r="373" spans="1:3" x14ac:dyDescent="0.2">
      <c r="A373" t="s">
        <v>5196</v>
      </c>
      <c r="B373" t="s">
        <v>2789</v>
      </c>
      <c r="C373" s="6"/>
    </row>
    <row r="374" spans="1:3" x14ac:dyDescent="0.2">
      <c r="A374" t="s">
        <v>5197</v>
      </c>
      <c r="B374" t="s">
        <v>3436</v>
      </c>
      <c r="C374" s="6"/>
    </row>
    <row r="375" spans="1:3" x14ac:dyDescent="0.2">
      <c r="A375" t="s">
        <v>5200</v>
      </c>
      <c r="B375" t="s">
        <v>740</v>
      </c>
      <c r="C375" s="6" t="s">
        <v>4817</v>
      </c>
    </row>
    <row r="376" spans="1:3" x14ac:dyDescent="0.2">
      <c r="A376" t="s">
        <v>5207</v>
      </c>
      <c r="B376" t="s">
        <v>504</v>
      </c>
      <c r="C376" s="6"/>
    </row>
    <row r="377" spans="1:3" x14ac:dyDescent="0.2">
      <c r="A377" t="s">
        <v>5208</v>
      </c>
      <c r="B377" t="s">
        <v>2789</v>
      </c>
      <c r="C377" s="6"/>
    </row>
    <row r="378" spans="1:3" x14ac:dyDescent="0.2">
      <c r="A378" t="s">
        <v>5209</v>
      </c>
      <c r="B378" t="s">
        <v>3430</v>
      </c>
      <c r="C378" s="6"/>
    </row>
    <row r="379" spans="1:3" x14ac:dyDescent="0.2">
      <c r="A379" t="s">
        <v>5211</v>
      </c>
      <c r="B379" t="s">
        <v>2685</v>
      </c>
      <c r="C379" s="6"/>
    </row>
    <row r="380" spans="1:3" x14ac:dyDescent="0.2">
      <c r="A380" t="s">
        <v>5212</v>
      </c>
      <c r="B380" t="s">
        <v>740</v>
      </c>
      <c r="C380" s="6" t="s">
        <v>4817</v>
      </c>
    </row>
    <row r="381" spans="1:3" x14ac:dyDescent="0.2">
      <c r="A381" t="s">
        <v>5213</v>
      </c>
      <c r="B381" t="s">
        <v>2685</v>
      </c>
      <c r="C381" s="6"/>
    </row>
    <row r="382" spans="1:3" x14ac:dyDescent="0.2">
      <c r="A382" t="s">
        <v>5214</v>
      </c>
      <c r="B382" t="s">
        <v>740</v>
      </c>
      <c r="C382" s="6" t="s">
        <v>4817</v>
      </c>
    </row>
    <row r="383" spans="1:3" x14ac:dyDescent="0.2">
      <c r="A383" t="s">
        <v>5219</v>
      </c>
      <c r="B383" t="s">
        <v>3443</v>
      </c>
      <c r="C383" s="6"/>
    </row>
    <row r="384" spans="1:3" x14ac:dyDescent="0.2">
      <c r="A384" t="s">
        <v>5220</v>
      </c>
      <c r="B384" t="s">
        <v>740</v>
      </c>
      <c r="C384" s="6" t="s">
        <v>4817</v>
      </c>
    </row>
    <row r="385" spans="1:3" x14ac:dyDescent="0.2">
      <c r="A385" t="s">
        <v>5221</v>
      </c>
      <c r="B385" t="s">
        <v>740</v>
      </c>
      <c r="C385" s="6" t="s">
        <v>4817</v>
      </c>
    </row>
    <row r="386" spans="1:3" x14ac:dyDescent="0.2">
      <c r="A386" t="s">
        <v>5230</v>
      </c>
      <c r="B386" t="s">
        <v>740</v>
      </c>
      <c r="C386" s="6" t="s">
        <v>4817</v>
      </c>
    </row>
    <row r="387" spans="1:3" x14ac:dyDescent="0.2">
      <c r="A387" t="s">
        <v>5231</v>
      </c>
      <c r="B387" t="s">
        <v>740</v>
      </c>
      <c r="C387" s="6" t="s">
        <v>6243</v>
      </c>
    </row>
    <row r="388" spans="1:3" x14ac:dyDescent="0.2">
      <c r="A388" t="s">
        <v>5250</v>
      </c>
      <c r="B388" t="s">
        <v>740</v>
      </c>
      <c r="C388" s="6" t="s">
        <v>4817</v>
      </c>
    </row>
    <row r="389" spans="1:3" x14ac:dyDescent="0.2">
      <c r="A389" t="s">
        <v>5251</v>
      </c>
      <c r="B389" t="s">
        <v>3430</v>
      </c>
      <c r="C389" s="6"/>
    </row>
    <row r="390" spans="1:3" x14ac:dyDescent="0.2">
      <c r="A390" t="s">
        <v>5252</v>
      </c>
      <c r="B390" t="s">
        <v>3436</v>
      </c>
      <c r="C390" s="6"/>
    </row>
    <row r="391" spans="1:3" x14ac:dyDescent="0.2">
      <c r="A391" t="s">
        <v>5254</v>
      </c>
      <c r="B391" t="s">
        <v>3436</v>
      </c>
      <c r="C391" s="6"/>
    </row>
    <row r="392" spans="1:3" x14ac:dyDescent="0.2">
      <c r="A392" t="s">
        <v>5255</v>
      </c>
      <c r="B392" t="s">
        <v>2789</v>
      </c>
      <c r="C392" s="6"/>
    </row>
    <row r="393" spans="1:3" x14ac:dyDescent="0.2">
      <c r="A393" t="s">
        <v>5256</v>
      </c>
      <c r="B393" t="s">
        <v>3430</v>
      </c>
      <c r="C393" s="6"/>
    </row>
    <row r="394" spans="1:3" x14ac:dyDescent="0.2">
      <c r="A394" t="s">
        <v>5265</v>
      </c>
      <c r="B394" t="s">
        <v>3436</v>
      </c>
      <c r="C394" s="6"/>
    </row>
    <row r="395" spans="1:3" x14ac:dyDescent="0.2">
      <c r="A395" t="s">
        <v>5267</v>
      </c>
      <c r="B395" t="s">
        <v>740</v>
      </c>
      <c r="C395" s="6" t="s">
        <v>4817</v>
      </c>
    </row>
    <row r="396" spans="1:3" x14ac:dyDescent="0.2">
      <c r="A396" t="s">
        <v>5268</v>
      </c>
      <c r="B396" t="s">
        <v>740</v>
      </c>
      <c r="C396" s="6" t="s">
        <v>4817</v>
      </c>
    </row>
    <row r="397" spans="1:3" x14ac:dyDescent="0.2">
      <c r="A397" t="s">
        <v>5269</v>
      </c>
      <c r="B397" t="s">
        <v>2685</v>
      </c>
      <c r="C397" s="6"/>
    </row>
    <row r="398" spans="1:3" x14ac:dyDescent="0.2">
      <c r="A398" t="s">
        <v>5270</v>
      </c>
      <c r="B398" t="s">
        <v>2685</v>
      </c>
      <c r="C398" s="6"/>
    </row>
    <row r="399" spans="1:3" x14ac:dyDescent="0.2">
      <c r="A399" t="s">
        <v>5271</v>
      </c>
      <c r="B399" t="s">
        <v>2685</v>
      </c>
      <c r="C399" s="6"/>
    </row>
    <row r="400" spans="1:3" x14ac:dyDescent="0.2">
      <c r="A400" t="s">
        <v>5272</v>
      </c>
      <c r="B400" t="s">
        <v>740</v>
      </c>
      <c r="C400" s="6" t="s">
        <v>3437</v>
      </c>
    </row>
    <row r="401" spans="1:3" x14ac:dyDescent="0.2">
      <c r="A401" t="s">
        <v>5276</v>
      </c>
      <c r="B401" t="s">
        <v>3433</v>
      </c>
      <c r="C401" s="6"/>
    </row>
    <row r="402" spans="1:3" x14ac:dyDescent="0.2">
      <c r="A402" t="s">
        <v>5278</v>
      </c>
      <c r="B402" t="s">
        <v>3430</v>
      </c>
      <c r="C402" s="6"/>
    </row>
    <row r="403" spans="1:3" x14ac:dyDescent="0.2">
      <c r="A403" t="s">
        <v>5279</v>
      </c>
      <c r="B403" t="s">
        <v>3436</v>
      </c>
      <c r="C403" s="6"/>
    </row>
    <row r="404" spans="1:3" x14ac:dyDescent="0.2">
      <c r="A404" t="s">
        <v>5281</v>
      </c>
      <c r="B404" t="s">
        <v>3443</v>
      </c>
      <c r="C404" s="6"/>
    </row>
    <row r="405" spans="1:3" x14ac:dyDescent="0.2">
      <c r="A405" t="s">
        <v>5282</v>
      </c>
      <c r="B405" t="s">
        <v>2622</v>
      </c>
      <c r="C405" s="6"/>
    </row>
    <row r="406" spans="1:3" x14ac:dyDescent="0.2">
      <c r="A406" t="s">
        <v>5283</v>
      </c>
      <c r="B406" t="s">
        <v>3436</v>
      </c>
      <c r="C406" s="6"/>
    </row>
    <row r="407" spans="1:3" x14ac:dyDescent="0.2">
      <c r="A407" t="s">
        <v>5286</v>
      </c>
      <c r="B407" t="s">
        <v>740</v>
      </c>
      <c r="C407" s="6" t="s">
        <v>4817</v>
      </c>
    </row>
    <row r="408" spans="1:3" x14ac:dyDescent="0.2">
      <c r="A408" t="s">
        <v>5287</v>
      </c>
      <c r="B408" t="s">
        <v>2685</v>
      </c>
      <c r="C408" s="6"/>
    </row>
    <row r="409" spans="1:3" x14ac:dyDescent="0.2">
      <c r="A409" t="s">
        <v>5288</v>
      </c>
      <c r="B409" t="s">
        <v>740</v>
      </c>
      <c r="C409" s="6" t="s">
        <v>4817</v>
      </c>
    </row>
    <row r="410" spans="1:3" x14ac:dyDescent="0.2">
      <c r="A410" t="s">
        <v>5293</v>
      </c>
      <c r="B410" t="s">
        <v>3430</v>
      </c>
      <c r="C410" s="6"/>
    </row>
    <row r="411" spans="1:3" x14ac:dyDescent="0.2">
      <c r="A411" t="s">
        <v>5298</v>
      </c>
      <c r="B411" t="s">
        <v>740</v>
      </c>
      <c r="C411" s="6" t="s">
        <v>4817</v>
      </c>
    </row>
    <row r="412" spans="1:3" x14ac:dyDescent="0.2">
      <c r="A412" t="s">
        <v>5299</v>
      </c>
      <c r="B412" t="s">
        <v>2685</v>
      </c>
      <c r="C412" s="6"/>
    </row>
    <row r="413" spans="1:3" x14ac:dyDescent="0.2">
      <c r="A413" t="s">
        <v>5308</v>
      </c>
      <c r="B413" t="s">
        <v>3433</v>
      </c>
      <c r="C413" s="6"/>
    </row>
    <row r="414" spans="1:3" x14ac:dyDescent="0.2">
      <c r="A414" t="s">
        <v>5309</v>
      </c>
      <c r="B414" t="s">
        <v>740</v>
      </c>
      <c r="C414" s="6" t="s">
        <v>4817</v>
      </c>
    </row>
    <row r="415" spans="1:3" x14ac:dyDescent="0.2">
      <c r="A415" t="s">
        <v>5310</v>
      </c>
      <c r="B415" t="s">
        <v>740</v>
      </c>
      <c r="C415" s="6" t="s">
        <v>3437</v>
      </c>
    </row>
    <row r="416" spans="1:3" x14ac:dyDescent="0.2">
      <c r="A416" t="s">
        <v>5311</v>
      </c>
      <c r="B416" t="s">
        <v>3430</v>
      </c>
      <c r="C416" s="6"/>
    </row>
    <row r="417" spans="1:3" x14ac:dyDescent="0.2">
      <c r="A417" t="s">
        <v>5317</v>
      </c>
      <c r="B417" t="s">
        <v>3430</v>
      </c>
      <c r="C417" s="6"/>
    </row>
    <row r="418" spans="1:3" x14ac:dyDescent="0.2">
      <c r="A418" t="s">
        <v>5323</v>
      </c>
      <c r="B418" t="s">
        <v>2789</v>
      </c>
      <c r="C418" s="6"/>
    </row>
    <row r="419" spans="1:3" x14ac:dyDescent="0.2">
      <c r="A419" t="s">
        <v>5322</v>
      </c>
      <c r="B419" t="s">
        <v>2789</v>
      </c>
      <c r="C419" s="6"/>
    </row>
    <row r="420" spans="1:3" x14ac:dyDescent="0.2">
      <c r="A420" t="s">
        <v>5328</v>
      </c>
      <c r="B420" t="s">
        <v>3436</v>
      </c>
      <c r="C420" s="6"/>
    </row>
    <row r="421" spans="1:3" x14ac:dyDescent="0.2">
      <c r="A421" t="s">
        <v>5330</v>
      </c>
      <c r="B421" t="s">
        <v>740</v>
      </c>
      <c r="C421" s="6" t="s">
        <v>228</v>
      </c>
    </row>
    <row r="422" spans="1:3" x14ac:dyDescent="0.2">
      <c r="A422" t="s">
        <v>5332</v>
      </c>
      <c r="B422" t="s">
        <v>740</v>
      </c>
      <c r="C422" s="6" t="s">
        <v>228</v>
      </c>
    </row>
    <row r="423" spans="1:3" x14ac:dyDescent="0.2">
      <c r="A423" t="s">
        <v>5338</v>
      </c>
      <c r="B423" t="s">
        <v>3430</v>
      </c>
      <c r="C423" s="6"/>
    </row>
    <row r="424" spans="1:3" x14ac:dyDescent="0.2">
      <c r="A424" t="s">
        <v>5339</v>
      </c>
      <c r="B424" t="s">
        <v>3433</v>
      </c>
      <c r="C424" s="6"/>
    </row>
    <row r="425" spans="1:3" x14ac:dyDescent="0.2">
      <c r="A425" t="s">
        <v>5340</v>
      </c>
      <c r="B425" t="s">
        <v>3430</v>
      </c>
      <c r="C425" s="6"/>
    </row>
    <row r="426" spans="1:3" x14ac:dyDescent="0.2">
      <c r="A426" t="s">
        <v>5342</v>
      </c>
      <c r="B426" t="s">
        <v>3436</v>
      </c>
      <c r="C426" s="6"/>
    </row>
    <row r="427" spans="1:3" x14ac:dyDescent="0.2">
      <c r="A427" t="s">
        <v>5345</v>
      </c>
      <c r="B427" t="s">
        <v>1351</v>
      </c>
      <c r="C427" s="6"/>
    </row>
    <row r="428" spans="1:3" x14ac:dyDescent="0.2">
      <c r="A428" t="s">
        <v>5346</v>
      </c>
      <c r="B428" t="s">
        <v>740</v>
      </c>
      <c r="C428" s="6" t="s">
        <v>4817</v>
      </c>
    </row>
    <row r="429" spans="1:3" x14ac:dyDescent="0.2">
      <c r="A429" t="s">
        <v>5347</v>
      </c>
      <c r="B429" t="s">
        <v>3436</v>
      </c>
      <c r="C429" s="6"/>
    </row>
    <row r="430" spans="1:3" x14ac:dyDescent="0.2">
      <c r="A430" t="s">
        <v>5348</v>
      </c>
      <c r="B430" t="s">
        <v>740</v>
      </c>
      <c r="C430" s="6" t="s">
        <v>4817</v>
      </c>
    </row>
    <row r="431" spans="1:3" x14ac:dyDescent="0.2">
      <c r="A431" t="s">
        <v>5349</v>
      </c>
      <c r="B431" t="s">
        <v>740</v>
      </c>
      <c r="C431" s="6" t="s">
        <v>3437</v>
      </c>
    </row>
    <row r="432" spans="1:3" x14ac:dyDescent="0.2">
      <c r="A432" t="s">
        <v>5350</v>
      </c>
      <c r="B432" t="s">
        <v>740</v>
      </c>
      <c r="C432" s="6" t="s">
        <v>4817</v>
      </c>
    </row>
    <row r="433" spans="1:3" x14ac:dyDescent="0.2">
      <c r="A433" t="s">
        <v>5351</v>
      </c>
      <c r="B433" t="s">
        <v>740</v>
      </c>
      <c r="C433" s="6" t="s">
        <v>4817</v>
      </c>
    </row>
    <row r="434" spans="1:3" x14ac:dyDescent="0.2">
      <c r="A434" t="s">
        <v>5352</v>
      </c>
      <c r="B434" t="s">
        <v>740</v>
      </c>
      <c r="C434" s="6" t="s">
        <v>4817</v>
      </c>
    </row>
    <row r="435" spans="1:3" x14ac:dyDescent="0.2">
      <c r="A435" t="s">
        <v>5353</v>
      </c>
      <c r="B435" t="s">
        <v>740</v>
      </c>
      <c r="C435" s="6" t="s">
        <v>228</v>
      </c>
    </row>
    <row r="436" spans="1:3" x14ac:dyDescent="0.2">
      <c r="A436" t="s">
        <v>5354</v>
      </c>
      <c r="B436" t="s">
        <v>740</v>
      </c>
      <c r="C436" s="6" t="s">
        <v>3428</v>
      </c>
    </row>
    <row r="437" spans="1:3" x14ac:dyDescent="0.2">
      <c r="A437" t="s">
        <v>5355</v>
      </c>
      <c r="B437" t="s">
        <v>740</v>
      </c>
      <c r="C437" s="6" t="s">
        <v>3428</v>
      </c>
    </row>
    <row r="438" spans="1:3" x14ac:dyDescent="0.2">
      <c r="A438" t="s">
        <v>5358</v>
      </c>
      <c r="B438" t="s">
        <v>1351</v>
      </c>
      <c r="C438" s="6"/>
    </row>
    <row r="439" spans="1:3" x14ac:dyDescent="0.2">
      <c r="A439" t="s">
        <v>5360</v>
      </c>
      <c r="B439" t="s">
        <v>740</v>
      </c>
      <c r="C439" s="6" t="s">
        <v>4817</v>
      </c>
    </row>
    <row r="440" spans="1:3" x14ac:dyDescent="0.2">
      <c r="A440" t="s">
        <v>5362</v>
      </c>
      <c r="B440" t="s">
        <v>740</v>
      </c>
      <c r="C440" s="6" t="s">
        <v>3428</v>
      </c>
    </row>
    <row r="441" spans="1:3" x14ac:dyDescent="0.2">
      <c r="A441" t="s">
        <v>5363</v>
      </c>
      <c r="B441" t="s">
        <v>740</v>
      </c>
      <c r="C441" s="6" t="s">
        <v>4817</v>
      </c>
    </row>
    <row r="442" spans="1:3" x14ac:dyDescent="0.2">
      <c r="A442" t="s">
        <v>5365</v>
      </c>
      <c r="B442" t="s">
        <v>3443</v>
      </c>
      <c r="C442" s="6"/>
    </row>
    <row r="443" spans="1:3" x14ac:dyDescent="0.2">
      <c r="A443" t="s">
        <v>5369</v>
      </c>
      <c r="B443" t="s">
        <v>740</v>
      </c>
      <c r="C443" s="6" t="s">
        <v>4817</v>
      </c>
    </row>
    <row r="444" spans="1:3" x14ac:dyDescent="0.2">
      <c r="A444" t="s">
        <v>5370</v>
      </c>
      <c r="B444" t="s">
        <v>3443</v>
      </c>
      <c r="C444" s="6"/>
    </row>
    <row r="445" spans="1:3" x14ac:dyDescent="0.2">
      <c r="A445" t="s">
        <v>5381</v>
      </c>
      <c r="B445" t="s">
        <v>2622</v>
      </c>
      <c r="C445" s="6"/>
    </row>
    <row r="446" spans="1:3" x14ac:dyDescent="0.2">
      <c r="A446" t="s">
        <v>183</v>
      </c>
      <c r="B446" t="s">
        <v>740</v>
      </c>
      <c r="C446" s="6" t="s">
        <v>4817</v>
      </c>
    </row>
    <row r="447" spans="1:3" x14ac:dyDescent="0.2">
      <c r="A447" t="s">
        <v>5386</v>
      </c>
      <c r="B447" t="s">
        <v>740</v>
      </c>
      <c r="C447" s="6" t="s">
        <v>3437</v>
      </c>
    </row>
    <row r="448" spans="1:3" x14ac:dyDescent="0.2">
      <c r="A448" t="s">
        <v>5387</v>
      </c>
      <c r="B448" t="s">
        <v>740</v>
      </c>
      <c r="C448" s="6" t="s">
        <v>4817</v>
      </c>
    </row>
    <row r="449" spans="1:3" x14ac:dyDescent="0.2">
      <c r="A449" t="s">
        <v>5301</v>
      </c>
      <c r="B449" t="s">
        <v>740</v>
      </c>
      <c r="C449" s="6" t="s">
        <v>4817</v>
      </c>
    </row>
    <row r="450" spans="1:3" x14ac:dyDescent="0.2">
      <c r="A450" t="s">
        <v>5385</v>
      </c>
      <c r="B450" t="s">
        <v>740</v>
      </c>
      <c r="C450" s="6" t="s">
        <v>3438</v>
      </c>
    </row>
    <row r="451" spans="1:3" x14ac:dyDescent="0.2">
      <c r="A451" t="s">
        <v>5388</v>
      </c>
      <c r="B451" t="s">
        <v>740</v>
      </c>
      <c r="C451" s="6" t="s">
        <v>3438</v>
      </c>
    </row>
    <row r="452" spans="1:3" x14ac:dyDescent="0.2">
      <c r="A452" t="s">
        <v>5389</v>
      </c>
      <c r="B452" t="s">
        <v>3433</v>
      </c>
      <c r="C452" s="6"/>
    </row>
    <row r="453" spans="1:3" x14ac:dyDescent="0.2">
      <c r="A453" t="s">
        <v>5390</v>
      </c>
      <c r="B453" t="s">
        <v>3433</v>
      </c>
      <c r="C453" s="6"/>
    </row>
    <row r="454" spans="1:3" x14ac:dyDescent="0.2">
      <c r="A454" t="s">
        <v>5391</v>
      </c>
      <c r="B454" t="s">
        <v>3443</v>
      </c>
      <c r="C454" s="6"/>
    </row>
    <row r="455" spans="1:3" x14ac:dyDescent="0.2">
      <c r="A455" t="s">
        <v>5571</v>
      </c>
      <c r="B455" t="s">
        <v>2789</v>
      </c>
      <c r="C455" s="6"/>
    </row>
    <row r="456" spans="1:3" x14ac:dyDescent="0.2">
      <c r="A456" t="s">
        <v>5572</v>
      </c>
      <c r="B456" t="s">
        <v>3443</v>
      </c>
      <c r="C456" s="6"/>
    </row>
    <row r="457" spans="1:3" x14ac:dyDescent="0.2">
      <c r="A457" t="s">
        <v>5573</v>
      </c>
      <c r="B457" t="s">
        <v>740</v>
      </c>
      <c r="C457" s="6" t="s">
        <v>3437</v>
      </c>
    </row>
    <row r="458" spans="1:3" x14ac:dyDescent="0.2">
      <c r="A458" t="s">
        <v>5574</v>
      </c>
      <c r="B458" t="s">
        <v>2789</v>
      </c>
      <c r="C458" s="6"/>
    </row>
    <row r="459" spans="1:3" x14ac:dyDescent="0.2">
      <c r="A459" t="s">
        <v>5577</v>
      </c>
      <c r="B459" t="s">
        <v>3436</v>
      </c>
      <c r="C459" s="6"/>
    </row>
    <row r="460" spans="1:3" x14ac:dyDescent="0.2">
      <c r="A460" t="s">
        <v>5579</v>
      </c>
      <c r="B460" t="s">
        <v>740</v>
      </c>
      <c r="C460" s="6" t="s">
        <v>4817</v>
      </c>
    </row>
    <row r="461" spans="1:3" x14ac:dyDescent="0.2">
      <c r="A461" t="s">
        <v>5580</v>
      </c>
      <c r="B461" t="s">
        <v>740</v>
      </c>
      <c r="C461" s="6" t="s">
        <v>4817</v>
      </c>
    </row>
    <row r="462" spans="1:3" x14ac:dyDescent="0.2">
      <c r="A462" t="s">
        <v>5584</v>
      </c>
      <c r="B462" t="s">
        <v>3443</v>
      </c>
      <c r="C462" s="6"/>
    </row>
    <row r="463" spans="1:3" x14ac:dyDescent="0.2">
      <c r="A463" t="s">
        <v>5582</v>
      </c>
      <c r="B463" t="s">
        <v>2789</v>
      </c>
      <c r="C463" s="6"/>
    </row>
    <row r="464" spans="1:3" x14ac:dyDescent="0.2">
      <c r="A464" t="s">
        <v>5587</v>
      </c>
      <c r="B464" t="s">
        <v>740</v>
      </c>
      <c r="C464" s="6" t="s">
        <v>6243</v>
      </c>
    </row>
    <row r="465" spans="1:3" x14ac:dyDescent="0.2">
      <c r="A465" t="s">
        <v>5656</v>
      </c>
      <c r="B465" t="s">
        <v>740</v>
      </c>
      <c r="C465" s="6" t="s">
        <v>6243</v>
      </c>
    </row>
    <row r="466" spans="1:3" x14ac:dyDescent="0.2">
      <c r="A466" t="s">
        <v>5657</v>
      </c>
      <c r="B466" t="s">
        <v>740</v>
      </c>
      <c r="C466" s="6" t="s">
        <v>4817</v>
      </c>
    </row>
    <row r="467" spans="1:3" x14ac:dyDescent="0.2">
      <c r="A467" t="s">
        <v>5660</v>
      </c>
      <c r="B467" t="s">
        <v>504</v>
      </c>
      <c r="C467" s="6"/>
    </row>
    <row r="468" spans="1:3" x14ac:dyDescent="0.2">
      <c r="A468" t="s">
        <v>5629</v>
      </c>
      <c r="B468" t="s">
        <v>740</v>
      </c>
      <c r="C468" s="6" t="s">
        <v>4817</v>
      </c>
    </row>
    <row r="469" spans="1:3" x14ac:dyDescent="0.2">
      <c r="A469" t="s">
        <v>5665</v>
      </c>
      <c r="B469" t="s">
        <v>740</v>
      </c>
      <c r="C469" s="6" t="s">
        <v>4817</v>
      </c>
    </row>
    <row r="470" spans="1:3" x14ac:dyDescent="0.2">
      <c r="A470" t="s">
        <v>5666</v>
      </c>
      <c r="B470" t="s">
        <v>740</v>
      </c>
      <c r="C470" s="6" t="s">
        <v>6243</v>
      </c>
    </row>
    <row r="471" spans="1:3" x14ac:dyDescent="0.2">
      <c r="A471" t="s">
        <v>5668</v>
      </c>
      <c r="B471" t="s">
        <v>740</v>
      </c>
      <c r="C471" s="6" t="s">
        <v>4817</v>
      </c>
    </row>
    <row r="472" spans="1:3" x14ac:dyDescent="0.2">
      <c r="A472" t="s">
        <v>5595</v>
      </c>
      <c r="B472" t="s">
        <v>740</v>
      </c>
      <c r="C472" s="6" t="s">
        <v>6243</v>
      </c>
    </row>
    <row r="473" spans="1:3" x14ac:dyDescent="0.2">
      <c r="A473" t="s">
        <v>5671</v>
      </c>
      <c r="B473" t="s">
        <v>3433</v>
      </c>
      <c r="C473" s="6"/>
    </row>
    <row r="474" spans="1:3" x14ac:dyDescent="0.2">
      <c r="A474" t="s">
        <v>5676</v>
      </c>
      <c r="B474" t="s">
        <v>2789</v>
      </c>
      <c r="C474" s="6"/>
    </row>
    <row r="475" spans="1:3" x14ac:dyDescent="0.2">
      <c r="A475" t="s">
        <v>5678</v>
      </c>
      <c r="B475" t="s">
        <v>504</v>
      </c>
      <c r="C475" s="6"/>
    </row>
    <row r="476" spans="1:3" x14ac:dyDescent="0.2">
      <c r="A476" t="s">
        <v>5679</v>
      </c>
      <c r="B476" t="s">
        <v>3433</v>
      </c>
      <c r="C476" s="6"/>
    </row>
    <row r="477" spans="1:3" x14ac:dyDescent="0.2">
      <c r="A477" t="s">
        <v>5680</v>
      </c>
      <c r="B477" t="s">
        <v>740</v>
      </c>
      <c r="C477" s="6" t="s">
        <v>4817</v>
      </c>
    </row>
    <row r="478" spans="1:3" x14ac:dyDescent="0.2">
      <c r="A478" t="s">
        <v>5681</v>
      </c>
      <c r="B478" t="s">
        <v>3430</v>
      </c>
      <c r="C478" s="6"/>
    </row>
    <row r="479" spans="1:3" x14ac:dyDescent="0.2">
      <c r="A479" t="s">
        <v>5683</v>
      </c>
      <c r="B479" t="s">
        <v>3433</v>
      </c>
      <c r="C479" s="6"/>
    </row>
    <row r="480" spans="1:3" x14ac:dyDescent="0.2">
      <c r="A480" t="s">
        <v>5685</v>
      </c>
      <c r="B480" t="s">
        <v>740</v>
      </c>
      <c r="C480" s="6" t="s">
        <v>3437</v>
      </c>
    </row>
    <row r="481" spans="1:3" x14ac:dyDescent="0.2">
      <c r="A481" t="s">
        <v>5689</v>
      </c>
      <c r="B481" t="s">
        <v>2685</v>
      </c>
      <c r="C481" s="6"/>
    </row>
    <row r="482" spans="1:3" x14ac:dyDescent="0.2">
      <c r="A482" t="s">
        <v>5690</v>
      </c>
      <c r="B482" t="s">
        <v>740</v>
      </c>
      <c r="C482" s="6" t="s">
        <v>4817</v>
      </c>
    </row>
    <row r="483" spans="1:3" x14ac:dyDescent="0.2">
      <c r="A483" t="s">
        <v>5620</v>
      </c>
      <c r="B483" t="s">
        <v>740</v>
      </c>
      <c r="C483" s="6" t="s">
        <v>4817</v>
      </c>
    </row>
    <row r="484" spans="1:3" x14ac:dyDescent="0.2">
      <c r="A484" t="s">
        <v>5693</v>
      </c>
      <c r="B484" t="s">
        <v>3443</v>
      </c>
      <c r="C484" s="6"/>
    </row>
    <row r="485" spans="1:3" x14ac:dyDescent="0.2">
      <c r="A485" t="s">
        <v>5694</v>
      </c>
      <c r="B485" t="s">
        <v>2789</v>
      </c>
      <c r="C485" s="6"/>
    </row>
    <row r="486" spans="1:3" x14ac:dyDescent="0.2">
      <c r="A486" t="s">
        <v>5695</v>
      </c>
      <c r="B486" t="s">
        <v>3436</v>
      </c>
      <c r="C486" s="6"/>
    </row>
    <row r="487" spans="1:3" x14ac:dyDescent="0.2">
      <c r="A487" t="s">
        <v>5699</v>
      </c>
      <c r="B487" t="s">
        <v>740</v>
      </c>
      <c r="C487" s="6" t="s">
        <v>4817</v>
      </c>
    </row>
    <row r="488" spans="1:3" x14ac:dyDescent="0.2">
      <c r="A488" t="s">
        <v>5700</v>
      </c>
      <c r="B488" t="s">
        <v>740</v>
      </c>
      <c r="C488" s="6" t="s">
        <v>4817</v>
      </c>
    </row>
    <row r="489" spans="1:3" x14ac:dyDescent="0.2">
      <c r="A489" t="s">
        <v>5702</v>
      </c>
      <c r="B489" t="s">
        <v>3430</v>
      </c>
      <c r="C489" s="6"/>
    </row>
    <row r="490" spans="1:3" x14ac:dyDescent="0.2">
      <c r="A490" t="s">
        <v>5704</v>
      </c>
      <c r="B490" t="s">
        <v>2789</v>
      </c>
      <c r="C490" s="6"/>
    </row>
    <row r="491" spans="1:3" x14ac:dyDescent="0.2">
      <c r="A491" t="s">
        <v>5596</v>
      </c>
      <c r="B491" t="s">
        <v>740</v>
      </c>
      <c r="C491" s="6" t="s">
        <v>4819</v>
      </c>
    </row>
    <row r="492" spans="1:3" x14ac:dyDescent="0.2">
      <c r="A492" t="s">
        <v>5597</v>
      </c>
      <c r="B492" t="s">
        <v>740</v>
      </c>
      <c r="C492" s="6" t="s">
        <v>4817</v>
      </c>
    </row>
    <row r="493" spans="1:3" x14ac:dyDescent="0.2">
      <c r="A493" t="s">
        <v>5599</v>
      </c>
      <c r="B493" t="s">
        <v>740</v>
      </c>
      <c r="C493" s="6" t="s">
        <v>4819</v>
      </c>
    </row>
    <row r="494" spans="1:3" x14ac:dyDescent="0.2">
      <c r="A494" t="s">
        <v>5600</v>
      </c>
      <c r="B494" t="s">
        <v>3433</v>
      </c>
      <c r="C494" s="6"/>
    </row>
    <row r="495" spans="1:3" x14ac:dyDescent="0.2">
      <c r="A495" t="s">
        <v>5603</v>
      </c>
      <c r="B495" t="s">
        <v>740</v>
      </c>
      <c r="C495" s="6" t="s">
        <v>4817</v>
      </c>
    </row>
    <row r="496" spans="1:3" x14ac:dyDescent="0.2">
      <c r="A496" t="s">
        <v>5604</v>
      </c>
      <c r="B496" t="s">
        <v>2685</v>
      </c>
      <c r="C496" s="6"/>
    </row>
    <row r="497" spans="1:3" x14ac:dyDescent="0.2">
      <c r="A497" t="s">
        <v>5605</v>
      </c>
      <c r="B497" t="s">
        <v>2685</v>
      </c>
      <c r="C497" s="6"/>
    </row>
    <row r="498" spans="1:3" x14ac:dyDescent="0.2">
      <c r="A498" t="s">
        <v>5609</v>
      </c>
      <c r="B498" t="s">
        <v>740</v>
      </c>
      <c r="C498" s="6" t="s">
        <v>4817</v>
      </c>
    </row>
    <row r="499" spans="1:3" x14ac:dyDescent="0.2">
      <c r="A499" t="s">
        <v>5611</v>
      </c>
      <c r="B499" t="s">
        <v>2789</v>
      </c>
      <c r="C499" s="6"/>
    </row>
    <row r="500" spans="1:3" x14ac:dyDescent="0.2">
      <c r="A500" t="s">
        <v>5612</v>
      </c>
      <c r="B500" t="s">
        <v>2622</v>
      </c>
      <c r="C500" s="6"/>
    </row>
    <row r="501" spans="1:3" x14ac:dyDescent="0.2">
      <c r="A501" t="s">
        <v>5616</v>
      </c>
      <c r="B501" t="s">
        <v>740</v>
      </c>
      <c r="C501" s="6" t="s">
        <v>5995</v>
      </c>
    </row>
    <row r="502" spans="1:3" x14ac:dyDescent="0.2">
      <c r="A502" t="s">
        <v>5617</v>
      </c>
      <c r="B502" t="s">
        <v>3436</v>
      </c>
      <c r="C502" s="6"/>
    </row>
    <row r="503" spans="1:3" x14ac:dyDescent="0.2">
      <c r="A503" t="s">
        <v>5623</v>
      </c>
      <c r="B503" t="s">
        <v>2789</v>
      </c>
      <c r="C503" s="6"/>
    </row>
    <row r="504" spans="1:3" x14ac:dyDescent="0.2">
      <c r="A504" t="s">
        <v>5626</v>
      </c>
      <c r="B504" t="s">
        <v>2685</v>
      </c>
      <c r="C504" s="6"/>
    </row>
    <row r="505" spans="1:3" x14ac:dyDescent="0.2">
      <c r="A505" t="s">
        <v>5622</v>
      </c>
      <c r="B505" t="s">
        <v>2622</v>
      </c>
      <c r="C505" s="6"/>
    </row>
    <row r="506" spans="1:3" x14ac:dyDescent="0.2">
      <c r="A506" t="s">
        <v>5628</v>
      </c>
      <c r="B506" t="s">
        <v>3443</v>
      </c>
      <c r="C506" s="6"/>
    </row>
    <row r="507" spans="1:3" x14ac:dyDescent="0.2">
      <c r="A507" t="s">
        <v>5636</v>
      </c>
      <c r="B507" t="s">
        <v>740</v>
      </c>
      <c r="C507" s="6" t="s">
        <v>4817</v>
      </c>
    </row>
    <row r="508" spans="1:3" x14ac:dyDescent="0.2">
      <c r="A508" t="s">
        <v>5638</v>
      </c>
      <c r="B508" t="s">
        <v>740</v>
      </c>
      <c r="C508" s="6" t="s">
        <v>4817</v>
      </c>
    </row>
    <row r="509" spans="1:3" x14ac:dyDescent="0.2">
      <c r="A509" t="s">
        <v>5639</v>
      </c>
      <c r="B509" t="s">
        <v>740</v>
      </c>
      <c r="C509" s="6" t="s">
        <v>4817</v>
      </c>
    </row>
    <row r="510" spans="1:3" x14ac:dyDescent="0.2">
      <c r="A510" t="s">
        <v>5640</v>
      </c>
      <c r="B510" t="s">
        <v>740</v>
      </c>
      <c r="C510" s="6" t="s">
        <v>228</v>
      </c>
    </row>
    <row r="511" spans="1:3" x14ac:dyDescent="0.2">
      <c r="A511" t="s">
        <v>5641</v>
      </c>
      <c r="B511" t="s">
        <v>3443</v>
      </c>
      <c r="C511" s="6"/>
    </row>
    <row r="512" spans="1:3" x14ac:dyDescent="0.2">
      <c r="A512" t="s">
        <v>5643</v>
      </c>
      <c r="B512" t="s">
        <v>740</v>
      </c>
      <c r="C512" s="6" t="s">
        <v>228</v>
      </c>
    </row>
    <row r="513" spans="1:3" x14ac:dyDescent="0.2">
      <c r="A513" t="s">
        <v>5610</v>
      </c>
      <c r="B513" t="s">
        <v>2789</v>
      </c>
      <c r="C513" s="6" t="s">
        <v>228</v>
      </c>
    </row>
    <row r="514" spans="1:3" x14ac:dyDescent="0.2">
      <c r="A514" t="s">
        <v>5647</v>
      </c>
      <c r="B514" t="s">
        <v>740</v>
      </c>
      <c r="C514" s="6" t="s">
        <v>3428</v>
      </c>
    </row>
    <row r="515" spans="1:3" x14ac:dyDescent="0.2">
      <c r="A515" t="s">
        <v>5646</v>
      </c>
      <c r="B515" t="s">
        <v>740</v>
      </c>
      <c r="C515" s="6" t="s">
        <v>3428</v>
      </c>
    </row>
    <row r="516" spans="1:3" x14ac:dyDescent="0.2">
      <c r="A516" t="s">
        <v>5648</v>
      </c>
      <c r="B516" t="s">
        <v>3430</v>
      </c>
      <c r="C516" s="6"/>
    </row>
    <row r="517" spans="1:3" x14ac:dyDescent="0.2">
      <c r="A517" t="s">
        <v>5652</v>
      </c>
      <c r="B517" t="s">
        <v>3436</v>
      </c>
      <c r="C517" s="6"/>
    </row>
    <row r="518" spans="1:3" x14ac:dyDescent="0.2">
      <c r="A518" t="s">
        <v>5651</v>
      </c>
      <c r="B518" t="s">
        <v>3430</v>
      </c>
      <c r="C518" s="6"/>
    </row>
    <row r="519" spans="1:3" x14ac:dyDescent="0.2">
      <c r="A519" t="s">
        <v>5705</v>
      </c>
      <c r="B519" t="s">
        <v>2789</v>
      </c>
    </row>
    <row r="520" spans="1:3" x14ac:dyDescent="0.2">
      <c r="A520" t="s">
        <v>5709</v>
      </c>
      <c r="B520" t="s">
        <v>3436</v>
      </c>
    </row>
    <row r="521" spans="1:3" x14ac:dyDescent="0.2">
      <c r="A521" t="s">
        <v>5711</v>
      </c>
      <c r="B521" t="s">
        <v>2685</v>
      </c>
    </row>
    <row r="522" spans="1:3" x14ac:dyDescent="0.2">
      <c r="A522" t="s">
        <v>5712</v>
      </c>
      <c r="B522" t="s">
        <v>3433</v>
      </c>
    </row>
    <row r="523" spans="1:3" x14ac:dyDescent="0.2">
      <c r="A523" t="s">
        <v>5715</v>
      </c>
      <c r="B523" t="s">
        <v>3433</v>
      </c>
    </row>
    <row r="524" spans="1:3" x14ac:dyDescent="0.2">
      <c r="A524" t="s">
        <v>5723</v>
      </c>
      <c r="B524" t="s">
        <v>2789</v>
      </c>
    </row>
    <row r="525" spans="1:3" x14ac:dyDescent="0.2">
      <c r="A525" t="s">
        <v>5726</v>
      </c>
      <c r="B525" t="s">
        <v>740</v>
      </c>
      <c r="C525" t="s">
        <v>4817</v>
      </c>
    </row>
    <row r="526" spans="1:3" x14ac:dyDescent="0.2">
      <c r="A526" t="s">
        <v>5729</v>
      </c>
      <c r="B526" t="s">
        <v>3433</v>
      </c>
    </row>
    <row r="527" spans="1:3" x14ac:dyDescent="0.2">
      <c r="A527" t="s">
        <v>5731</v>
      </c>
      <c r="B527" t="s">
        <v>3443</v>
      </c>
    </row>
    <row r="528" spans="1:3" x14ac:dyDescent="0.2">
      <c r="A528" t="s">
        <v>5737</v>
      </c>
      <c r="B528" t="s">
        <v>3443</v>
      </c>
    </row>
    <row r="529" spans="1:4" x14ac:dyDescent="0.2">
      <c r="A529" t="s">
        <v>5738</v>
      </c>
      <c r="B529" t="s">
        <v>740</v>
      </c>
      <c r="C529" t="s">
        <v>4817</v>
      </c>
    </row>
    <row r="530" spans="1:4" x14ac:dyDescent="0.2">
      <c r="A530" t="s">
        <v>5743</v>
      </c>
      <c r="B530" t="s">
        <v>740</v>
      </c>
      <c r="C530" s="6" t="s">
        <v>6239</v>
      </c>
      <c r="D530" t="s">
        <v>6241</v>
      </c>
    </row>
    <row r="531" spans="1:4" x14ac:dyDescent="0.2">
      <c r="A531" t="s">
        <v>5744</v>
      </c>
      <c r="B531" t="s">
        <v>740</v>
      </c>
      <c r="C531" t="s">
        <v>4817</v>
      </c>
    </row>
    <row r="532" spans="1:4" x14ac:dyDescent="0.2">
      <c r="A532" t="s">
        <v>5746</v>
      </c>
      <c r="B532" t="s">
        <v>3430</v>
      </c>
    </row>
    <row r="533" spans="1:4" x14ac:dyDescent="0.2">
      <c r="A533" t="s">
        <v>5756</v>
      </c>
      <c r="B533" t="s">
        <v>740</v>
      </c>
      <c r="C533" t="s">
        <v>4819</v>
      </c>
    </row>
    <row r="534" spans="1:4" x14ac:dyDescent="0.2">
      <c r="A534" t="s">
        <v>5759</v>
      </c>
      <c r="B534" t="s">
        <v>740</v>
      </c>
      <c r="C534" t="s">
        <v>4817</v>
      </c>
    </row>
    <row r="535" spans="1:4" x14ac:dyDescent="0.2">
      <c r="A535" t="s">
        <v>5760</v>
      </c>
      <c r="B535" t="s">
        <v>740</v>
      </c>
      <c r="C535" t="s">
        <v>3428</v>
      </c>
    </row>
    <row r="536" spans="1:4" x14ac:dyDescent="0.2">
      <c r="A536" t="s">
        <v>5761</v>
      </c>
      <c r="B536" t="s">
        <v>2685</v>
      </c>
    </row>
    <row r="537" spans="1:4" x14ac:dyDescent="0.2">
      <c r="A537" t="s">
        <v>5762</v>
      </c>
      <c r="B537" t="s">
        <v>740</v>
      </c>
      <c r="C537" t="s">
        <v>4817</v>
      </c>
    </row>
    <row r="538" spans="1:4" x14ac:dyDescent="0.2">
      <c r="A538" t="s">
        <v>5763</v>
      </c>
      <c r="B538" t="s">
        <v>740</v>
      </c>
      <c r="C538" t="s">
        <v>4817</v>
      </c>
    </row>
    <row r="539" spans="1:4" x14ac:dyDescent="0.2">
      <c r="A539" t="s">
        <v>5764</v>
      </c>
      <c r="B539" t="s">
        <v>3436</v>
      </c>
    </row>
    <row r="540" spans="1:4" x14ac:dyDescent="0.2">
      <c r="A540" t="s">
        <v>5765</v>
      </c>
      <c r="B540" t="s">
        <v>740</v>
      </c>
      <c r="C540" s="6" t="s">
        <v>6239</v>
      </c>
      <c r="D540" t="s">
        <v>6241</v>
      </c>
    </row>
    <row r="541" spans="1:4" x14ac:dyDescent="0.2">
      <c r="A541" t="s">
        <v>5766</v>
      </c>
      <c r="B541" t="s">
        <v>740</v>
      </c>
      <c r="C541" t="s">
        <v>4817</v>
      </c>
    </row>
    <row r="542" spans="1:4" x14ac:dyDescent="0.2">
      <c r="A542" t="s">
        <v>5767</v>
      </c>
      <c r="B542" t="s">
        <v>3443</v>
      </c>
    </row>
    <row r="543" spans="1:4" x14ac:dyDescent="0.2">
      <c r="A543" t="s">
        <v>5768</v>
      </c>
      <c r="B543" t="s">
        <v>3436</v>
      </c>
    </row>
    <row r="544" spans="1:4" x14ac:dyDescent="0.2">
      <c r="A544" t="s">
        <v>5772</v>
      </c>
      <c r="B544" t="s">
        <v>740</v>
      </c>
      <c r="C544" t="s">
        <v>4817</v>
      </c>
    </row>
    <row r="545" spans="1:3" x14ac:dyDescent="0.2">
      <c r="A545" t="s">
        <v>4982</v>
      </c>
      <c r="B545" t="s">
        <v>740</v>
      </c>
      <c r="C545" t="s">
        <v>4817</v>
      </c>
    </row>
    <row r="546" spans="1:3" x14ac:dyDescent="0.2">
      <c r="A546" t="s">
        <v>5848</v>
      </c>
      <c r="B546" t="s">
        <v>740</v>
      </c>
      <c r="C546" t="s">
        <v>4817</v>
      </c>
    </row>
    <row r="547" spans="1:3" x14ac:dyDescent="0.2">
      <c r="A547" t="s">
        <v>5850</v>
      </c>
      <c r="B547" t="s">
        <v>740</v>
      </c>
      <c r="C547" t="s">
        <v>3437</v>
      </c>
    </row>
    <row r="548" spans="1:3" x14ac:dyDescent="0.2">
      <c r="A548" t="s">
        <v>5853</v>
      </c>
      <c r="B548" t="s">
        <v>740</v>
      </c>
      <c r="C548" t="s">
        <v>4817</v>
      </c>
    </row>
    <row r="549" spans="1:3" x14ac:dyDescent="0.2">
      <c r="A549" t="s">
        <v>5849</v>
      </c>
      <c r="B549" t="s">
        <v>740</v>
      </c>
      <c r="C549" t="s">
        <v>3440</v>
      </c>
    </row>
    <row r="550" spans="1:3" x14ac:dyDescent="0.2">
      <c r="A550" t="s">
        <v>5851</v>
      </c>
      <c r="B550" t="s">
        <v>740</v>
      </c>
      <c r="C550" t="s">
        <v>4817</v>
      </c>
    </row>
    <row r="551" spans="1:3" x14ac:dyDescent="0.2">
      <c r="A551" t="s">
        <v>5869</v>
      </c>
      <c r="B551" t="s">
        <v>740</v>
      </c>
      <c r="C551" t="s">
        <v>4817</v>
      </c>
    </row>
    <row r="552" spans="1:3" x14ac:dyDescent="0.2">
      <c r="A552" t="s">
        <v>5860</v>
      </c>
      <c r="B552" t="s">
        <v>740</v>
      </c>
      <c r="C552" t="s">
        <v>4817</v>
      </c>
    </row>
    <row r="553" spans="1:3" x14ac:dyDescent="0.2">
      <c r="A553" t="s">
        <v>5901</v>
      </c>
      <c r="B553" t="s">
        <v>3433</v>
      </c>
    </row>
    <row r="554" spans="1:3" x14ac:dyDescent="0.2">
      <c r="A554" t="s">
        <v>5909</v>
      </c>
      <c r="B554" t="s">
        <v>3433</v>
      </c>
    </row>
    <row r="555" spans="1:3" x14ac:dyDescent="0.2">
      <c r="A555" t="s">
        <v>5912</v>
      </c>
      <c r="B555" t="s">
        <v>3430</v>
      </c>
    </row>
    <row r="556" spans="1:3" x14ac:dyDescent="0.2">
      <c r="A556" t="s">
        <v>5916</v>
      </c>
      <c r="B556" t="s">
        <v>3430</v>
      </c>
    </row>
    <row r="557" spans="1:3" x14ac:dyDescent="0.2">
      <c r="A557" t="s">
        <v>5917</v>
      </c>
      <c r="B557" t="s">
        <v>3433</v>
      </c>
    </row>
    <row r="558" spans="1:3" x14ac:dyDescent="0.2">
      <c r="A558" t="s">
        <v>5919</v>
      </c>
      <c r="B558" t="s">
        <v>1351</v>
      </c>
    </row>
    <row r="559" spans="1:3" x14ac:dyDescent="0.2">
      <c r="A559" t="s">
        <v>5999</v>
      </c>
      <c r="B559" t="s">
        <v>740</v>
      </c>
      <c r="C559" t="s">
        <v>5995</v>
      </c>
    </row>
    <row r="560" spans="1:3" x14ac:dyDescent="0.2">
      <c r="A560" t="s">
        <v>5930</v>
      </c>
      <c r="B560" t="s">
        <v>740</v>
      </c>
      <c r="C560" t="s">
        <v>5995</v>
      </c>
    </row>
    <row r="561" spans="1:3" x14ac:dyDescent="0.2">
      <c r="A561" t="s">
        <v>5995</v>
      </c>
      <c r="B561" t="s">
        <v>740</v>
      </c>
      <c r="C561" t="s">
        <v>5995</v>
      </c>
    </row>
    <row r="562" spans="1:3" x14ac:dyDescent="0.2">
      <c r="A562" t="s">
        <v>6092</v>
      </c>
      <c r="B562" t="s">
        <v>740</v>
      </c>
      <c r="C562" t="s">
        <v>5995</v>
      </c>
    </row>
    <row r="563" spans="1:3" x14ac:dyDescent="0.2">
      <c r="A563" t="s">
        <v>6061</v>
      </c>
      <c r="B563" t="s">
        <v>740</v>
      </c>
      <c r="C563" t="s">
        <v>5995</v>
      </c>
    </row>
    <row r="564" spans="1:3" x14ac:dyDescent="0.2">
      <c r="A564" t="s">
        <v>5946</v>
      </c>
      <c r="B564" t="s">
        <v>740</v>
      </c>
      <c r="C564" t="s">
        <v>5995</v>
      </c>
    </row>
    <row r="565" spans="1:3" x14ac:dyDescent="0.2">
      <c r="A565" t="s">
        <v>6013</v>
      </c>
      <c r="B565" t="s">
        <v>740</v>
      </c>
      <c r="C565" t="s">
        <v>5995</v>
      </c>
    </row>
    <row r="566" spans="1:3" x14ac:dyDescent="0.2">
      <c r="A566" t="s">
        <v>5996</v>
      </c>
      <c r="B566" t="s">
        <v>740</v>
      </c>
      <c r="C566" t="s">
        <v>5995</v>
      </c>
    </row>
    <row r="567" spans="1:3" x14ac:dyDescent="0.2">
      <c r="A567" t="s">
        <v>5936</v>
      </c>
      <c r="B567" t="s">
        <v>740</v>
      </c>
      <c r="C567" t="s">
        <v>5995</v>
      </c>
    </row>
    <row r="568" spans="1:3" x14ac:dyDescent="0.2">
      <c r="A568" t="s">
        <v>5937</v>
      </c>
      <c r="B568" t="s">
        <v>740</v>
      </c>
      <c r="C568" t="s">
        <v>4817</v>
      </c>
    </row>
    <row r="569" spans="1:3" x14ac:dyDescent="0.2">
      <c r="A569" t="s">
        <v>6196</v>
      </c>
      <c r="B569" t="s">
        <v>740</v>
      </c>
      <c r="C569" s="6" t="s">
        <v>5995</v>
      </c>
    </row>
    <row r="570" spans="1:3" x14ac:dyDescent="0.2">
      <c r="A570" t="s">
        <v>6178</v>
      </c>
      <c r="B570" t="s">
        <v>740</v>
      </c>
      <c r="C570" s="6" t="s">
        <v>5995</v>
      </c>
    </row>
    <row r="571" spans="1:3" x14ac:dyDescent="0.2">
      <c r="A571" t="s">
        <v>7990</v>
      </c>
      <c r="B571" t="s">
        <v>740</v>
      </c>
      <c r="C571" t="s">
        <v>6243</v>
      </c>
    </row>
    <row r="572" spans="1:3" x14ac:dyDescent="0.2">
      <c r="A572" t="s">
        <v>6231</v>
      </c>
      <c r="B572" t="s">
        <v>740</v>
      </c>
      <c r="C572" t="s">
        <v>4817</v>
      </c>
    </row>
    <row r="573" spans="1:3" x14ac:dyDescent="0.2">
      <c r="A573" t="s">
        <v>8624</v>
      </c>
      <c r="B573" t="s">
        <v>740</v>
      </c>
      <c r="C573" t="s">
        <v>3428</v>
      </c>
    </row>
    <row r="574" spans="1:3" x14ac:dyDescent="0.2">
      <c r="A574" t="s">
        <v>6862</v>
      </c>
      <c r="B574" t="s">
        <v>740</v>
      </c>
      <c r="C574" t="s">
        <v>5995</v>
      </c>
    </row>
    <row r="575" spans="1:3" x14ac:dyDescent="0.2">
      <c r="A575" t="s">
        <v>7337</v>
      </c>
      <c r="B575" t="s">
        <v>740</v>
      </c>
      <c r="C575" t="s">
        <v>3437</v>
      </c>
    </row>
    <row r="576" spans="1:3" x14ac:dyDescent="0.2">
      <c r="A576" t="s">
        <v>6239</v>
      </c>
      <c r="B576" t="s">
        <v>740</v>
      </c>
      <c r="C576" t="s">
        <v>6239</v>
      </c>
    </row>
    <row r="577" spans="1:3" x14ac:dyDescent="0.2">
      <c r="A577" t="s">
        <v>8633</v>
      </c>
      <c r="B577" t="s">
        <v>740</v>
      </c>
      <c r="C577" t="s">
        <v>3428</v>
      </c>
    </row>
    <row r="578" spans="1:3" x14ac:dyDescent="0.2">
      <c r="A578" t="s">
        <v>6936</v>
      </c>
      <c r="B578" t="s">
        <v>2685</v>
      </c>
    </row>
    <row r="579" spans="1:3" x14ac:dyDescent="0.2">
      <c r="A579" t="s">
        <v>7138</v>
      </c>
      <c r="B579" t="s">
        <v>2685</v>
      </c>
    </row>
    <row r="580" spans="1:3" x14ac:dyDescent="0.2">
      <c r="A580" t="s">
        <v>10606</v>
      </c>
      <c r="B580" t="s">
        <v>740</v>
      </c>
      <c r="C580" t="s">
        <v>228</v>
      </c>
    </row>
    <row r="581" spans="1:3" x14ac:dyDescent="0.2">
      <c r="A581" t="s">
        <v>8790</v>
      </c>
      <c r="B581" t="s">
        <v>2685</v>
      </c>
    </row>
    <row r="582" spans="1:3" x14ac:dyDescent="0.2">
      <c r="A582" t="s">
        <v>8788</v>
      </c>
      <c r="B582" t="s">
        <v>2685</v>
      </c>
    </row>
    <row r="583" spans="1:3" x14ac:dyDescent="0.2">
      <c r="A583" t="s">
        <v>6379</v>
      </c>
      <c r="B583" t="s">
        <v>740</v>
      </c>
    </row>
    <row r="584" spans="1:3" x14ac:dyDescent="0.2">
      <c r="A584" t="s">
        <v>6760</v>
      </c>
      <c r="B584" t="s">
        <v>740</v>
      </c>
      <c r="C584" t="s">
        <v>6243</v>
      </c>
    </row>
    <row r="585" spans="1:3" x14ac:dyDescent="0.2">
      <c r="A585" t="s">
        <v>9456</v>
      </c>
      <c r="B585" t="s">
        <v>2685</v>
      </c>
    </row>
    <row r="586" spans="1:3" x14ac:dyDescent="0.2">
      <c r="A586" t="s">
        <v>8843</v>
      </c>
      <c r="B586" t="s">
        <v>2685</v>
      </c>
    </row>
    <row r="587" spans="1:3" x14ac:dyDescent="0.2">
      <c r="A587" t="s">
        <v>8912</v>
      </c>
      <c r="B587" t="s">
        <v>2685</v>
      </c>
    </row>
    <row r="588" spans="1:3" x14ac:dyDescent="0.2">
      <c r="A588" t="s">
        <v>8975</v>
      </c>
      <c r="B588" t="s">
        <v>740</v>
      </c>
      <c r="C588" t="s">
        <v>3437</v>
      </c>
    </row>
    <row r="589" spans="1:3" x14ac:dyDescent="0.2">
      <c r="A589" t="s">
        <v>6933</v>
      </c>
      <c r="B589" t="s">
        <v>2685</v>
      </c>
    </row>
    <row r="590" spans="1:3" x14ac:dyDescent="0.2">
      <c r="A590" t="s">
        <v>6654</v>
      </c>
      <c r="B590" t="s">
        <v>740</v>
      </c>
      <c r="C590" t="s">
        <v>3437</v>
      </c>
    </row>
    <row r="591" spans="1:3" x14ac:dyDescent="0.2">
      <c r="A591" t="s">
        <v>9060</v>
      </c>
      <c r="B591" t="s">
        <v>740</v>
      </c>
      <c r="C591" t="s">
        <v>4819</v>
      </c>
    </row>
    <row r="592" spans="1:3" x14ac:dyDescent="0.2">
      <c r="A592" t="s">
        <v>9074</v>
      </c>
      <c r="B592" t="s">
        <v>740</v>
      </c>
      <c r="C592" t="s">
        <v>4817</v>
      </c>
    </row>
    <row r="593" spans="1:3" x14ac:dyDescent="0.2">
      <c r="A593" t="s">
        <v>9110</v>
      </c>
      <c r="B593" t="s">
        <v>740</v>
      </c>
      <c r="C593" s="6" t="s">
        <v>5995</v>
      </c>
    </row>
    <row r="594" spans="1:3" x14ac:dyDescent="0.2">
      <c r="A594" t="s">
        <v>9190</v>
      </c>
      <c r="B594" t="s">
        <v>2685</v>
      </c>
    </row>
    <row r="595" spans="1:3" x14ac:dyDescent="0.2">
      <c r="A595" t="s">
        <v>9325</v>
      </c>
      <c r="B595" t="s">
        <v>740</v>
      </c>
      <c r="C595" t="s">
        <v>4817</v>
      </c>
    </row>
    <row r="596" spans="1:3" x14ac:dyDescent="0.2">
      <c r="A596" t="s">
        <v>9321</v>
      </c>
      <c r="B596" t="s">
        <v>740</v>
      </c>
      <c r="C596" t="s">
        <v>4817</v>
      </c>
    </row>
    <row r="597" spans="1:3" x14ac:dyDescent="0.2">
      <c r="A597" t="s">
        <v>9323</v>
      </c>
      <c r="B597" t="s">
        <v>2685</v>
      </c>
    </row>
    <row r="598" spans="1:3" x14ac:dyDescent="0.2">
      <c r="A598" t="s">
        <v>9372</v>
      </c>
      <c r="B598" t="s">
        <v>740</v>
      </c>
      <c r="C598" t="s">
        <v>5995</v>
      </c>
    </row>
    <row r="599" spans="1:3" x14ac:dyDescent="0.2">
      <c r="A599" t="s">
        <v>9417</v>
      </c>
      <c r="B599" t="s">
        <v>740</v>
      </c>
      <c r="C599" t="s">
        <v>4817</v>
      </c>
    </row>
    <row r="600" spans="1:3" x14ac:dyDescent="0.2">
      <c r="A600" t="s">
        <v>6674</v>
      </c>
      <c r="B600" t="s">
        <v>740</v>
      </c>
      <c r="C600" t="s">
        <v>4817</v>
      </c>
    </row>
    <row r="601" spans="1:3" x14ac:dyDescent="0.2">
      <c r="A601" t="s">
        <v>8168</v>
      </c>
      <c r="B601" t="s">
        <v>2685</v>
      </c>
    </row>
    <row r="602" spans="1:3" x14ac:dyDescent="0.2">
      <c r="A602" t="s">
        <v>9419</v>
      </c>
      <c r="B602" t="s">
        <v>740</v>
      </c>
      <c r="C602" t="s">
        <v>4817</v>
      </c>
    </row>
    <row r="603" spans="1:3" x14ac:dyDescent="0.2">
      <c r="A603" t="s">
        <v>6978</v>
      </c>
      <c r="B603" t="s">
        <v>740</v>
      </c>
      <c r="C603" t="s">
        <v>5995</v>
      </c>
    </row>
    <row r="604" spans="1:3" x14ac:dyDescent="0.2">
      <c r="A604" t="s">
        <v>9591</v>
      </c>
      <c r="B604" t="s">
        <v>3436</v>
      </c>
    </row>
    <row r="605" spans="1:3" x14ac:dyDescent="0.2">
      <c r="A605" t="s">
        <v>9615</v>
      </c>
      <c r="B605" t="s">
        <v>2685</v>
      </c>
    </row>
    <row r="606" spans="1:3" x14ac:dyDescent="0.2">
      <c r="A606" t="s">
        <v>6579</v>
      </c>
      <c r="B606" t="s">
        <v>2685</v>
      </c>
    </row>
    <row r="607" spans="1:3" x14ac:dyDescent="0.2">
      <c r="A607" t="s">
        <v>9673</v>
      </c>
      <c r="B607" t="s">
        <v>2685</v>
      </c>
    </row>
    <row r="608" spans="1:3" x14ac:dyDescent="0.2">
      <c r="A608" t="s">
        <v>7674</v>
      </c>
      <c r="B608" t="s">
        <v>2685</v>
      </c>
    </row>
    <row r="609" spans="1:3" x14ac:dyDescent="0.2">
      <c r="A609" t="s">
        <v>8184</v>
      </c>
      <c r="B609" t="s">
        <v>740</v>
      </c>
      <c r="C609" t="s">
        <v>4817</v>
      </c>
    </row>
    <row r="610" spans="1:3" x14ac:dyDescent="0.2">
      <c r="A610" t="s">
        <v>10610</v>
      </c>
      <c r="B610" t="s">
        <v>2685</v>
      </c>
    </row>
    <row r="611" spans="1:3" x14ac:dyDescent="0.2">
      <c r="A611" t="s">
        <v>8388</v>
      </c>
      <c r="B611" t="s">
        <v>2685</v>
      </c>
    </row>
    <row r="612" spans="1:3" x14ac:dyDescent="0.2">
      <c r="A612" t="s">
        <v>6261</v>
      </c>
      <c r="B612" t="s">
        <v>740</v>
      </c>
      <c r="C612" t="s">
        <v>4819</v>
      </c>
    </row>
    <row r="613" spans="1:3" x14ac:dyDescent="0.2">
      <c r="A613" t="s">
        <v>6250</v>
      </c>
      <c r="B613" t="s">
        <v>740</v>
      </c>
      <c r="C613" t="s">
        <v>228</v>
      </c>
    </row>
    <row r="614" spans="1:3" x14ac:dyDescent="0.2">
      <c r="A614" t="s">
        <v>9908</v>
      </c>
      <c r="B614" t="s">
        <v>2685</v>
      </c>
    </row>
    <row r="615" spans="1:3" x14ac:dyDescent="0.2">
      <c r="A615" t="s">
        <v>6282</v>
      </c>
      <c r="B615" t="s">
        <v>740</v>
      </c>
      <c r="C615" t="s">
        <v>4819</v>
      </c>
    </row>
    <row r="616" spans="1:3" x14ac:dyDescent="0.2">
      <c r="A616" t="s">
        <v>6283</v>
      </c>
      <c r="B616" t="s">
        <v>740</v>
      </c>
      <c r="C616" t="s">
        <v>4819</v>
      </c>
    </row>
    <row r="617" spans="1:3" x14ac:dyDescent="0.2">
      <c r="A617" t="s">
        <v>7845</v>
      </c>
      <c r="B617" t="s">
        <v>740</v>
      </c>
      <c r="C617" t="s">
        <v>228</v>
      </c>
    </row>
    <row r="618" spans="1:3" x14ac:dyDescent="0.2">
      <c r="A618" t="s">
        <v>9936</v>
      </c>
      <c r="B618" t="s">
        <v>740</v>
      </c>
      <c r="C618" t="s">
        <v>6243</v>
      </c>
    </row>
    <row r="619" spans="1:3" x14ac:dyDescent="0.2">
      <c r="A619" t="s">
        <v>10018</v>
      </c>
      <c r="B619" t="s">
        <v>740</v>
      </c>
      <c r="C619" t="s">
        <v>3440</v>
      </c>
    </row>
    <row r="620" spans="1:3" x14ac:dyDescent="0.2">
      <c r="A620" t="s">
        <v>6322</v>
      </c>
      <c r="B620" t="s">
        <v>740</v>
      </c>
      <c r="C620" t="s">
        <v>6243</v>
      </c>
    </row>
    <row r="621" spans="1:3" x14ac:dyDescent="0.2">
      <c r="A621" t="s">
        <v>6331</v>
      </c>
      <c r="B621" t="s">
        <v>740</v>
      </c>
      <c r="C621" t="s">
        <v>4817</v>
      </c>
    </row>
    <row r="622" spans="1:3" x14ac:dyDescent="0.2">
      <c r="A622" t="s">
        <v>6338</v>
      </c>
      <c r="B622" t="s">
        <v>740</v>
      </c>
      <c r="C622" t="s">
        <v>4817</v>
      </c>
    </row>
    <row r="623" spans="1:3" x14ac:dyDescent="0.2">
      <c r="A623" t="s">
        <v>10191</v>
      </c>
      <c r="B623" t="s">
        <v>740</v>
      </c>
      <c r="C623" t="s">
        <v>4817</v>
      </c>
    </row>
    <row r="624" spans="1:3" x14ac:dyDescent="0.2">
      <c r="A624" t="s">
        <v>10213</v>
      </c>
      <c r="B624" t="s">
        <v>2685</v>
      </c>
    </row>
    <row r="625" spans="1:3" x14ac:dyDescent="0.2">
      <c r="A625" t="s">
        <v>10218</v>
      </c>
      <c r="B625" t="s">
        <v>2685</v>
      </c>
    </row>
    <row r="626" spans="1:3" x14ac:dyDescent="0.2">
      <c r="A626" t="s">
        <v>7021</v>
      </c>
      <c r="B626" t="s">
        <v>2685</v>
      </c>
    </row>
    <row r="627" spans="1:3" x14ac:dyDescent="0.2">
      <c r="A627" t="s">
        <v>10396</v>
      </c>
      <c r="B627" t="s">
        <v>740</v>
      </c>
      <c r="C627" t="s">
        <v>5995</v>
      </c>
    </row>
    <row r="628" spans="1:3" x14ac:dyDescent="0.2">
      <c r="A628" t="s">
        <v>6359</v>
      </c>
      <c r="B628" t="s">
        <v>740</v>
      </c>
      <c r="C628" t="s">
        <v>3440</v>
      </c>
    </row>
    <row r="629" spans="1:3" x14ac:dyDescent="0.2">
      <c r="A629" t="s">
        <v>8498</v>
      </c>
      <c r="B629" t="s">
        <v>740</v>
      </c>
      <c r="C629" t="s">
        <v>3428</v>
      </c>
    </row>
    <row r="630" spans="1:3" x14ac:dyDescent="0.2">
      <c r="A630" t="s">
        <v>10475</v>
      </c>
      <c r="B630" t="s">
        <v>740</v>
      </c>
      <c r="C630" t="s">
        <v>6243</v>
      </c>
    </row>
    <row r="631" spans="1:3" x14ac:dyDescent="0.2">
      <c r="A631" t="s">
        <v>10498</v>
      </c>
      <c r="B631" t="s">
        <v>740</v>
      </c>
      <c r="C631" t="s">
        <v>5995</v>
      </c>
    </row>
    <row r="632" spans="1:3" x14ac:dyDescent="0.2">
      <c r="A632" t="s">
        <v>6369</v>
      </c>
      <c r="B632" t="s">
        <v>740</v>
      </c>
      <c r="C632" t="s">
        <v>4819</v>
      </c>
    </row>
    <row r="633" spans="1:3" x14ac:dyDescent="0.2">
      <c r="A633" t="s">
        <v>7000</v>
      </c>
      <c r="B633" t="s">
        <v>740</v>
      </c>
      <c r="C633" t="s">
        <v>228</v>
      </c>
    </row>
    <row r="634" spans="1:3" x14ac:dyDescent="0.2">
      <c r="A634" t="s">
        <v>7024</v>
      </c>
      <c r="B634" t="s">
        <v>2685</v>
      </c>
    </row>
    <row r="635" spans="1:3" x14ac:dyDescent="0.2">
      <c r="A635" t="s">
        <v>10524</v>
      </c>
      <c r="B635" t="s">
        <v>740</v>
      </c>
      <c r="C635" t="s">
        <v>4817</v>
      </c>
    </row>
    <row r="636" spans="1:3" x14ac:dyDescent="0.2">
      <c r="A636" t="s">
        <v>10550</v>
      </c>
      <c r="B636" t="s">
        <v>740</v>
      </c>
      <c r="C636" t="s">
        <v>4817</v>
      </c>
    </row>
    <row r="637" spans="1:3" x14ac:dyDescent="0.2">
      <c r="A637" t="s">
        <v>6354</v>
      </c>
      <c r="B637" t="s">
        <v>740</v>
      </c>
      <c r="C637" t="s">
        <v>4817</v>
      </c>
    </row>
    <row r="638" spans="1:3" x14ac:dyDescent="0.2">
      <c r="A638" t="s">
        <v>6355</v>
      </c>
      <c r="B638" t="s">
        <v>740</v>
      </c>
      <c r="C638" t="s">
        <v>4817</v>
      </c>
    </row>
    <row r="639" spans="1:3" x14ac:dyDescent="0.2">
      <c r="A639" t="s">
        <v>6377</v>
      </c>
      <c r="B639" t="s">
        <v>740</v>
      </c>
      <c r="C639" t="s">
        <v>4817</v>
      </c>
    </row>
    <row r="640" spans="1:3" x14ac:dyDescent="0.2">
      <c r="A640" t="s">
        <v>6371</v>
      </c>
      <c r="B640" t="s">
        <v>740</v>
      </c>
      <c r="C640" t="s">
        <v>4819</v>
      </c>
    </row>
    <row r="641" spans="1:3" x14ac:dyDescent="0.2">
      <c r="A641" t="s">
        <v>6367</v>
      </c>
      <c r="B641" t="s">
        <v>740</v>
      </c>
      <c r="C641" t="s">
        <v>6243</v>
      </c>
    </row>
    <row r="642" spans="1:3" x14ac:dyDescent="0.2">
      <c r="A642" t="s">
        <v>6374</v>
      </c>
      <c r="B642" t="s">
        <v>740</v>
      </c>
      <c r="C642" t="s">
        <v>4819</v>
      </c>
    </row>
    <row r="643" spans="1:3" x14ac:dyDescent="0.2">
      <c r="A643" t="s">
        <v>6364</v>
      </c>
      <c r="B643" t="s">
        <v>740</v>
      </c>
      <c r="C643" t="s">
        <v>4817</v>
      </c>
    </row>
    <row r="644" spans="1:3" x14ac:dyDescent="0.2">
      <c r="A644" t="s">
        <v>10607</v>
      </c>
      <c r="B644" t="s">
        <v>2685</v>
      </c>
    </row>
    <row r="645" spans="1:3" x14ac:dyDescent="0.2">
      <c r="A645" t="s">
        <v>10592</v>
      </c>
      <c r="B645" t="s">
        <v>740</v>
      </c>
      <c r="C645" t="s">
        <v>6379</v>
      </c>
    </row>
    <row r="646" spans="1:3" x14ac:dyDescent="0.2">
      <c r="A646" t="s">
        <v>6525</v>
      </c>
      <c r="B646" t="s">
        <v>740</v>
      </c>
      <c r="C646" t="s">
        <v>4817</v>
      </c>
    </row>
    <row r="647" spans="1:3" x14ac:dyDescent="0.2">
      <c r="A647" t="s">
        <v>10608</v>
      </c>
      <c r="B647" t="s">
        <v>740</v>
      </c>
      <c r="C647" t="s">
        <v>4817</v>
      </c>
    </row>
    <row r="648" spans="1:3" x14ac:dyDescent="0.2">
      <c r="A648" t="s">
        <v>6756</v>
      </c>
      <c r="B648" t="s">
        <v>3443</v>
      </c>
    </row>
    <row r="649" spans="1:3" x14ac:dyDescent="0.2">
      <c r="A649" t="s">
        <v>6716</v>
      </c>
      <c r="B649" t="s">
        <v>740</v>
      </c>
      <c r="C649" t="s">
        <v>4817</v>
      </c>
    </row>
    <row r="650" spans="1:3" x14ac:dyDescent="0.2">
      <c r="A650" t="s">
        <v>6670</v>
      </c>
      <c r="B650" t="s">
        <v>740</v>
      </c>
      <c r="C650" t="s">
        <v>6243</v>
      </c>
    </row>
    <row r="651" spans="1:3" x14ac:dyDescent="0.2">
      <c r="A651" t="s">
        <v>10597</v>
      </c>
      <c r="B651" t="s">
        <v>2685</v>
      </c>
    </row>
    <row r="652" spans="1:3" x14ac:dyDescent="0.2">
      <c r="A652" t="s">
        <v>6779</v>
      </c>
      <c r="B652" t="s">
        <v>740</v>
      </c>
      <c r="C652" t="s">
        <v>4817</v>
      </c>
    </row>
    <row r="653" spans="1:3" x14ac:dyDescent="0.2">
      <c r="A653" t="s">
        <v>6804</v>
      </c>
      <c r="B653" t="s">
        <v>740</v>
      </c>
      <c r="C653" t="s">
        <v>5995</v>
      </c>
    </row>
    <row r="654" spans="1:3" x14ac:dyDescent="0.2">
      <c r="A654" t="s">
        <v>6826</v>
      </c>
      <c r="B654" t="s">
        <v>2685</v>
      </c>
    </row>
    <row r="655" spans="1:3" x14ac:dyDescent="0.2">
      <c r="A655" t="s">
        <v>6869</v>
      </c>
      <c r="B655" t="s">
        <v>2685</v>
      </c>
    </row>
    <row r="656" spans="1:3" x14ac:dyDescent="0.2">
      <c r="A656" t="s">
        <v>6882</v>
      </c>
      <c r="B656" t="s">
        <v>740</v>
      </c>
      <c r="C656" t="s">
        <v>4817</v>
      </c>
    </row>
    <row r="657" spans="1:3" x14ac:dyDescent="0.2">
      <c r="A657" t="s">
        <v>7057</v>
      </c>
      <c r="B657" t="s">
        <v>740</v>
      </c>
      <c r="C657" t="s">
        <v>5995</v>
      </c>
    </row>
    <row r="658" spans="1:3" x14ac:dyDescent="0.2">
      <c r="A658" t="s">
        <v>7106</v>
      </c>
      <c r="B658" t="s">
        <v>2685</v>
      </c>
    </row>
    <row r="659" spans="1:3" x14ac:dyDescent="0.2">
      <c r="A659" t="s">
        <v>7140</v>
      </c>
      <c r="B659" t="s">
        <v>2685</v>
      </c>
    </row>
    <row r="660" spans="1:3" x14ac:dyDescent="0.2">
      <c r="A660" t="s">
        <v>7148</v>
      </c>
      <c r="B660" t="s">
        <v>740</v>
      </c>
      <c r="C660" t="s">
        <v>4819</v>
      </c>
    </row>
    <row r="661" spans="1:3" x14ac:dyDescent="0.2">
      <c r="A661" t="s">
        <v>7149</v>
      </c>
      <c r="B661" t="s">
        <v>740</v>
      </c>
      <c r="C661" t="s">
        <v>4817</v>
      </c>
    </row>
    <row r="662" spans="1:3" x14ac:dyDescent="0.2">
      <c r="A662" t="s">
        <v>7152</v>
      </c>
      <c r="B662" t="s">
        <v>740</v>
      </c>
      <c r="C662" t="s">
        <v>228</v>
      </c>
    </row>
    <row r="663" spans="1:3" x14ac:dyDescent="0.2">
      <c r="A663" t="s">
        <v>10600</v>
      </c>
      <c r="B663" t="s">
        <v>740</v>
      </c>
      <c r="C663" t="s">
        <v>6243</v>
      </c>
    </row>
    <row r="664" spans="1:3" x14ac:dyDescent="0.2">
      <c r="A664" t="s">
        <v>7307</v>
      </c>
      <c r="B664" t="s">
        <v>740</v>
      </c>
      <c r="C664" t="s">
        <v>4817</v>
      </c>
    </row>
    <row r="665" spans="1:3" x14ac:dyDescent="0.2">
      <c r="A665" t="s">
        <v>7334</v>
      </c>
      <c r="B665" t="s">
        <v>2685</v>
      </c>
    </row>
    <row r="666" spans="1:3" x14ac:dyDescent="0.2">
      <c r="A666" t="s">
        <v>7363</v>
      </c>
      <c r="B666" t="s">
        <v>2789</v>
      </c>
    </row>
    <row r="667" spans="1:3" x14ac:dyDescent="0.2">
      <c r="A667" t="s">
        <v>7361</v>
      </c>
      <c r="B667" t="s">
        <v>2685</v>
      </c>
    </row>
    <row r="668" spans="1:3" x14ac:dyDescent="0.2">
      <c r="A668" t="s">
        <v>10601</v>
      </c>
      <c r="B668" t="s">
        <v>740</v>
      </c>
      <c r="C668" t="s">
        <v>6243</v>
      </c>
    </row>
    <row r="669" spans="1:3" x14ac:dyDescent="0.2">
      <c r="A669" t="s">
        <v>10609</v>
      </c>
      <c r="B669" t="s">
        <v>2685</v>
      </c>
    </row>
    <row r="670" spans="1:3" x14ac:dyDescent="0.2">
      <c r="A670" t="s">
        <v>7401</v>
      </c>
      <c r="B670" t="s">
        <v>3436</v>
      </c>
    </row>
    <row r="671" spans="1:3" x14ac:dyDescent="0.2">
      <c r="A671" t="s">
        <v>7526</v>
      </c>
      <c r="B671" t="s">
        <v>740</v>
      </c>
      <c r="C671" t="s">
        <v>4817</v>
      </c>
    </row>
    <row r="672" spans="1:3" x14ac:dyDescent="0.2">
      <c r="A672" t="s">
        <v>7617</v>
      </c>
      <c r="B672" t="s">
        <v>3436</v>
      </c>
    </row>
    <row r="673" spans="1:3" x14ac:dyDescent="0.2">
      <c r="A673" t="s">
        <v>7692</v>
      </c>
      <c r="B673" t="s">
        <v>2685</v>
      </c>
    </row>
    <row r="674" spans="1:3" x14ac:dyDescent="0.2">
      <c r="A674" t="s">
        <v>7693</v>
      </c>
      <c r="B674" t="s">
        <v>3443</v>
      </c>
    </row>
    <row r="675" spans="1:3" x14ac:dyDescent="0.2">
      <c r="A675" t="s">
        <v>7627</v>
      </c>
      <c r="B675" t="s">
        <v>3443</v>
      </c>
    </row>
    <row r="676" spans="1:3" x14ac:dyDescent="0.2">
      <c r="A676" t="s">
        <v>10602</v>
      </c>
      <c r="B676" t="s">
        <v>740</v>
      </c>
      <c r="C676" t="s">
        <v>4819</v>
      </c>
    </row>
    <row r="677" spans="1:3" x14ac:dyDescent="0.2">
      <c r="A677" t="s">
        <v>7941</v>
      </c>
      <c r="B677" t="s">
        <v>2685</v>
      </c>
    </row>
    <row r="678" spans="1:3" x14ac:dyDescent="0.2">
      <c r="A678" t="s">
        <v>7966</v>
      </c>
      <c r="B678" t="s">
        <v>2685</v>
      </c>
    </row>
    <row r="679" spans="1:3" x14ac:dyDescent="0.2">
      <c r="A679" t="s">
        <v>7968</v>
      </c>
      <c r="B679" t="s">
        <v>2685</v>
      </c>
    </row>
    <row r="680" spans="1:3" x14ac:dyDescent="0.2">
      <c r="A680" t="s">
        <v>10603</v>
      </c>
      <c r="B680" t="s">
        <v>740</v>
      </c>
      <c r="C680" t="s">
        <v>228</v>
      </c>
    </row>
    <row r="681" spans="1:3" x14ac:dyDescent="0.2">
      <c r="A681" t="s">
        <v>8103</v>
      </c>
      <c r="B681" t="s">
        <v>2685</v>
      </c>
    </row>
    <row r="682" spans="1:3" x14ac:dyDescent="0.2">
      <c r="A682" t="s">
        <v>8164</v>
      </c>
      <c r="B682" t="s">
        <v>2685</v>
      </c>
    </row>
    <row r="683" spans="1:3" x14ac:dyDescent="0.2">
      <c r="A683" t="s">
        <v>8278</v>
      </c>
      <c r="B683" t="s">
        <v>740</v>
      </c>
      <c r="C683" t="s">
        <v>4817</v>
      </c>
    </row>
    <row r="684" spans="1:3" x14ac:dyDescent="0.2">
      <c r="A684" t="s">
        <v>8211</v>
      </c>
      <c r="B684" t="s">
        <v>2685</v>
      </c>
    </row>
    <row r="685" spans="1:3" x14ac:dyDescent="0.2">
      <c r="A685" t="s">
        <v>8181</v>
      </c>
      <c r="B685" t="s">
        <v>740</v>
      </c>
      <c r="C685" t="s">
        <v>4817</v>
      </c>
    </row>
    <row r="686" spans="1:3" x14ac:dyDescent="0.2">
      <c r="A686" t="s">
        <v>8358</v>
      </c>
      <c r="B686" t="s">
        <v>740</v>
      </c>
      <c r="C686" t="s">
        <v>4817</v>
      </c>
    </row>
    <row r="687" spans="1:3" x14ac:dyDescent="0.2">
      <c r="A687" t="s">
        <v>8452</v>
      </c>
      <c r="B687" t="s">
        <v>2685</v>
      </c>
    </row>
    <row r="688" spans="1:3" x14ac:dyDescent="0.2">
      <c r="A688" t="s">
        <v>8475</v>
      </c>
      <c r="B688" t="s">
        <v>740</v>
      </c>
      <c r="C688" t="s">
        <v>5995</v>
      </c>
    </row>
    <row r="689" spans="1:3" x14ac:dyDescent="0.2">
      <c r="A689" t="s">
        <v>8525</v>
      </c>
      <c r="B689" t="s">
        <v>42</v>
      </c>
      <c r="C689" t="s">
        <v>42</v>
      </c>
    </row>
    <row r="690" spans="1:3" x14ac:dyDescent="0.2">
      <c r="A690" t="s">
        <v>8530</v>
      </c>
      <c r="B690" t="s">
        <v>2685</v>
      </c>
    </row>
    <row r="691" spans="1:3" x14ac:dyDescent="0.2">
      <c r="A691" t="s">
        <v>8549</v>
      </c>
      <c r="B691" t="s">
        <v>740</v>
      </c>
      <c r="C691" t="s">
        <v>4817</v>
      </c>
    </row>
    <row r="692" spans="1:3" x14ac:dyDescent="0.2">
      <c r="A692" t="s">
        <v>10605</v>
      </c>
      <c r="B692" t="s">
        <v>740</v>
      </c>
      <c r="C692" t="s">
        <v>4817</v>
      </c>
    </row>
  </sheetData>
  <autoFilter ref="A1:D692" xr:uid="{00000000-0009-0000-0000-0000040000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54"/>
  <sheetViews>
    <sheetView topLeftCell="A31" workbookViewId="0">
      <selection activeCell="A54" sqref="A54"/>
    </sheetView>
  </sheetViews>
  <sheetFormatPr baseColWidth="10" defaultColWidth="11" defaultRowHeight="16" x14ac:dyDescent="0.2"/>
  <sheetData>
    <row r="1" spans="1:1" ht="18" x14ac:dyDescent="0.2">
      <c r="A1" s="14" t="s">
        <v>3137</v>
      </c>
    </row>
    <row r="2" spans="1:1" ht="18" x14ac:dyDescent="0.2">
      <c r="A2" s="14" t="s">
        <v>3138</v>
      </c>
    </row>
    <row r="3" spans="1:1" ht="18" x14ac:dyDescent="0.2">
      <c r="A3" s="14" t="s">
        <v>3139</v>
      </c>
    </row>
    <row r="4" spans="1:1" ht="18" x14ac:dyDescent="0.2">
      <c r="A4" s="14" t="s">
        <v>3140</v>
      </c>
    </row>
    <row r="5" spans="1:1" ht="18" x14ac:dyDescent="0.2">
      <c r="A5" s="14" t="s">
        <v>3141</v>
      </c>
    </row>
    <row r="6" spans="1:1" ht="18" x14ac:dyDescent="0.2">
      <c r="A6" s="14" t="s">
        <v>3142</v>
      </c>
    </row>
    <row r="7" spans="1:1" ht="18" x14ac:dyDescent="0.2">
      <c r="A7" s="14" t="s">
        <v>3143</v>
      </c>
    </row>
    <row r="8" spans="1:1" ht="18" x14ac:dyDescent="0.2">
      <c r="A8" s="14" t="s">
        <v>3144</v>
      </c>
    </row>
    <row r="9" spans="1:1" ht="18" x14ac:dyDescent="0.2">
      <c r="A9" s="14" t="s">
        <v>3145</v>
      </c>
    </row>
    <row r="10" spans="1:1" ht="18" x14ac:dyDescent="0.2">
      <c r="A10" s="14" t="s">
        <v>3146</v>
      </c>
    </row>
    <row r="11" spans="1:1" ht="18" x14ac:dyDescent="0.2">
      <c r="A11" s="14" t="s">
        <v>3147</v>
      </c>
    </row>
    <row r="12" spans="1:1" ht="18" x14ac:dyDescent="0.2">
      <c r="A12" s="14" t="s">
        <v>3148</v>
      </c>
    </row>
    <row r="13" spans="1:1" ht="18" x14ac:dyDescent="0.2">
      <c r="A13" s="14" t="s">
        <v>3149</v>
      </c>
    </row>
    <row r="14" spans="1:1" ht="18" x14ac:dyDescent="0.2">
      <c r="A14" s="14" t="s">
        <v>2630</v>
      </c>
    </row>
    <row r="15" spans="1:1" x14ac:dyDescent="0.2">
      <c r="A15" s="8" t="s">
        <v>2752</v>
      </c>
    </row>
    <row r="16" spans="1:1" x14ac:dyDescent="0.2">
      <c r="A16" t="s">
        <v>2764</v>
      </c>
    </row>
    <row r="17" spans="1:16384" x14ac:dyDescent="0.2">
      <c r="A17" t="s">
        <v>2845</v>
      </c>
      <c r="B17" s="8"/>
      <c r="C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c r="XEI17" s="8"/>
      <c r="XEJ17" s="8"/>
      <c r="XEK17" s="8"/>
      <c r="XEL17" s="8"/>
      <c r="XEM17" s="8"/>
      <c r="XEN17" s="8"/>
      <c r="XEO17" s="8"/>
      <c r="XEP17" s="8"/>
      <c r="XEQ17" s="8"/>
      <c r="XER17" s="8"/>
      <c r="XES17" s="8"/>
      <c r="XET17" s="8"/>
      <c r="XEU17" s="8"/>
      <c r="XEV17" s="8"/>
      <c r="XEW17" s="8"/>
      <c r="XEX17" s="8"/>
      <c r="XEY17" s="8"/>
      <c r="XEZ17" s="8"/>
      <c r="XFA17" s="8"/>
      <c r="XFB17" s="8"/>
      <c r="XFC17" s="8"/>
      <c r="XFD17" s="8"/>
    </row>
    <row r="18" spans="1:16384" x14ac:dyDescent="0.2">
      <c r="A18" t="s">
        <v>2848</v>
      </c>
    </row>
    <row r="19" spans="1:16384" x14ac:dyDescent="0.2">
      <c r="A19" t="s">
        <v>2900</v>
      </c>
    </row>
    <row r="20" spans="1:16384" x14ac:dyDescent="0.2">
      <c r="A20" t="s">
        <v>2899</v>
      </c>
    </row>
    <row r="21" spans="1:16384" ht="18" x14ac:dyDescent="0.2">
      <c r="A21" s="14" t="s">
        <v>3249</v>
      </c>
    </row>
    <row r="22" spans="1:16384" x14ac:dyDescent="0.2">
      <c r="A22" t="s">
        <v>3949</v>
      </c>
    </row>
    <row r="23" spans="1:16384" x14ac:dyDescent="0.2">
      <c r="A23" t="s">
        <v>3965</v>
      </c>
    </row>
    <row r="24" spans="1:16384" x14ac:dyDescent="0.2">
      <c r="A24" t="s">
        <v>4790</v>
      </c>
    </row>
    <row r="25" spans="1:16384" x14ac:dyDescent="0.2">
      <c r="A25" t="s">
        <v>4791</v>
      </c>
    </row>
    <row r="26" spans="1:16384" x14ac:dyDescent="0.2">
      <c r="A26" t="s">
        <v>4792</v>
      </c>
    </row>
    <row r="27" spans="1:16384" x14ac:dyDescent="0.2">
      <c r="A27" t="s">
        <v>4793</v>
      </c>
    </row>
    <row r="28" spans="1:16384" x14ac:dyDescent="0.2">
      <c r="A28" t="s">
        <v>4794</v>
      </c>
    </row>
    <row r="29" spans="1:16384" x14ac:dyDescent="0.2">
      <c r="A29" t="s">
        <v>4795</v>
      </c>
    </row>
    <row r="30" spans="1:16384" x14ac:dyDescent="0.2">
      <c r="A30" t="s">
        <v>4796</v>
      </c>
    </row>
    <row r="31" spans="1:16384" x14ac:dyDescent="0.2">
      <c r="A31" t="s">
        <v>4797</v>
      </c>
    </row>
    <row r="32" spans="1:16384" x14ac:dyDescent="0.2">
      <c r="A32" t="s">
        <v>4798</v>
      </c>
    </row>
    <row r="33" spans="1:1" x14ac:dyDescent="0.2">
      <c r="A33" t="s">
        <v>4799</v>
      </c>
    </row>
    <row r="34" spans="1:1" x14ac:dyDescent="0.2">
      <c r="A34" t="s">
        <v>4800</v>
      </c>
    </row>
    <row r="35" spans="1:1" x14ac:dyDescent="0.2">
      <c r="A35" t="s">
        <v>4801</v>
      </c>
    </row>
    <row r="36" spans="1:1" x14ac:dyDescent="0.2">
      <c r="A36" t="s">
        <v>4802</v>
      </c>
    </row>
    <row r="37" spans="1:1" x14ac:dyDescent="0.2">
      <c r="A37" t="s">
        <v>4803</v>
      </c>
    </row>
    <row r="38" spans="1:1" x14ac:dyDescent="0.2">
      <c r="A38" t="s">
        <v>4804</v>
      </c>
    </row>
    <row r="39" spans="1:1" x14ac:dyDescent="0.2">
      <c r="A39" t="s">
        <v>4805</v>
      </c>
    </row>
    <row r="40" spans="1:1" x14ac:dyDescent="0.2">
      <c r="A40" t="s">
        <v>4806</v>
      </c>
    </row>
    <row r="41" spans="1:1" x14ac:dyDescent="0.2">
      <c r="A41" t="s">
        <v>4807</v>
      </c>
    </row>
    <row r="42" spans="1:1" x14ac:dyDescent="0.2">
      <c r="A42" t="s">
        <v>4808</v>
      </c>
    </row>
    <row r="43" spans="1:1" x14ac:dyDescent="0.2">
      <c r="A43" t="s">
        <v>4809</v>
      </c>
    </row>
    <row r="44" spans="1:1" x14ac:dyDescent="0.2">
      <c r="A44" t="s">
        <v>4810</v>
      </c>
    </row>
    <row r="45" spans="1:1" x14ac:dyDescent="0.2">
      <c r="A45" t="s">
        <v>4811</v>
      </c>
    </row>
    <row r="46" spans="1:1" x14ac:dyDescent="0.2">
      <c r="A46" t="s">
        <v>4812</v>
      </c>
    </row>
    <row r="47" spans="1:1" x14ac:dyDescent="0.2">
      <c r="A47" t="s">
        <v>4813</v>
      </c>
    </row>
    <row r="48" spans="1:1" x14ac:dyDescent="0.2">
      <c r="A48" t="s">
        <v>4814</v>
      </c>
    </row>
    <row r="49" spans="1:1" x14ac:dyDescent="0.2">
      <c r="A49" t="s">
        <v>4815</v>
      </c>
    </row>
    <row r="50" spans="1:1" x14ac:dyDescent="0.2">
      <c r="A50" t="s">
        <v>4816</v>
      </c>
    </row>
    <row r="51" spans="1:1" x14ac:dyDescent="0.2">
      <c r="A51" t="s">
        <v>5192</v>
      </c>
    </row>
    <row r="52" spans="1:1" x14ac:dyDescent="0.2">
      <c r="A52" t="s">
        <v>5210</v>
      </c>
    </row>
    <row r="53" spans="1:1" x14ac:dyDescent="0.2">
      <c r="A53" t="s">
        <v>5758</v>
      </c>
    </row>
    <row r="54" spans="1:1" x14ac:dyDescent="0.2">
      <c r="A54" t="s">
        <v>6153</v>
      </c>
    </row>
  </sheetData>
  <pageMargins left="0.75" right="0.75" top="1" bottom="1" header="0.5" footer="0.5"/>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5"/>
  <sheetViews>
    <sheetView topLeftCell="A37" workbookViewId="0">
      <selection activeCell="E12" sqref="E12"/>
    </sheetView>
  </sheetViews>
  <sheetFormatPr baseColWidth="10" defaultColWidth="11" defaultRowHeight="16" x14ac:dyDescent="0.2"/>
  <cols>
    <col min="1" max="1" width="13.5" bestFit="1" customWidth="1"/>
    <col min="2" max="2" width="15.83203125" bestFit="1" customWidth="1"/>
    <col min="3" max="3" width="25.1640625" bestFit="1" customWidth="1"/>
  </cols>
  <sheetData>
    <row r="1" spans="1:4" x14ac:dyDescent="0.2">
      <c r="A1" t="s">
        <v>27</v>
      </c>
      <c r="B1" t="s">
        <v>28</v>
      </c>
      <c r="C1" t="s">
        <v>43</v>
      </c>
      <c r="D1" t="s">
        <v>29</v>
      </c>
    </row>
    <row r="2" spans="1:4" x14ac:dyDescent="0.2">
      <c r="A2" t="s">
        <v>39</v>
      </c>
      <c r="B2" s="1" t="s">
        <v>3</v>
      </c>
      <c r="C2" t="s">
        <v>42</v>
      </c>
      <c r="D2" t="s">
        <v>70</v>
      </c>
    </row>
    <row r="3" spans="1:4" x14ac:dyDescent="0.2">
      <c r="A3" t="s">
        <v>39</v>
      </c>
      <c r="B3" s="1" t="s">
        <v>0</v>
      </c>
      <c r="C3" t="s">
        <v>83</v>
      </c>
    </row>
    <row r="4" spans="1:4" x14ac:dyDescent="0.2">
      <c r="A4" t="s">
        <v>39</v>
      </c>
      <c r="B4" s="1" t="s">
        <v>13</v>
      </c>
      <c r="C4" t="s">
        <v>44</v>
      </c>
      <c r="D4" t="s">
        <v>48</v>
      </c>
    </row>
    <row r="5" spans="1:4" x14ac:dyDescent="0.2">
      <c r="A5" t="s">
        <v>39</v>
      </c>
      <c r="B5" s="1" t="s">
        <v>12</v>
      </c>
      <c r="C5" t="s">
        <v>44</v>
      </c>
      <c r="D5" t="s">
        <v>49</v>
      </c>
    </row>
    <row r="6" spans="1:4" x14ac:dyDescent="0.2">
      <c r="A6" t="s">
        <v>39</v>
      </c>
      <c r="B6" s="1" t="s">
        <v>14</v>
      </c>
      <c r="C6" t="s">
        <v>44</v>
      </c>
      <c r="D6" t="s">
        <v>46</v>
      </c>
    </row>
    <row r="7" spans="1:4" x14ac:dyDescent="0.2">
      <c r="A7" t="s">
        <v>39</v>
      </c>
      <c r="B7" s="1" t="s">
        <v>15</v>
      </c>
      <c r="C7" t="s">
        <v>44</v>
      </c>
      <c r="D7" t="s">
        <v>47</v>
      </c>
    </row>
    <row r="8" spans="1:4" x14ac:dyDescent="0.2">
      <c r="A8" t="s">
        <v>39</v>
      </c>
      <c r="B8" s="1" t="s">
        <v>4</v>
      </c>
      <c r="C8" t="s">
        <v>42</v>
      </c>
      <c r="D8" t="s">
        <v>45</v>
      </c>
    </row>
    <row r="9" spans="1:4" x14ac:dyDescent="0.2">
      <c r="A9" t="s">
        <v>39</v>
      </c>
      <c r="B9" s="1" t="s">
        <v>2</v>
      </c>
      <c r="C9" t="s">
        <v>97</v>
      </c>
      <c r="D9" t="s">
        <v>50</v>
      </c>
    </row>
    <row r="10" spans="1:4" x14ac:dyDescent="0.2">
      <c r="A10" t="s">
        <v>39</v>
      </c>
      <c r="B10" s="1" t="s">
        <v>1</v>
      </c>
      <c r="C10" t="s">
        <v>97</v>
      </c>
      <c r="D10" t="s">
        <v>51</v>
      </c>
    </row>
    <row r="11" spans="1:4" x14ac:dyDescent="0.2">
      <c r="A11" t="s">
        <v>39</v>
      </c>
      <c r="B11" s="1" t="s">
        <v>7</v>
      </c>
      <c r="C11" t="s">
        <v>97</v>
      </c>
      <c r="D11" t="s">
        <v>52</v>
      </c>
    </row>
    <row r="12" spans="1:4" x14ac:dyDescent="0.2">
      <c r="A12" t="s">
        <v>39</v>
      </c>
      <c r="B12" s="1" t="s">
        <v>5</v>
      </c>
      <c r="C12" t="s">
        <v>97</v>
      </c>
      <c r="D12" t="s">
        <v>53</v>
      </c>
    </row>
    <row r="13" spans="1:4" x14ac:dyDescent="0.2">
      <c r="A13" t="s">
        <v>39</v>
      </c>
      <c r="B13" s="1" t="s">
        <v>6</v>
      </c>
      <c r="C13" t="s">
        <v>97</v>
      </c>
      <c r="D13" t="s">
        <v>54</v>
      </c>
    </row>
    <row r="14" spans="1:4" x14ac:dyDescent="0.2">
      <c r="A14" t="s">
        <v>39</v>
      </c>
      <c r="B14" s="1" t="s">
        <v>56</v>
      </c>
      <c r="C14" t="s">
        <v>59</v>
      </c>
      <c r="D14" t="s">
        <v>55</v>
      </c>
    </row>
    <row r="15" spans="1:4" x14ac:dyDescent="0.2">
      <c r="A15" t="s">
        <v>39</v>
      </c>
      <c r="B15" s="1" t="s">
        <v>57</v>
      </c>
      <c r="C15" t="s">
        <v>59</v>
      </c>
      <c r="D15" t="s">
        <v>58</v>
      </c>
    </row>
    <row r="16" spans="1:4" x14ac:dyDescent="0.2">
      <c r="A16" t="s">
        <v>39</v>
      </c>
      <c r="B16" s="1" t="s">
        <v>8</v>
      </c>
      <c r="C16" t="s">
        <v>60</v>
      </c>
      <c r="D16" t="s">
        <v>61</v>
      </c>
    </row>
    <row r="17" spans="1:4" x14ac:dyDescent="0.2">
      <c r="A17" t="s">
        <v>39</v>
      </c>
      <c r="B17" s="1" t="s">
        <v>16</v>
      </c>
      <c r="C17" t="s">
        <v>42</v>
      </c>
      <c r="D17" t="s">
        <v>62</v>
      </c>
    </row>
    <row r="18" spans="1:4" x14ac:dyDescent="0.2">
      <c r="A18" t="s">
        <v>39</v>
      </c>
      <c r="B18" s="1" t="s">
        <v>17</v>
      </c>
      <c r="C18" t="s">
        <v>42</v>
      </c>
      <c r="D18" t="s">
        <v>63</v>
      </c>
    </row>
    <row r="19" spans="1:4" x14ac:dyDescent="0.2">
      <c r="A19" t="s">
        <v>39</v>
      </c>
      <c r="B19" s="1" t="s">
        <v>18</v>
      </c>
      <c r="C19" t="s">
        <v>64</v>
      </c>
      <c r="D19" t="s">
        <v>65</v>
      </c>
    </row>
    <row r="20" spans="1:4" x14ac:dyDescent="0.2">
      <c r="A20" t="s">
        <v>39</v>
      </c>
      <c r="B20" s="1" t="s">
        <v>19</v>
      </c>
      <c r="C20" t="s">
        <v>64</v>
      </c>
      <c r="D20" t="s">
        <v>66</v>
      </c>
    </row>
    <row r="21" spans="1:4" x14ac:dyDescent="0.2">
      <c r="A21" t="s">
        <v>39</v>
      </c>
      <c r="B21" s="1" t="s">
        <v>20</v>
      </c>
      <c r="C21" t="s">
        <v>42</v>
      </c>
      <c r="D21" t="s">
        <v>67</v>
      </c>
    </row>
    <row r="22" spans="1:4" x14ac:dyDescent="0.2">
      <c r="A22" t="s">
        <v>39</v>
      </c>
      <c r="B22" s="1" t="s">
        <v>21</v>
      </c>
      <c r="C22" t="s">
        <v>42</v>
      </c>
      <c r="D22" t="s">
        <v>68</v>
      </c>
    </row>
    <row r="23" spans="1:4" x14ac:dyDescent="0.2">
      <c r="A23" t="s">
        <v>39</v>
      </c>
      <c r="B23" s="1" t="s">
        <v>22</v>
      </c>
      <c r="C23" t="s">
        <v>42</v>
      </c>
      <c r="D23" t="s">
        <v>69</v>
      </c>
    </row>
    <row r="24" spans="1:4" x14ac:dyDescent="0.2">
      <c r="A24" t="s">
        <v>40</v>
      </c>
      <c r="B24" t="s">
        <v>3</v>
      </c>
      <c r="C24" t="s">
        <v>42</v>
      </c>
      <c r="D24" t="s">
        <v>70</v>
      </c>
    </row>
    <row r="25" spans="1:4" x14ac:dyDescent="0.2">
      <c r="A25" t="s">
        <v>40</v>
      </c>
      <c r="B25" t="s">
        <v>0</v>
      </c>
      <c r="C25" t="s">
        <v>83</v>
      </c>
    </row>
    <row r="26" spans="1:4" x14ac:dyDescent="0.2">
      <c r="A26" t="s">
        <v>40</v>
      </c>
      <c r="B26" t="s">
        <v>9</v>
      </c>
      <c r="C26" s="3" t="s">
        <v>71</v>
      </c>
      <c r="D26" t="s">
        <v>72</v>
      </c>
    </row>
    <row r="27" spans="1:4" x14ac:dyDescent="0.2">
      <c r="A27" t="s">
        <v>40</v>
      </c>
      <c r="B27" t="s">
        <v>10</v>
      </c>
      <c r="C27" t="s">
        <v>73</v>
      </c>
      <c r="D27" t="s">
        <v>74</v>
      </c>
    </row>
    <row r="28" spans="1:4" x14ac:dyDescent="0.2">
      <c r="A28" t="s">
        <v>40</v>
      </c>
      <c r="B28" t="s">
        <v>11</v>
      </c>
      <c r="C28" t="s">
        <v>73</v>
      </c>
      <c r="D28" t="s">
        <v>75</v>
      </c>
    </row>
    <row r="29" spans="1:4" x14ac:dyDescent="0.2">
      <c r="A29" t="s">
        <v>40</v>
      </c>
      <c r="B29" t="s">
        <v>23</v>
      </c>
      <c r="C29" t="s">
        <v>76</v>
      </c>
      <c r="D29" t="s">
        <v>77</v>
      </c>
    </row>
    <row r="30" spans="1:4" x14ac:dyDescent="0.2">
      <c r="A30" t="s">
        <v>40</v>
      </c>
      <c r="B30" t="s">
        <v>24</v>
      </c>
      <c r="C30" t="s">
        <v>78</v>
      </c>
      <c r="D30" t="s">
        <v>81</v>
      </c>
    </row>
    <row r="31" spans="1:4" x14ac:dyDescent="0.2">
      <c r="A31" t="s">
        <v>40</v>
      </c>
      <c r="B31" t="s">
        <v>25</v>
      </c>
      <c r="C31" t="s">
        <v>79</v>
      </c>
      <c r="D31" t="s">
        <v>80</v>
      </c>
    </row>
    <row r="32" spans="1:4" x14ac:dyDescent="0.2">
      <c r="A32" t="s">
        <v>40</v>
      </c>
      <c r="B32" t="s">
        <v>26</v>
      </c>
      <c r="C32" t="s">
        <v>59</v>
      </c>
      <c r="D32" t="s">
        <v>82</v>
      </c>
    </row>
    <row r="33" spans="1:4" x14ac:dyDescent="0.2">
      <c r="A33" t="s">
        <v>41</v>
      </c>
      <c r="B33" s="1" t="s">
        <v>3</v>
      </c>
      <c r="C33" t="s">
        <v>42</v>
      </c>
      <c r="D33" t="s">
        <v>70</v>
      </c>
    </row>
    <row r="34" spans="1:4" x14ac:dyDescent="0.2">
      <c r="A34" t="s">
        <v>41</v>
      </c>
      <c r="B34" t="s">
        <v>9</v>
      </c>
      <c r="C34" s="3" t="s">
        <v>71</v>
      </c>
      <c r="D34" t="s">
        <v>72</v>
      </c>
    </row>
    <row r="35" spans="1:4" x14ac:dyDescent="0.2">
      <c r="A35" t="s">
        <v>41</v>
      </c>
      <c r="B35" t="s">
        <v>0</v>
      </c>
      <c r="C35" t="s">
        <v>83</v>
      </c>
    </row>
    <row r="36" spans="1:4" x14ac:dyDescent="0.2">
      <c r="A36" t="s">
        <v>41</v>
      </c>
      <c r="B36" t="s">
        <v>30</v>
      </c>
      <c r="C36" t="s">
        <v>42</v>
      </c>
      <c r="D36" t="s">
        <v>84</v>
      </c>
    </row>
    <row r="37" spans="1:4" x14ac:dyDescent="0.2">
      <c r="A37" t="s">
        <v>41</v>
      </c>
      <c r="B37" t="s">
        <v>31</v>
      </c>
      <c r="C37" t="s">
        <v>42</v>
      </c>
      <c r="D37" t="s">
        <v>85</v>
      </c>
    </row>
    <row r="38" spans="1:4" x14ac:dyDescent="0.2">
      <c r="A38" t="s">
        <v>41</v>
      </c>
      <c r="B38" t="s">
        <v>32</v>
      </c>
      <c r="C38" t="s">
        <v>59</v>
      </c>
      <c r="D38" t="s">
        <v>86</v>
      </c>
    </row>
    <row r="39" spans="1:4" x14ac:dyDescent="0.2">
      <c r="A39" t="s">
        <v>41</v>
      </c>
      <c r="B39" t="s">
        <v>37</v>
      </c>
      <c r="C39" t="s">
        <v>76</v>
      </c>
      <c r="D39" t="s">
        <v>87</v>
      </c>
    </row>
    <row r="40" spans="1:4" x14ac:dyDescent="0.2">
      <c r="A40" t="s">
        <v>41</v>
      </c>
      <c r="B40" t="s">
        <v>36</v>
      </c>
      <c r="C40" t="s">
        <v>76</v>
      </c>
      <c r="D40" t="s">
        <v>88</v>
      </c>
    </row>
    <row r="41" spans="1:4" x14ac:dyDescent="0.2">
      <c r="A41" t="s">
        <v>41</v>
      </c>
      <c r="B41" t="s">
        <v>35</v>
      </c>
      <c r="C41" t="s">
        <v>76</v>
      </c>
      <c r="D41" t="s">
        <v>94</v>
      </c>
    </row>
    <row r="42" spans="1:4" x14ac:dyDescent="0.2">
      <c r="A42" t="s">
        <v>41</v>
      </c>
      <c r="B42" t="s">
        <v>34</v>
      </c>
      <c r="C42" t="s">
        <v>76</v>
      </c>
      <c r="D42" t="s">
        <v>93</v>
      </c>
    </row>
    <row r="43" spans="1:4" x14ac:dyDescent="0.2">
      <c r="A43" t="s">
        <v>41</v>
      </c>
      <c r="B43" t="s">
        <v>33</v>
      </c>
      <c r="C43" t="s">
        <v>76</v>
      </c>
      <c r="D43" t="s">
        <v>92</v>
      </c>
    </row>
    <row r="44" spans="1:4" x14ac:dyDescent="0.2">
      <c r="A44" t="s">
        <v>41</v>
      </c>
      <c r="B44" t="s">
        <v>38</v>
      </c>
      <c r="C44" t="s">
        <v>89</v>
      </c>
      <c r="D44" t="s">
        <v>91</v>
      </c>
    </row>
    <row r="45" spans="1:4" x14ac:dyDescent="0.2">
      <c r="A45" t="s">
        <v>41</v>
      </c>
      <c r="B45" t="s">
        <v>29</v>
      </c>
      <c r="C45" t="s">
        <v>42</v>
      </c>
      <c r="D45"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station data</vt:lpstr>
      <vt:lpstr>codend data</vt:lpstr>
      <vt:lpstr>sample data</vt:lpstr>
      <vt:lpstr>notes</vt:lpstr>
      <vt:lpstr>taxa groups</vt:lpstr>
      <vt:lpstr>duplicate sample IDs</vt:lpstr>
      <vt:lpstr>column definitions</vt:lpstr>
      <vt:lpstr>'sample data'!Print_Area</vt:lpstr>
    </vt:vector>
  </TitlesOfParts>
  <Company>ACE CRC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 Trebilco</dc:creator>
  <cp:lastModifiedBy>Rowan Trebilco</cp:lastModifiedBy>
  <cp:lastPrinted>2016-11-22T06:04:09Z</cp:lastPrinted>
  <dcterms:created xsi:type="dcterms:W3CDTF">2015-12-15T02:22:58Z</dcterms:created>
  <dcterms:modified xsi:type="dcterms:W3CDTF">2018-06-01T02:28:39Z</dcterms:modified>
</cp:coreProperties>
</file>