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Users/Lara/Desktop/WHO/TAC/Miscellaneous/Coronavirus/WHO/Allocation tool/Portal/Calculator/"/>
    </mc:Choice>
  </mc:AlternateContent>
  <xr:revisionPtr revIDLastSave="0" documentId="8_{9F40959B-3258-824A-8880-3CD838837C67}" xr6:coauthVersionLast="47" xr6:coauthVersionMax="47" xr10:uidLastSave="{00000000-0000-0000-0000-000000000000}"/>
  <bookViews>
    <workbookView xWindow="620" yWindow="460" windowWidth="26780" windowHeight="17540" xr2:uid="{A11338FF-64F9-4129-B530-07B08B3ADE12}"/>
  </bookViews>
  <sheets>
    <sheet name="Unit costs " sheetId="5" r:id="rId1"/>
    <sheet name="Abbott" sheetId="15" r:id="rId2"/>
    <sheet name="BGI" sheetId="12" r:id="rId3"/>
    <sheet name="Cepheid" sheetId="13" r:id="rId4"/>
    <sheet name="Roche" sheetId="14" r:id="rId5"/>
    <sheet name="Thermo Fisher" sheetId="6" r:id="rId6"/>
  </sheets>
  <definedNames>
    <definedName name="_xlnm._FilterDatabase" localSheetId="0" hidden="1">'Unit costs '!$B$2:$F$55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 i="12" l="1"/>
  <c r="H34" i="12"/>
  <c r="H19" i="12"/>
  <c r="H25" i="6"/>
  <c r="H24" i="6"/>
  <c r="H23" i="6"/>
  <c r="H22" i="6"/>
  <c r="H21" i="6"/>
  <c r="H19" i="6"/>
  <c r="H18" i="6"/>
  <c r="H17" i="6"/>
  <c r="H47" i="6"/>
  <c r="H45" i="6"/>
  <c r="H44" i="6"/>
  <c r="H43" i="6"/>
  <c r="H42" i="6"/>
  <c r="H41" i="6"/>
  <c r="H40" i="6"/>
  <c r="H39" i="6"/>
  <c r="H37" i="6"/>
  <c r="H36" i="6"/>
  <c r="H35" i="6"/>
  <c r="H34" i="6"/>
  <c r="H33" i="6"/>
  <c r="E7" i="6"/>
  <c r="H15" i="6"/>
  <c r="I15" i="6"/>
  <c r="I49" i="14"/>
  <c r="M49" i="14"/>
  <c r="N49" i="14"/>
  <c r="I51" i="14"/>
  <c r="M51" i="14"/>
  <c r="N51" i="14"/>
  <c r="I52" i="14"/>
  <c r="M52" i="14"/>
  <c r="N52" i="14"/>
  <c r="I53" i="14"/>
  <c r="M53" i="14"/>
  <c r="N53" i="14"/>
  <c r="I54" i="14"/>
  <c r="M54" i="14"/>
  <c r="N54" i="14"/>
  <c r="I55" i="14"/>
  <c r="M55" i="14"/>
  <c r="N55" i="14"/>
  <c r="I56" i="14"/>
  <c r="M56" i="14"/>
  <c r="N56" i="14"/>
  <c r="I57" i="14"/>
  <c r="M57" i="14"/>
  <c r="N57" i="14"/>
  <c r="O9" i="14"/>
  <c r="E7" i="14"/>
  <c r="H18" i="14"/>
  <c r="F18" i="14"/>
  <c r="I18" i="14"/>
  <c r="M18" i="14"/>
  <c r="O18" i="14"/>
  <c r="H19" i="14"/>
  <c r="F19" i="14"/>
  <c r="I19" i="14"/>
  <c r="M19" i="14"/>
  <c r="O19" i="14"/>
  <c r="O8" i="14"/>
  <c r="H16" i="14"/>
  <c r="I16" i="14"/>
  <c r="M16" i="14"/>
  <c r="N16" i="14"/>
  <c r="O16" i="14"/>
  <c r="O7" i="14"/>
  <c r="M39" i="13"/>
  <c r="I39" i="13"/>
  <c r="N39" i="13"/>
  <c r="M40" i="13"/>
  <c r="I40" i="13"/>
  <c r="N40" i="13"/>
  <c r="M41" i="13"/>
  <c r="I41" i="13"/>
  <c r="N41" i="13"/>
  <c r="M42" i="13"/>
  <c r="I42" i="13"/>
  <c r="N42" i="13"/>
  <c r="M43" i="13"/>
  <c r="I43" i="13"/>
  <c r="N43" i="13"/>
  <c r="M44" i="13"/>
  <c r="I44" i="13"/>
  <c r="N44" i="13"/>
  <c r="M45" i="13"/>
  <c r="I45" i="13"/>
  <c r="N45" i="13"/>
  <c r="O9" i="13"/>
  <c r="I50" i="15"/>
  <c r="M50" i="15"/>
  <c r="N50" i="15"/>
  <c r="I52" i="15"/>
  <c r="M52" i="15"/>
  <c r="N52" i="15"/>
  <c r="I53" i="15"/>
  <c r="M53" i="15"/>
  <c r="N53" i="15"/>
  <c r="I54" i="15"/>
  <c r="M54" i="15"/>
  <c r="N54" i="15"/>
  <c r="I55" i="15"/>
  <c r="M55" i="15"/>
  <c r="N55" i="15"/>
  <c r="I56" i="15"/>
  <c r="M56" i="15"/>
  <c r="N56" i="15"/>
  <c r="I57" i="15"/>
  <c r="M57" i="15"/>
  <c r="N57" i="15"/>
  <c r="I58" i="15"/>
  <c r="M58" i="15"/>
  <c r="N58" i="15"/>
  <c r="O9" i="15"/>
  <c r="I66" i="12"/>
  <c r="M66" i="12"/>
  <c r="N66" i="12"/>
  <c r="M65" i="12"/>
  <c r="I65" i="12"/>
  <c r="N65" i="12"/>
  <c r="E7" i="13"/>
  <c r="E7" i="12"/>
  <c r="H27" i="13"/>
  <c r="I64" i="12"/>
  <c r="I63" i="12"/>
  <c r="I62" i="12"/>
  <c r="I61" i="12"/>
  <c r="I60" i="12"/>
  <c r="I59" i="12"/>
  <c r="I57" i="12"/>
  <c r="M45" i="12"/>
  <c r="N45" i="12"/>
  <c r="M28" i="12"/>
  <c r="N28" i="12"/>
  <c r="N34" i="12"/>
  <c r="M20" i="15"/>
  <c r="N20" i="15"/>
  <c r="H18" i="12"/>
  <c r="I18" i="12"/>
  <c r="M18" i="12"/>
  <c r="N18" i="12"/>
  <c r="M19" i="12"/>
  <c r="N19" i="12"/>
  <c r="I24" i="6"/>
  <c r="M24" i="6"/>
  <c r="N24" i="6"/>
  <c r="M59" i="6"/>
  <c r="M58" i="6"/>
  <c r="I59" i="6"/>
  <c r="I58" i="6"/>
  <c r="N41" i="6"/>
  <c r="O45" i="6"/>
  <c r="O44" i="6"/>
  <c r="O24" i="6"/>
  <c r="I45" i="6"/>
  <c r="I17" i="6"/>
  <c r="O17" i="6"/>
  <c r="I44" i="6"/>
  <c r="O18" i="12"/>
  <c r="I23" i="6"/>
  <c r="N59" i="6"/>
  <c r="N58" i="6"/>
  <c r="I41" i="6"/>
  <c r="O41" i="6"/>
  <c r="I40" i="6"/>
  <c r="O40" i="6"/>
  <c r="I43" i="6"/>
  <c r="O43" i="6"/>
  <c r="I18" i="6"/>
  <c r="O18" i="6"/>
  <c r="I19" i="6"/>
  <c r="O19" i="6"/>
  <c r="I39" i="6"/>
  <c r="O39" i="6"/>
  <c r="I42" i="6"/>
  <c r="O42" i="6"/>
  <c r="N43" i="6"/>
  <c r="N42" i="6"/>
  <c r="N40" i="6"/>
  <c r="N39" i="6"/>
  <c r="I57" i="6"/>
  <c r="M57" i="12"/>
  <c r="N57" i="12"/>
  <c r="O9" i="12"/>
  <c r="M19" i="15"/>
  <c r="F19" i="15"/>
  <c r="M18" i="15"/>
  <c r="F18" i="15"/>
  <c r="M16" i="15"/>
  <c r="N16" i="15"/>
  <c r="H28" i="14"/>
  <c r="H29" i="14"/>
  <c r="H35" i="14"/>
  <c r="H36" i="14"/>
  <c r="H37" i="14"/>
  <c r="H30" i="14"/>
  <c r="H31" i="14"/>
  <c r="H32" i="14"/>
  <c r="H33" i="14"/>
  <c r="H38" i="14"/>
  <c r="H39" i="14"/>
  <c r="H27" i="14"/>
  <c r="N27" i="14"/>
  <c r="I39" i="14"/>
  <c r="I32" i="14"/>
  <c r="I31" i="14"/>
  <c r="I27" i="14"/>
  <c r="F38" i="14"/>
  <c r="I38" i="14"/>
  <c r="F33" i="14"/>
  <c r="I33" i="14"/>
  <c r="G32" i="14"/>
  <c r="G31" i="14"/>
  <c r="F30" i="14"/>
  <c r="I30" i="14"/>
  <c r="F37" i="14"/>
  <c r="I37" i="14"/>
  <c r="F36" i="14"/>
  <c r="I36" i="14"/>
  <c r="G36" i="14"/>
  <c r="F35" i="14"/>
  <c r="I35" i="14"/>
  <c r="F29" i="14"/>
  <c r="I29" i="14"/>
  <c r="F28" i="14"/>
  <c r="I28" i="14"/>
  <c r="O27" i="14"/>
  <c r="O6" i="14"/>
  <c r="N18" i="15"/>
  <c r="N19" i="15"/>
  <c r="N19" i="14"/>
  <c r="N18" i="14"/>
  <c r="M19" i="13"/>
  <c r="F19" i="13"/>
  <c r="M18" i="13"/>
  <c r="F18" i="13"/>
  <c r="H16" i="13"/>
  <c r="I16" i="13"/>
  <c r="M16" i="13"/>
  <c r="N16" i="13"/>
  <c r="O16" i="13"/>
  <c r="O7" i="13"/>
  <c r="N27" i="13"/>
  <c r="M33" i="6"/>
  <c r="N33" i="6"/>
  <c r="M57" i="6"/>
  <c r="N57" i="6"/>
  <c r="I68" i="6"/>
  <c r="I67" i="6"/>
  <c r="I66" i="6"/>
  <c r="I65" i="6"/>
  <c r="I64" i="6"/>
  <c r="I63" i="6"/>
  <c r="I62" i="6"/>
  <c r="I61" i="6"/>
  <c r="M20" i="12"/>
  <c r="O20" i="12"/>
  <c r="M17" i="12"/>
  <c r="F17" i="12"/>
  <c r="M16" i="12"/>
  <c r="F16" i="12"/>
  <c r="H47" i="12"/>
  <c r="M47" i="12"/>
  <c r="N47" i="12"/>
  <c r="M64" i="12"/>
  <c r="M63" i="12"/>
  <c r="M62" i="12"/>
  <c r="M61" i="12"/>
  <c r="M60" i="12"/>
  <c r="M59" i="12"/>
  <c r="N59" i="12"/>
  <c r="M25" i="6"/>
  <c r="O25" i="6"/>
  <c r="I37" i="6"/>
  <c r="O34" i="12"/>
  <c r="O45" i="12"/>
  <c r="I19" i="12"/>
  <c r="O19" i="12"/>
  <c r="N63" i="12"/>
  <c r="N61" i="12"/>
  <c r="N62" i="12"/>
  <c r="N60" i="12"/>
  <c r="N64" i="12"/>
  <c r="H16" i="12"/>
  <c r="I16" i="12"/>
  <c r="O16" i="12"/>
  <c r="I34" i="12"/>
  <c r="N19" i="13"/>
  <c r="H18" i="13"/>
  <c r="I18" i="13"/>
  <c r="O18" i="13"/>
  <c r="N18" i="13"/>
  <c r="H19" i="13"/>
  <c r="I19" i="13"/>
  <c r="O19" i="13"/>
  <c r="O27" i="13"/>
  <c r="O6" i="13"/>
  <c r="I47" i="6"/>
  <c r="H41" i="12"/>
  <c r="H36" i="12"/>
  <c r="H45" i="12"/>
  <c r="I45" i="12"/>
  <c r="H35" i="12"/>
  <c r="H37" i="12"/>
  <c r="N16" i="12"/>
  <c r="H30" i="12"/>
  <c r="I30" i="12"/>
  <c r="H39" i="12"/>
  <c r="I43" i="12"/>
  <c r="N17" i="12"/>
  <c r="H32" i="12"/>
  <c r="I32" i="12"/>
  <c r="O47" i="12"/>
  <c r="O7" i="12"/>
  <c r="I35" i="6"/>
  <c r="H17" i="12"/>
  <c r="I17" i="12"/>
  <c r="O17" i="12"/>
  <c r="I35" i="12"/>
  <c r="I37" i="12"/>
  <c r="I39" i="12"/>
  <c r="I41" i="12"/>
  <c r="H29" i="12"/>
  <c r="I29" i="12"/>
  <c r="H31" i="12"/>
  <c r="I31" i="12"/>
  <c r="H38" i="12"/>
  <c r="H42" i="12"/>
  <c r="I47" i="12"/>
  <c r="H20" i="12"/>
  <c r="H28" i="12"/>
  <c r="I36" i="12"/>
  <c r="I38" i="12"/>
  <c r="I40" i="12"/>
  <c r="I42" i="12"/>
  <c r="I36" i="6"/>
  <c r="I34" i="6"/>
  <c r="M23" i="6"/>
  <c r="N23" i="6"/>
  <c r="O8" i="12"/>
  <c r="O8" i="13"/>
  <c r="O33" i="6"/>
  <c r="O5" i="6"/>
  <c r="I33" i="6"/>
  <c r="I27" i="13"/>
  <c r="H29" i="13"/>
  <c r="O28" i="12"/>
  <c r="O6" i="12"/>
  <c r="I28" i="12"/>
  <c r="O23" i="6"/>
  <c r="I29" i="13"/>
  <c r="M22" i="6"/>
  <c r="F22" i="6"/>
  <c r="M21" i="6"/>
  <c r="F21" i="6"/>
  <c r="I21" i="6"/>
  <c r="M68" i="6"/>
  <c r="N68" i="6"/>
  <c r="M67" i="6"/>
  <c r="N67" i="6"/>
  <c r="M66" i="6"/>
  <c r="N66" i="6"/>
  <c r="M65" i="6"/>
  <c r="N65" i="6"/>
  <c r="M64" i="6"/>
  <c r="N64" i="6"/>
  <c r="M63" i="6"/>
  <c r="N63" i="6"/>
  <c r="M62" i="6"/>
  <c r="N62" i="6"/>
  <c r="M61" i="6"/>
  <c r="N61" i="6"/>
  <c r="O8" i="6"/>
  <c r="M15" i="6"/>
  <c r="O21" i="6"/>
  <c r="N22" i="6"/>
  <c r="N15" i="6"/>
  <c r="N21" i="6"/>
  <c r="I22" i="6"/>
  <c r="E7" i="5"/>
  <c r="D9" i="5"/>
  <c r="O15" i="6"/>
  <c r="O6" i="6"/>
  <c r="O22" i="6"/>
  <c r="O7" i="6"/>
  <c r="I33" i="15"/>
  <c r="I36" i="15"/>
  <c r="I37" i="15"/>
  <c r="I32" i="15"/>
  <c r="I34" i="15"/>
  <c r="I35" i="15"/>
  <c r="I39" i="15"/>
  <c r="I40" i="15"/>
  <c r="I29" i="15"/>
  <c r="I30" i="15"/>
  <c r="I38" i="15"/>
  <c r="I28" i="15"/>
  <c r="H20" i="15"/>
  <c r="I20" i="15"/>
  <c r="O20" i="15"/>
  <c r="H28" i="15"/>
  <c r="O28" i="15"/>
  <c r="O6" i="15"/>
  <c r="H19" i="15"/>
  <c r="I19" i="15"/>
  <c r="O19" i="15"/>
  <c r="E7" i="15"/>
  <c r="H16" i="15"/>
  <c r="I16" i="15"/>
  <c r="O16" i="15"/>
  <c r="O7" i="15"/>
  <c r="H18" i="15"/>
  <c r="I18" i="15"/>
  <c r="O18" i="15"/>
  <c r="O8" i="15"/>
</calcChain>
</file>

<file path=xl/sharedStrings.xml><?xml version="1.0" encoding="utf-8"?>
<sst xmlns="http://schemas.openxmlformats.org/spreadsheetml/2006/main" count="1153" uniqueCount="308">
  <si>
    <t>Category</t>
  </si>
  <si>
    <t>Test Kit Reagents</t>
  </si>
  <si>
    <t>Additional Required Reagents</t>
  </si>
  <si>
    <t xml:space="preserve">RT-qPCR Master Mix </t>
  </si>
  <si>
    <t>RNA Extraction Kit</t>
  </si>
  <si>
    <t>Decontamination Reagents</t>
  </si>
  <si>
    <t>DNA/RNA Degrading Agent</t>
  </si>
  <si>
    <t>100% bleach</t>
  </si>
  <si>
    <t>Generic Consumables</t>
  </si>
  <si>
    <t xml:space="preserve">Aerosol barrier pipette tips </t>
  </si>
  <si>
    <t xml:space="preserve">1.5 mL microcentrifuge tubes (DNase/RNase free) </t>
  </si>
  <si>
    <t>0.2 mL PCR reaction plates</t>
  </si>
  <si>
    <t>8-cap Strips</t>
  </si>
  <si>
    <t>Equipment</t>
  </si>
  <si>
    <t xml:space="preserve">Vortex mixer </t>
  </si>
  <si>
    <t xml:space="preserve">Microcentrifuge </t>
  </si>
  <si>
    <t xml:space="preserve">Micropipettes (2 or 10 μL, 200 μL and 1000 μL) </t>
  </si>
  <si>
    <t xml:space="preserve">Multichannel micropipettes (5-50 μl) </t>
  </si>
  <si>
    <t xml:space="preserve">Racks for 1.5 mL microcentrifuge tubes </t>
  </si>
  <si>
    <t>Real-Time PCR System</t>
  </si>
  <si>
    <t>Biosafety Cabinet</t>
  </si>
  <si>
    <t>Automated Real-time PCR System</t>
  </si>
  <si>
    <t>MgSO4</t>
  </si>
  <si>
    <t>nonacetylated bovine serum albumin (BSA)</t>
  </si>
  <si>
    <t>Per case</t>
  </si>
  <si>
    <t xml:space="preserve">Unit cost </t>
  </si>
  <si>
    <t>Quantity</t>
  </si>
  <si>
    <t xml:space="preserve">Total cost (USD) </t>
  </si>
  <si>
    <t>Item</t>
  </si>
  <si>
    <t>Unit cost</t>
  </si>
  <si>
    <t>Source</t>
  </si>
  <si>
    <t>N95 mask</t>
  </si>
  <si>
    <t>Bleach (10 times dilution of 5% - 0.5% NAHOCl) - in 500ml spray bottle</t>
  </si>
  <si>
    <t>Shoe Covers, Non-Skid, of 100</t>
  </si>
  <si>
    <t xml:space="preserve">Biohazard bag, 32 x 34in, Orange, 27 Gallon, </t>
  </si>
  <si>
    <t>Absorbent pad with plastic Backing (blue diapers), 17x24 inches</t>
  </si>
  <si>
    <t>Gloves</t>
  </si>
  <si>
    <t>Surgical gowns</t>
  </si>
  <si>
    <t>Yes</t>
  </si>
  <si>
    <t>Ethanol</t>
  </si>
  <si>
    <t>Sample transport</t>
  </si>
  <si>
    <t>Unit volume</t>
  </si>
  <si>
    <t>`</t>
  </si>
  <si>
    <t>Other</t>
  </si>
  <si>
    <t>STOP TB Diagnostics  catalogue</t>
  </si>
  <si>
    <t>Calcium hypocholrite</t>
  </si>
  <si>
    <t>5kg pail</t>
  </si>
  <si>
    <t>UNICEF</t>
  </si>
  <si>
    <t>RNA Extraction Kit buffer</t>
  </si>
  <si>
    <t>108 x 2 ml</t>
  </si>
  <si>
    <t>Qiagen</t>
  </si>
  <si>
    <t>Fisher Scientific</t>
  </si>
  <si>
    <t>Per lab</t>
  </si>
  <si>
    <t>Commodities</t>
  </si>
  <si>
    <t>No</t>
  </si>
  <si>
    <t>Quantity of units needed</t>
  </si>
  <si>
    <t>Per 96 samples</t>
  </si>
  <si>
    <t>CHAI country estimate</t>
  </si>
  <si>
    <t xml:space="preserve">Details </t>
  </si>
  <si>
    <t xml:space="preserve">96-well -20°C cold blocks </t>
  </si>
  <si>
    <t>Thomas Scientific</t>
  </si>
  <si>
    <r>
      <rPr>
        <sz val="12"/>
        <color theme="1"/>
        <rFont val="Calibri"/>
        <family val="2"/>
        <scheme val="minor"/>
      </rPr>
      <t xml:space="preserve">DONATE MANUAL SARS-CoV-2 Test Kit </t>
    </r>
    <r>
      <rPr>
        <sz val="11"/>
        <color theme="1"/>
        <rFont val="Calibri"/>
        <family val="2"/>
        <scheme val="minor"/>
      </rPr>
      <t>(including all essential proprietary reagents including primers, probes, and controls needed to run the test)</t>
    </r>
  </si>
  <si>
    <r>
      <rPr>
        <sz val="12"/>
        <color theme="1"/>
        <rFont val="Calibri"/>
        <family val="2"/>
        <scheme val="minor"/>
      </rPr>
      <t xml:space="preserve">MANUAL SARS-CoV-2 Test Kit </t>
    </r>
    <r>
      <rPr>
        <sz val="11"/>
        <color theme="1"/>
        <rFont val="Calibri"/>
        <family val="2"/>
        <scheme val="minor"/>
      </rPr>
      <t>(including all essential proprietary reagents including primers, probes, and controls needed to run the test)</t>
    </r>
  </si>
  <si>
    <t>Triple package boxes</t>
  </si>
  <si>
    <t>UNIT COST NEEDED</t>
  </si>
  <si>
    <r>
      <rPr>
        <sz val="12"/>
        <color theme="1"/>
        <rFont val="Calibri"/>
        <family val="2"/>
        <scheme val="minor"/>
      </rPr>
      <t xml:space="preserve">Roche: SARS-CoV-2 Test Kit </t>
    </r>
    <r>
      <rPr>
        <sz val="11"/>
        <color theme="1"/>
        <rFont val="Calibri"/>
        <family val="2"/>
        <scheme val="minor"/>
      </rPr>
      <t>(including all essential proprietary reagents including primers, probes, and controls needed to run the test)</t>
    </r>
  </si>
  <si>
    <r>
      <rPr>
        <sz val="12"/>
        <color theme="1"/>
        <rFont val="Calibri"/>
        <family val="2"/>
        <scheme val="minor"/>
      </rPr>
      <t xml:space="preserve">Cepheid: SARS-CoV-2 Test Kit </t>
    </r>
    <r>
      <rPr>
        <sz val="11"/>
        <color theme="1"/>
        <rFont val="Calibri"/>
        <family val="2"/>
        <scheme val="minor"/>
      </rPr>
      <t>(including all essential proprietary reagents including primers, probes, and controls needed to run the test)</t>
    </r>
  </si>
  <si>
    <r>
      <rPr>
        <sz val="12"/>
        <color theme="1"/>
        <rFont val="Calibri"/>
        <family val="2"/>
        <scheme val="minor"/>
      </rPr>
      <t xml:space="preserve">Abbott: SYSTEM SARS-CoV-2 Test Kit </t>
    </r>
    <r>
      <rPr>
        <sz val="11"/>
        <color theme="1"/>
        <rFont val="Calibri"/>
        <family val="2"/>
        <scheme val="minor"/>
      </rPr>
      <t>(including all essential proprietary reagents including primers, probes, and controls needed to run the test)</t>
    </r>
  </si>
  <si>
    <t>Published pricing</t>
  </si>
  <si>
    <t xml:space="preserve">Additional Reagents </t>
  </si>
  <si>
    <t>*dependent on protocol used</t>
  </si>
  <si>
    <t>OTHER: Automated SARS-CoV-2 Test Kit (including all essential proprietary reagents including primers, probes, and controls needed to run the test)</t>
  </si>
  <si>
    <t>N/A</t>
  </si>
  <si>
    <t>Total patients to be tested</t>
  </si>
  <si>
    <t>Testing need inputs</t>
  </si>
  <si>
    <t xml:space="preserve">estimated pricing across multiple suppliers - inclusive of media and swab </t>
  </si>
  <si>
    <t xml:space="preserve">Sample transport kit include viral transport medium, sterile swabs </t>
  </si>
  <si>
    <t xml:space="preserve"> 96 well magnet stand</t>
  </si>
  <si>
    <t>16 tube magnetic tube rack</t>
  </si>
  <si>
    <t>Thermo Fisher - Cat # AM10027</t>
  </si>
  <si>
    <t>Thermo Fisher - Cat # 12321D</t>
  </si>
  <si>
    <t>Included?</t>
  </si>
  <si>
    <t>Additional Generic Consumables</t>
  </si>
  <si>
    <t>100% Ethanol</t>
  </si>
  <si>
    <t>Nuclease-free Water</t>
  </si>
  <si>
    <t>09N77-095/-090</t>
  </si>
  <si>
    <t>EUA / CE Amp Kit</t>
  </si>
  <si>
    <t>4 x 24 Tests</t>
  </si>
  <si>
    <t>09N77-085/-080</t>
  </si>
  <si>
    <t>EUA / CE Control Kit</t>
  </si>
  <si>
    <t>8 batches</t>
  </si>
  <si>
    <t>06K12-024</t>
  </si>
  <si>
    <t>DNA ASPS SMPL PUR KIT</t>
  </si>
  <si>
    <t>4 x 24 Preps</t>
  </si>
  <si>
    <t>04J71-010</t>
  </si>
  <si>
    <t>ASPS 1ML TIPS</t>
  </si>
  <si>
    <t>m2000 Consumable</t>
  </si>
  <si>
    <t>04J71-017</t>
  </si>
  <si>
    <t>PIPETTE TIPS 200U</t>
  </si>
  <si>
    <t>04J71-020</t>
  </si>
  <si>
    <t>ASPS RXN VESSELS</t>
  </si>
  <si>
    <t>04J71-060</t>
  </si>
  <si>
    <t>200ML RGT VESSEL</t>
  </si>
  <si>
    <t>04J71-030</t>
  </si>
  <si>
    <t>ASPS 96 WELL PLTS</t>
  </si>
  <si>
    <t>04J71-070</t>
  </si>
  <si>
    <t>M2K WLOPT RCTN PT</t>
  </si>
  <si>
    <t>04J71-075</t>
  </si>
  <si>
    <t>M2K OPT ADHSV CVR</t>
  </si>
  <si>
    <t>04J71-080</t>
  </si>
  <si>
    <t>MASTER MIX TUBES</t>
  </si>
  <si>
    <t>04J71-045</t>
  </si>
  <si>
    <t>ASPS BIOHZRD BAGS</t>
  </si>
  <si>
    <t>Material Number</t>
  </si>
  <si>
    <t>Product Description</t>
  </si>
  <si>
    <t xml:space="preserve">Pack Size        </t>
  </si>
  <si>
    <t>Calculated Pack Size by Number of Tests</t>
  </si>
  <si>
    <t>cobas® SARS-CoV-2 Control Kit</t>
  </si>
  <si>
    <t>cobas® Buffer Negative Control Kit</t>
  </si>
  <si>
    <t>COBAS OMNI  PROCESSING PLATE</t>
  </si>
  <si>
    <t>COBAS OMNI  PIPETTE TIPS</t>
  </si>
  <si>
    <t>COBAS OMNI  AMPLIFICATION PLATE</t>
  </si>
  <si>
    <t>KIT COBAS 6800/8800 WASH Reagent IVD (4.2 L)</t>
  </si>
  <si>
    <t>KIT COBAS 6800/8800 SPEC DIL REAGENT IVD (4 x 875 mL)</t>
  </si>
  <si>
    <t>KIT COBAS 6800/8800 LYS REAGENT IVD (4 x 875 mL)</t>
  </si>
  <si>
    <t>KIT COBAS 6800/8800 MGP IVD</t>
  </si>
  <si>
    <t>Solid Waste Bag Set of 20</t>
  </si>
  <si>
    <t>Notes</t>
  </si>
  <si>
    <t>A48067</t>
  </si>
  <si>
    <t>A48102</t>
  </si>
  <si>
    <t>A48105</t>
  </si>
  <si>
    <t>A48099</t>
  </si>
  <si>
    <t>A48111</t>
  </si>
  <si>
    <t>AMB18365</t>
  </si>
  <si>
    <t>SARS-CoV-2 Reaction mix</t>
  </si>
  <si>
    <t>SARS-CoV-2 Enzyme mix</t>
  </si>
  <si>
    <t>SARS-CoV-2 Positive Control</t>
  </si>
  <si>
    <t>SARS-CoV-2 No Template Control</t>
  </si>
  <si>
    <t>Required</t>
  </si>
  <si>
    <t xml:space="preserve">1000 ul Filter Tips </t>
  </si>
  <si>
    <t>10ul Tips</t>
  </si>
  <si>
    <t>2.0mL Centrifuge tube</t>
  </si>
  <si>
    <t>50mL Centrifuge Tube</t>
  </si>
  <si>
    <t>200μL 8-Tube Strip</t>
  </si>
  <si>
    <t>8-Tube Strip</t>
  </si>
  <si>
    <t>Cryogenic Label (Anti-freeze)</t>
  </si>
  <si>
    <t>Dedicated Carbon Ribbon</t>
  </si>
  <si>
    <t>1.5ml tube</t>
    <phoneticPr fontId="7" type="noConversion"/>
  </si>
  <si>
    <t>AXYGEN/#96 tips/box</t>
    <phoneticPr fontId="7" type="noConversion"/>
  </si>
  <si>
    <t>AXYGEN/#100 tips/box</t>
    <phoneticPr fontId="7" type="noConversion"/>
  </si>
  <si>
    <t>AXYGEN/#500 pieces/bag</t>
    <phoneticPr fontId="7" type="noConversion"/>
  </si>
  <si>
    <t>AXYGEN/#25 pieces/bag</t>
    <phoneticPr fontId="7" type="noConversion"/>
  </si>
  <si>
    <t>AXYGEN/#125 strips/bag</t>
    <phoneticPr fontId="7" type="noConversion"/>
  </si>
  <si>
    <t>AXYGEN/#125 pieces/bag</t>
    <phoneticPr fontId="7" type="noConversion"/>
  </si>
  <si>
    <r>
      <t>32</t>
    </r>
    <r>
      <rPr>
        <sz val="11"/>
        <color theme="1"/>
        <rFont val="Calibri"/>
        <family val="2"/>
        <scheme val="minor"/>
      </rPr>
      <t>mm</t>
    </r>
    <r>
      <rPr>
        <sz val="11"/>
        <color theme="1"/>
        <rFont val="Calibri"/>
        <family val="2"/>
        <scheme val="minor"/>
      </rPr>
      <t>*10</t>
    </r>
    <r>
      <rPr>
        <sz val="11"/>
        <color theme="1"/>
        <rFont val="Calibri"/>
        <family val="2"/>
        <scheme val="minor"/>
      </rPr>
      <t>mm</t>
    </r>
    <r>
      <rPr>
        <sz val="11"/>
        <color theme="1"/>
        <rFont val="Calibri"/>
        <family val="2"/>
        <scheme val="minor"/>
      </rPr>
      <t>*5000</t>
    </r>
    <r>
      <rPr>
        <sz val="11"/>
        <color theme="1"/>
        <rFont val="Calibri"/>
        <family val="2"/>
        <scheme val="minor"/>
      </rPr>
      <t>mm</t>
    </r>
  </si>
  <si>
    <r>
      <t>L</t>
    </r>
    <r>
      <rPr>
        <sz val="11"/>
        <color theme="1"/>
        <rFont val="Calibri"/>
        <family val="2"/>
        <scheme val="minor"/>
      </rPr>
      <t>iguang</t>
    </r>
    <r>
      <rPr>
        <sz val="11"/>
        <color theme="1"/>
        <rFont val="Calibri"/>
        <family val="2"/>
        <scheme val="minor"/>
      </rPr>
      <t>/</t>
    </r>
    <r>
      <rPr>
        <sz val="11"/>
        <color theme="1"/>
        <rFont val="Calibri"/>
        <family val="2"/>
        <scheme val="minor"/>
      </rPr>
      <t>#</t>
    </r>
    <r>
      <rPr>
        <sz val="11"/>
        <color theme="1"/>
        <rFont val="Calibri"/>
        <family val="2"/>
        <scheme val="minor"/>
      </rPr>
      <t>B110A080*300-114</t>
    </r>
  </si>
  <si>
    <t>***Decided by constant temperature mixer***</t>
    <phoneticPr fontId="7" type="noConversion"/>
  </si>
  <si>
    <t xml:space="preserve">200ul Filter Tips </t>
  </si>
  <si>
    <t>TBD</t>
  </si>
  <si>
    <t>70 boxes per 3000 samples</t>
  </si>
  <si>
    <t>252 boxes per 3000 samples</t>
  </si>
  <si>
    <t>63 boxes per 3000 samples</t>
  </si>
  <si>
    <t>1 boxes per 3000 samples</t>
  </si>
  <si>
    <t>3 boxes per 3000 samples</t>
  </si>
  <si>
    <t>12 boxes per 3000 samples</t>
  </si>
  <si>
    <t>included</t>
  </si>
  <si>
    <t>Description / Cat #</t>
  </si>
  <si>
    <t>Real-Time Fluorescent RT-PCR Kit for Detecting SARS-CoV-2</t>
  </si>
  <si>
    <t>Real-Time Fluorescent RT-PCR Kit for Detecting SARS-CoV-3</t>
  </si>
  <si>
    <t>Real-Time Fluorescent RT-PCR Kit for Detecting SARS-CoV-4</t>
  </si>
  <si>
    <t>Real-Time Fluorescent RT-PCR Kit for Detecting SARS-CoV-5</t>
  </si>
  <si>
    <t>Included</t>
  </si>
  <si>
    <t>SARS-CoV-2 Primers/Probes</t>
  </si>
  <si>
    <t>TaqPath™ COVID-19 RT-PCR Kit</t>
  </si>
  <si>
    <t>TaqPath™ COVID-19 Control</t>
  </si>
  <si>
    <t>TaqPath™ COVID-19 Control Dilution Buffer</t>
  </si>
  <si>
    <t>TaqPath™ 1-Step Multiplex Master Mix (No ROX</t>
  </si>
  <si>
    <t>TaqPath™ COVID-19 CE-IVD RT-PCR Kit</t>
  </si>
  <si>
    <t>MagMAX -96 Viral RNA Isolation Kit</t>
  </si>
  <si>
    <t>per kit</t>
  </si>
  <si>
    <t>4000ml</t>
  </si>
  <si>
    <t>120ml per 96 samples</t>
  </si>
  <si>
    <t>Cost per reaction estimate</t>
  </si>
  <si>
    <t>Additional Equipment Costs</t>
  </si>
  <si>
    <t>Labs Requiring Products</t>
  </si>
  <si>
    <t>Total Budget</t>
  </si>
  <si>
    <t>Sample Collection Costs</t>
  </si>
  <si>
    <t>RNA Extraction</t>
  </si>
  <si>
    <t>MGIEasy Magnetic Beads Virus DNA/RNA Extraction Kit</t>
  </si>
  <si>
    <t>Cat #: 1000020471: MGIEasy Magnetic Beads Virus DNA/RNA Extraction Kit</t>
  </si>
  <si>
    <t>per case</t>
  </si>
  <si>
    <t>Confirmed Pricing</t>
  </si>
  <si>
    <t>Xpert Xpress SARS-CoV-2,10 tests, CE-IVD</t>
  </si>
  <si>
    <t>Transfer Pipettes</t>
  </si>
  <si>
    <t>Per kit</t>
  </si>
  <si>
    <t>m2000rt/sp system</t>
  </si>
  <si>
    <t>Bundled Kit</t>
  </si>
  <si>
    <t>Lab Equipment</t>
  </si>
  <si>
    <t>BGI</t>
  </si>
  <si>
    <t>BGI provided</t>
  </si>
  <si>
    <t>AB-0661</t>
  </si>
  <si>
    <t>Abgene™ 96 Well 2.2mL Polypropylene Deepwell Storage Plate</t>
  </si>
  <si>
    <t>Case of 50</t>
  </si>
  <si>
    <t>Case of 50 = 4,800 rxns</t>
  </si>
  <si>
    <t>N8010560</t>
  </si>
  <si>
    <t>MicroAmp™ Optical 96-well Reaction Plate, 0.2 mL</t>
  </si>
  <si>
    <t>10 Plates</t>
  </si>
  <si>
    <t>95/extraction (21 plates); 94/qPCR (22 plates) = 43 plates/2000 rxns</t>
  </si>
  <si>
    <t>MicroAmp™ Clear Adhesive Film</t>
  </si>
  <si>
    <t>100 Films</t>
  </si>
  <si>
    <t>1/extraction = 21 films/2000 rxns</t>
  </si>
  <si>
    <t>MicroAmp™ Optical Adhesive Film</t>
  </si>
  <si>
    <t>100 Covers</t>
  </si>
  <si>
    <t>1/qPCR = 22 films/2000 rxns</t>
  </si>
  <si>
    <t>ART 200ul Barrier tip, lift-off lid rack</t>
  </si>
  <si>
    <t>Case of 4800</t>
  </si>
  <si>
    <t>7 Tips - Assuming 200ul sample input volume: 95/extraction (3 Tips); 94/qPCR (4 Tips) = *14,000 /2000 rxns</t>
  </si>
  <si>
    <t>ART 1000ul Barrier Pipette Tip, Lift-off Lid rack</t>
  </si>
  <si>
    <t>Case of 3200</t>
  </si>
  <si>
    <t>4 Tips - Assuming 200ul sample input volume:95/extraction (4 Tips); 94/qPCR (0 Tips) = *8,000 /2000 rxns</t>
  </si>
  <si>
    <t>ART Barrier Pipette Tip 10ul</t>
  </si>
  <si>
    <t>4 Tips - Assuming 200ul sample input volume:95/extraction (2 Tips); 94/qPCR (2 Tips) = *8,000/2000 rxns</t>
  </si>
  <si>
    <t>2.0mL Microcentrifuge Snap Cap Tube</t>
  </si>
  <si>
    <t>Case of 5000</t>
  </si>
  <si>
    <t>1 tube may be used for intermediary step when sample is taken from sample vessel prior to plating = 21 tubes /  2000 rxns</t>
  </si>
  <si>
    <t>1.5mL Microcentrifuge Snap Cap Tube</t>
  </si>
  <si>
    <t>MicroAmp™ Fast Optical 96-well Reaction Plate, 0.1 mL</t>
  </si>
  <si>
    <t>AM10027</t>
  </si>
  <si>
    <t>MicroAmp™ 96-well Support Base</t>
  </si>
  <si>
    <t>MicroAmp™ Adhesive Film Applicator</t>
  </si>
  <si>
    <t>Thermo Fisher - Cat# 4379590</t>
  </si>
  <si>
    <t>Thermo Fisher - Cat# 4333183</t>
  </si>
  <si>
    <t>FischerSci # 10-644-795</t>
  </si>
  <si>
    <t>500ml</t>
  </si>
  <si>
    <t>One bottle per 1000 reactions</t>
  </si>
  <si>
    <t>RNAse Cleaning Agent (RNAse Away)</t>
  </si>
  <si>
    <t>250ml</t>
  </si>
  <si>
    <t>475ml</t>
  </si>
  <si>
    <t>Fscher Sci - Cat#  21-402-178 or 10-666-421</t>
  </si>
  <si>
    <t>BGI price offer</t>
  </si>
  <si>
    <t xml:space="preserve">BGI Sample transport kit include viral transport medium, sterile swabs </t>
  </si>
  <si>
    <t>Generic Lab Equipment</t>
  </si>
  <si>
    <t>Supplier provided lab equipment</t>
  </si>
  <si>
    <t>Sample Collection</t>
  </si>
  <si>
    <t>Plastic Consumables</t>
  </si>
  <si>
    <t>Proprietary Reagents</t>
  </si>
  <si>
    <r>
      <t>Magnetic Rack</t>
    </r>
    <r>
      <rPr>
        <vertAlign val="superscript"/>
        <sz val="11"/>
        <color theme="1"/>
        <rFont val="Calibri (Body)"/>
      </rPr>
      <t>1</t>
    </r>
  </si>
  <si>
    <t>Consumables / reagents for alternative sourcing</t>
  </si>
  <si>
    <t xml:space="preserve">Contrary to consumables, equipment are one-time purchases and can re-used across various assays and test runs. </t>
  </si>
  <si>
    <t>Quantification of Commodities</t>
  </si>
  <si>
    <t xml:space="preserve">These products are required for conducting testing and are supplied by the assay manufacturer. </t>
  </si>
  <si>
    <t xml:space="preserve">These products are required for conducting testing, however, are not supplied by the assay manufacturer and must be procured separately. </t>
  </si>
  <si>
    <t>input cell based on identified laboratory equipment gaps</t>
  </si>
  <si>
    <t>Many of these items may already exist in activated testing labs and procurement is only required where equipment gaps have been identified.</t>
  </si>
  <si>
    <t xml:space="preserve">Signficant GeneXpert platform footprint exists and may be suitable for activation. Procurement may only be required where additional capacity is required or additional labs are planned for activation. </t>
  </si>
  <si>
    <r>
      <t>cobas® SARS-CoV-2 Test</t>
    </r>
    <r>
      <rPr>
        <vertAlign val="superscript"/>
        <sz val="11"/>
        <color theme="1"/>
        <rFont val="Calibri (Body)"/>
      </rPr>
      <t>1</t>
    </r>
  </si>
  <si>
    <r>
      <rPr>
        <i/>
        <vertAlign val="superscript"/>
        <sz val="10"/>
        <color rgb="FF000000"/>
        <rFont val="Imago"/>
      </rPr>
      <t xml:space="preserve">1 </t>
    </r>
    <r>
      <rPr>
        <i/>
        <sz val="10"/>
        <color rgb="FF000000"/>
        <rFont val="Imago"/>
      </rPr>
      <t>cobas 6800/8800 SARS-CoV-2 Test uses 2 controls per 96 samples</t>
    </r>
  </si>
  <si>
    <r>
      <t>cobas omni Secondary Tubes 13x75 (optional)</t>
    </r>
    <r>
      <rPr>
        <vertAlign val="superscript"/>
        <sz val="11"/>
        <color theme="1"/>
        <rFont val="Calibri (Body)"/>
      </rPr>
      <t>2</t>
    </r>
  </si>
  <si>
    <r>
      <t>Yes</t>
    </r>
    <r>
      <rPr>
        <vertAlign val="superscript"/>
        <sz val="11"/>
        <color theme="1"/>
        <rFont val="Calibri (Body)"/>
      </rPr>
      <t>2</t>
    </r>
  </si>
  <si>
    <r>
      <t>No</t>
    </r>
    <r>
      <rPr>
        <vertAlign val="superscript"/>
        <sz val="11"/>
        <color theme="1"/>
        <rFont val="Calibri (Body)"/>
      </rPr>
      <t>3</t>
    </r>
  </si>
  <si>
    <r>
      <t>2</t>
    </r>
    <r>
      <rPr>
        <i/>
        <sz val="11"/>
        <color theme="1"/>
        <rFont val="1"/>
      </rPr>
      <t xml:space="preserve">Initial shipments include magnetic stands for four testing laboratories. If additional laboratories are activated, additional magnetic stands must be procured. </t>
    </r>
  </si>
  <si>
    <r>
      <rPr>
        <i/>
        <vertAlign val="superscript"/>
        <sz val="11"/>
        <color theme="1"/>
        <rFont val="1"/>
      </rPr>
      <t>1</t>
    </r>
    <r>
      <rPr>
        <i/>
        <sz val="11"/>
        <color theme="1"/>
        <rFont val="1"/>
      </rPr>
      <t>Optional dependent on workflow. 1 tube may be used for intermediary step when sample is taken from sample vessel prior to plating, however, this is not a mandatory step</t>
    </r>
  </si>
  <si>
    <r>
      <rPr>
        <i/>
        <vertAlign val="superscript"/>
        <sz val="11"/>
        <color theme="1"/>
        <rFont val="1"/>
      </rPr>
      <t>3</t>
    </r>
    <r>
      <rPr>
        <i/>
        <sz val="11"/>
        <color theme="1"/>
        <rFont val="1"/>
      </rPr>
      <t xml:space="preserve">Optional dependent on workflow. </t>
    </r>
  </si>
  <si>
    <r>
      <t>No</t>
    </r>
    <r>
      <rPr>
        <vertAlign val="superscript"/>
        <sz val="11"/>
        <color theme="1"/>
        <rFont val="Calibri (Body)"/>
      </rPr>
      <t>1</t>
    </r>
  </si>
  <si>
    <t>Total Tests</t>
  </si>
  <si>
    <t>Input total tests</t>
  </si>
  <si>
    <t xml:space="preserve">GeneXpert 1-module Edge with tablet
</t>
  </si>
  <si>
    <t>GeneXpert IV-2 modules with desktop computer</t>
  </si>
  <si>
    <t>GeneXpert IV-2 modules with laptop computer</t>
  </si>
  <si>
    <t xml:space="preserve">StOP TB Diagnostics  catalogue - June 2020 - GXIV-2-L </t>
  </si>
  <si>
    <t>GeneXpert IV-4 modules with desktop computer</t>
  </si>
  <si>
    <t xml:space="preserve">StOP TB Diagnostics  catalogue - June 2020 - GXIV-4-D </t>
  </si>
  <si>
    <t>GeneXpert IV-4 modules with laptop computer</t>
  </si>
  <si>
    <t xml:space="preserve">GXIV-4-L </t>
  </si>
  <si>
    <t>GeneXpert XVI-16 modules with desktop computer</t>
  </si>
  <si>
    <t xml:space="preserve">GXXVI-16-D </t>
  </si>
  <si>
    <t>GeneXpert XVI-16 modules with laptop computer</t>
  </si>
  <si>
    <t>GXXVI-16-L</t>
  </si>
  <si>
    <t>GXIV-4-D</t>
  </si>
  <si>
    <t>GXIV-2-L</t>
  </si>
  <si>
    <t>GXIV-2-D</t>
  </si>
  <si>
    <t xml:space="preserve">GXI-EDGE-L </t>
  </si>
  <si>
    <r>
      <t>Yes</t>
    </r>
    <r>
      <rPr>
        <vertAlign val="superscript"/>
        <sz val="11"/>
        <color theme="1"/>
        <rFont val="Calibri (Body)"/>
      </rPr>
      <t>1</t>
    </r>
  </si>
  <si>
    <r>
      <t>1</t>
    </r>
    <r>
      <rPr>
        <i/>
        <sz val="11"/>
        <color theme="1"/>
        <rFont val="1"/>
      </rPr>
      <t>Only one platform required per lab. Multiple platforms available for use with Xpert Xpress SARS-CoV-2 assay, including GeneXpert II, IV, XVI and Infinity. Most commonly used devices include GXI - GXXVI.</t>
    </r>
  </si>
  <si>
    <t xml:space="preserve">Stop TB Diagnostics  catalogue - June 2020- GXI-EDGE-L </t>
  </si>
  <si>
    <t xml:space="preserve">Stop TB Diagnostics  catalogue - June 2020 - GXIV-2-D </t>
  </si>
  <si>
    <t xml:space="preserve">StOP TB Diagnostics  catalogue - June 2020 - GXIV-4-L </t>
  </si>
  <si>
    <t xml:space="preserve">StOP TB Diagnostics  catalogue - June 2020 - GXXVI-16-D </t>
  </si>
  <si>
    <t>Stop TB Diagnostics  catalogue - June 2020 - GXXVI-16-L</t>
  </si>
  <si>
    <t>Total Bundled Kit Costs</t>
  </si>
  <si>
    <t>Additional Reagent / Consumable Costs</t>
  </si>
  <si>
    <t xml:space="preserve">Only intended to provide illustrative budget estimates and do not include additonal costs including procurement and supply chain (shipping, freight, clearance, or other related fees), sample transportation materials, other general laboratory commodities, etc. </t>
  </si>
  <si>
    <r>
      <t>cobas 6800 / 8800 system</t>
    </r>
    <r>
      <rPr>
        <vertAlign val="superscript"/>
        <sz val="11"/>
        <color theme="1"/>
        <rFont val="Calibri (Body)"/>
      </rPr>
      <t>3</t>
    </r>
  </si>
  <si>
    <t>variable</t>
  </si>
  <si>
    <t>dependent on product procured</t>
  </si>
  <si>
    <t>dependent on product procured - ranging from $5,000 - &gt;$16,000</t>
  </si>
  <si>
    <t>Illustrative Pricing</t>
  </si>
  <si>
    <r>
      <t>Yes</t>
    </r>
    <r>
      <rPr>
        <vertAlign val="superscript"/>
        <sz val="11"/>
        <color theme="1"/>
        <rFont val="Calibri (Body)"/>
      </rPr>
      <t>4</t>
    </r>
  </si>
  <si>
    <r>
      <t>Yes</t>
    </r>
    <r>
      <rPr>
        <vertAlign val="superscript"/>
        <sz val="11"/>
        <color theme="1"/>
        <rFont val="Calibri (Body)"/>
      </rPr>
      <t>5</t>
    </r>
  </si>
  <si>
    <r>
      <rPr>
        <i/>
        <vertAlign val="superscript"/>
        <sz val="11"/>
        <color theme="1"/>
        <rFont val="1"/>
      </rPr>
      <t>5</t>
    </r>
    <r>
      <rPr>
        <i/>
        <sz val="11"/>
        <color theme="1"/>
        <rFont val="1"/>
      </rPr>
      <t>Only required for tests run on the ABI "FAST" instrumentation</t>
    </r>
  </si>
  <si>
    <r>
      <rPr>
        <i/>
        <vertAlign val="superscript"/>
        <sz val="11"/>
        <color theme="1"/>
        <rFont val="1"/>
      </rPr>
      <t>4</t>
    </r>
    <r>
      <rPr>
        <i/>
        <sz val="11"/>
        <color theme="1"/>
        <rFont val="1"/>
      </rPr>
      <t>Only required for tests run on the ABI "Standard" instrumentation</t>
    </r>
  </si>
  <si>
    <r>
      <rPr>
        <i/>
        <vertAlign val="superscript"/>
        <sz val="10"/>
        <color rgb="FF000000"/>
        <rFont val="Imago"/>
      </rPr>
      <t>2</t>
    </r>
    <r>
      <rPr>
        <i/>
        <sz val="10"/>
        <color rgb="FF000000"/>
        <rFont val="Imago"/>
      </rPr>
      <t>P/N 6438776001 cobas omni Secondary Tubes 13 x 75 mm are shown here for quantity calculation purposes.  These tubes can be sourced from Roche as optional. Most 13x75 mm tube can be used. Please consult your Roche representative to confirm.</t>
    </r>
  </si>
  <si>
    <t>Consult your Thermo Fisher representative for more details</t>
  </si>
  <si>
    <t>Total Tests on FAST instrument</t>
  </si>
  <si>
    <t>Total Tests on Standard instrument</t>
  </si>
  <si>
    <r>
      <t>Magnetic Rack</t>
    </r>
    <r>
      <rPr>
        <vertAlign val="superscript"/>
        <sz val="11"/>
        <color theme="1"/>
        <rFont val="Calibri (Body)"/>
      </rPr>
      <t>2</t>
    </r>
  </si>
  <si>
    <r>
      <t>2</t>
    </r>
    <r>
      <rPr>
        <i/>
        <sz val="11"/>
        <color theme="1"/>
        <rFont val="1"/>
      </rPr>
      <t xml:space="preserve">Initial shipments include magnetic racks for four testing laboratories. If additional laboratories are activated, additional magnetic racks must be procured. </t>
    </r>
  </si>
  <si>
    <r>
      <t>1</t>
    </r>
    <r>
      <rPr>
        <i/>
        <sz val="11"/>
        <color theme="1"/>
        <rFont val="1"/>
      </rPr>
      <t>Shipments procured prior to June 2020 did not include plastics and will require separate procurement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</si>
</sst>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_(&quot;$&quot;* #,##0.00_);_(&quot;$&quot;* \(#,##0.00\);_(&quot;$&quot;* &quot;-&quot;??_);_(@_)"/>
    <numFmt numFmtId="167" formatCode="_(* #,##0.00_);_(* \(#,##0.00\);_(* &quot;-&quot;??_);_(@_)"/>
    <numFmt numFmtId="168" formatCode="&quot;$&quot;#,##0.00"/>
    <numFmt numFmtId="169" formatCode="&quot;$&quot;#,##0"/>
  </numFmts>
  <fonts count="2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12"/>
      <name val="Calibri"/>
      <family val="2"/>
      <scheme val="minor"/>
    </font>
    <font>
      <sz val="11"/>
      <color rgb="FF404040"/>
      <name val="Arial"/>
      <family val="2"/>
    </font>
    <font>
      <sz val="11"/>
      <color rgb="FF000000"/>
      <name val="Arial"/>
      <family val="2"/>
    </font>
    <font>
      <i/>
      <sz val="11"/>
      <color theme="1"/>
      <name val="Calibri"/>
      <family val="2"/>
      <scheme val="minor"/>
    </font>
    <font>
      <sz val="11"/>
      <name val="Calibri"/>
      <family val="2"/>
      <scheme val="minor"/>
    </font>
    <font>
      <b/>
      <sz val="12"/>
      <color theme="9" tint="-0.499984740745262"/>
      <name val="Calibri"/>
      <family val="2"/>
      <scheme val="minor"/>
    </font>
    <font>
      <b/>
      <sz val="11"/>
      <color theme="0"/>
      <name val="Calibri"/>
      <family val="2"/>
      <scheme val="minor"/>
    </font>
    <font>
      <sz val="10"/>
      <color theme="1"/>
      <name val="Calibri"/>
      <family val="2"/>
      <scheme val="minor"/>
    </font>
    <font>
      <sz val="10"/>
      <name val="Arial"/>
      <family val="2"/>
    </font>
    <font>
      <sz val="10"/>
      <color indexed="8"/>
      <name val="Arial"/>
      <family val="2"/>
    </font>
    <font>
      <sz val="10"/>
      <color theme="1"/>
      <name val="Imago"/>
    </font>
    <font>
      <i/>
      <sz val="10"/>
      <color rgb="FF000000"/>
      <name val="Imago"/>
    </font>
    <font>
      <sz val="11"/>
      <color theme="1"/>
      <name val="Calibri"/>
      <family val="2"/>
      <charset val="134"/>
      <scheme val="minor"/>
    </font>
    <font>
      <b/>
      <sz val="10"/>
      <color theme="0"/>
      <name val="Calibri"/>
      <family val="2"/>
      <scheme val="minor"/>
    </font>
    <font>
      <b/>
      <sz val="12"/>
      <color theme="1"/>
      <name val="Calibri"/>
      <family val="2"/>
      <scheme val="minor"/>
    </font>
    <font>
      <vertAlign val="superscript"/>
      <sz val="11"/>
      <color theme="1"/>
      <name val="Calibri (Body)"/>
    </font>
    <font>
      <i/>
      <vertAlign val="superscript"/>
      <sz val="11"/>
      <color theme="1"/>
      <name val="1"/>
    </font>
    <font>
      <i/>
      <sz val="11"/>
      <color theme="1"/>
      <name val="1"/>
    </font>
    <font>
      <b/>
      <sz val="16"/>
      <color theme="1"/>
      <name val="Calibri"/>
      <family val="2"/>
      <scheme val="minor"/>
    </font>
    <font>
      <i/>
      <vertAlign val="superscript"/>
      <sz val="10"/>
      <color rgb="FF000000"/>
      <name val="Imago"/>
    </font>
    <font>
      <sz val="11"/>
      <color rgb="FF000000"/>
      <name val="Calibri"/>
      <family val="2"/>
      <scheme val="minor"/>
    </font>
  </fonts>
  <fills count="12">
    <fill>
      <patternFill patternType="none"/>
    </fill>
    <fill>
      <patternFill patternType="gray125"/>
    </fill>
    <fill>
      <patternFill patternType="solid">
        <fgColor rgb="FFFFEB9C"/>
      </patternFill>
    </fill>
    <fill>
      <patternFill patternType="solid">
        <fgColor theme="4"/>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FFF2CC"/>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8"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left>
      <right style="thin">
        <color theme="1"/>
      </right>
      <top/>
      <bottom/>
      <diagonal/>
    </border>
    <border>
      <left style="thin">
        <color theme="1"/>
      </left>
      <right style="thin">
        <color theme="1"/>
      </right>
      <top style="thin">
        <color indexed="64"/>
      </top>
      <bottom style="thin">
        <color indexed="64"/>
      </bottom>
      <diagonal/>
    </border>
    <border>
      <left style="thin">
        <color theme="1"/>
      </left>
      <right style="thin">
        <color theme="1"/>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0">
    <xf numFmtId="0" fontId="0" fillId="0" borderId="0"/>
    <xf numFmtId="166" fontId="4" fillId="0" borderId="0" applyFont="0" applyFill="0" applyBorder="0" applyAlignment="0" applyProtection="0"/>
    <xf numFmtId="0" fontId="5" fillId="2" borderId="0" applyNumberFormat="0" applyBorder="0" applyAlignment="0" applyProtection="0"/>
    <xf numFmtId="0" fontId="4" fillId="0" borderId="0"/>
    <xf numFmtId="9" fontId="14" fillId="0" borderId="0" applyFont="0" applyFill="0" applyBorder="0" applyAlignment="0" applyProtection="0"/>
    <xf numFmtId="0" fontId="15" fillId="0" borderId="0"/>
    <xf numFmtId="0" fontId="16" fillId="0" borderId="0">
      <alignment vertical="top"/>
    </xf>
    <xf numFmtId="167" fontId="4" fillId="0" borderId="0" applyFont="0" applyFill="0" applyBorder="0" applyAlignment="0" applyProtection="0"/>
    <xf numFmtId="0" fontId="2" fillId="0" borderId="0"/>
    <xf numFmtId="0" fontId="19" fillId="0" borderId="0">
      <alignment vertical="center"/>
    </xf>
  </cellStyleXfs>
  <cellXfs count="135">
    <xf numFmtId="0" fontId="0" fillId="0" borderId="0" xfId="0"/>
    <xf numFmtId="0" fontId="0" fillId="0" borderId="0" xfId="0" applyAlignment="1">
      <alignment horizontal="center"/>
    </xf>
    <xf numFmtId="0" fontId="0" fillId="0" borderId="0" xfId="0" applyAlignment="1"/>
    <xf numFmtId="0" fontId="0" fillId="0" borderId="0" xfId="0" applyFill="1" applyBorder="1" applyAlignment="1">
      <alignment horizontal="left" vertical="top"/>
    </xf>
    <xf numFmtId="0" fontId="0" fillId="0" borderId="0" xfId="0" applyFill="1" applyBorder="1" applyAlignment="1">
      <alignment horizontal="left"/>
    </xf>
    <xf numFmtId="0" fontId="0" fillId="0" borderId="0" xfId="0" applyFill="1" applyBorder="1" applyAlignment="1">
      <alignment vertical="top" wrapText="1"/>
    </xf>
    <xf numFmtId="0" fontId="0" fillId="0" borderId="0" xfId="0" applyFont="1"/>
    <xf numFmtId="1" fontId="0" fillId="0" borderId="0" xfId="0" applyNumberFormat="1" applyAlignment="1">
      <alignment horizontal="center"/>
    </xf>
    <xf numFmtId="0" fontId="0" fillId="0" borderId="0" xfId="0" applyNumberFormat="1" applyAlignment="1">
      <alignment horizontal="center"/>
    </xf>
    <xf numFmtId="1" fontId="0" fillId="0" borderId="0" xfId="0" applyNumberFormat="1" applyFont="1" applyFill="1" applyBorder="1" applyAlignment="1">
      <alignment horizontal="center" wrapText="1"/>
    </xf>
    <xf numFmtId="0" fontId="0" fillId="5" borderId="0" xfId="0" applyFill="1" applyBorder="1" applyAlignment="1">
      <alignment horizontal="left" vertical="top"/>
    </xf>
    <xf numFmtId="1" fontId="0" fillId="5" borderId="0" xfId="0" applyNumberFormat="1" applyFont="1" applyFill="1" applyBorder="1" applyAlignment="1">
      <alignment horizontal="center" wrapText="1"/>
    </xf>
    <xf numFmtId="0" fontId="0" fillId="5" borderId="0" xfId="0" applyFill="1" applyAlignment="1"/>
    <xf numFmtId="166" fontId="0" fillId="5" borderId="0" xfId="1" applyFont="1" applyFill="1" applyAlignment="1"/>
    <xf numFmtId="1" fontId="0" fillId="5" borderId="0" xfId="0" applyNumberFormat="1" applyFill="1" applyAlignment="1">
      <alignment horizontal="center"/>
    </xf>
    <xf numFmtId="0" fontId="0" fillId="5" borderId="0" xfId="0" applyNumberFormat="1" applyFill="1" applyAlignment="1">
      <alignment horizontal="center"/>
    </xf>
    <xf numFmtId="0" fontId="0" fillId="0" borderId="0" xfId="0" applyFill="1" applyBorder="1" applyAlignment="1">
      <alignment horizontal="right"/>
    </xf>
    <xf numFmtId="0" fontId="6" fillId="0" borderId="0" xfId="0" applyFont="1"/>
    <xf numFmtId="166" fontId="0" fillId="0" borderId="0" xfId="0" applyNumberFormat="1"/>
    <xf numFmtId="0" fontId="0" fillId="0" borderId="0" xfId="0" applyFont="1" applyFill="1" applyBorder="1" applyAlignment="1">
      <alignment horizontal="left" vertical="top" wrapText="1"/>
    </xf>
    <xf numFmtId="0" fontId="17" fillId="6" borderId="0" xfId="3" applyFont="1" applyFill="1"/>
    <xf numFmtId="0" fontId="17" fillId="0" borderId="0" xfId="3" applyFont="1"/>
    <xf numFmtId="0" fontId="18" fillId="6" borderId="0" xfId="3" applyFont="1" applyFill="1" applyBorder="1"/>
    <xf numFmtId="0" fontId="0" fillId="8" borderId="0" xfId="0" applyNumberFormat="1" applyFill="1" applyBorder="1" applyAlignment="1">
      <alignment horizontal="center"/>
    </xf>
    <xf numFmtId="0" fontId="0" fillId="5" borderId="0" xfId="0" applyNumberFormat="1" applyFill="1" applyBorder="1" applyAlignment="1">
      <alignment horizontal="center"/>
    </xf>
    <xf numFmtId="0" fontId="0" fillId="5" borderId="3" xfId="0" applyNumberFormat="1" applyFill="1" applyBorder="1" applyAlignment="1">
      <alignment horizontal="center"/>
    </xf>
    <xf numFmtId="166" fontId="0" fillId="5" borderId="3" xfId="0" applyNumberFormat="1" applyFill="1" applyBorder="1" applyAlignment="1">
      <alignment horizontal="right"/>
    </xf>
    <xf numFmtId="166" fontId="0" fillId="5" borderId="3" xfId="0" applyNumberFormat="1" applyFill="1" applyBorder="1" applyAlignment="1"/>
    <xf numFmtId="0" fontId="0" fillId="7" borderId="3" xfId="0" applyNumberFormat="1" applyFill="1" applyBorder="1" applyAlignment="1">
      <alignment horizontal="center"/>
    </xf>
    <xf numFmtId="168" fontId="0" fillId="0" borderId="0" xfId="1" applyNumberFormat="1" applyFont="1" applyAlignment="1">
      <alignment horizontal="right"/>
    </xf>
    <xf numFmtId="168" fontId="0" fillId="5" borderId="0" xfId="1" applyNumberFormat="1" applyFont="1" applyFill="1" applyAlignment="1">
      <alignment horizontal="right"/>
    </xf>
    <xf numFmtId="166" fontId="0" fillId="0" borderId="0" xfId="1" applyFont="1" applyAlignment="1">
      <alignment horizontal="right"/>
    </xf>
    <xf numFmtId="166" fontId="0" fillId="0" borderId="0" xfId="1" applyFont="1" applyFill="1" applyBorder="1" applyAlignment="1">
      <alignment horizontal="right" wrapText="1"/>
    </xf>
    <xf numFmtId="166" fontId="0" fillId="5" borderId="0" xfId="1" applyFont="1" applyFill="1" applyAlignment="1">
      <alignment horizontal="right"/>
    </xf>
    <xf numFmtId="0" fontId="0" fillId="0" borderId="0" xfId="0" applyFill="1" applyBorder="1" applyAlignment="1"/>
    <xf numFmtId="0" fontId="0" fillId="0" borderId="0" xfId="0" applyFill="1" applyBorder="1" applyAlignment="1">
      <alignment horizontal="center" vertical="top"/>
    </xf>
    <xf numFmtId="0" fontId="13" fillId="3" borderId="1" xfId="0" applyFont="1" applyFill="1" applyBorder="1" applyAlignment="1">
      <alignment horizontal="center" vertical="center"/>
    </xf>
    <xf numFmtId="0" fontId="20" fillId="3" borderId="2" xfId="2" applyFont="1" applyFill="1" applyBorder="1" applyAlignment="1">
      <alignment horizontal="center" vertical="center" wrapText="1"/>
    </xf>
    <xf numFmtId="0" fontId="20" fillId="3" borderId="4" xfId="2" applyFont="1" applyFill="1" applyBorder="1" applyAlignment="1">
      <alignment horizontal="center" vertical="center" wrapText="1"/>
    </xf>
    <xf numFmtId="0" fontId="13" fillId="0" borderId="0" xfId="0" applyFont="1"/>
    <xf numFmtId="0" fontId="13" fillId="3" borderId="1" xfId="0" applyFont="1" applyFill="1" applyBorder="1" applyAlignment="1">
      <alignment horizontal="center" vertical="center" wrapText="1"/>
    </xf>
    <xf numFmtId="0" fontId="10" fillId="0" borderId="0" xfId="0" applyFont="1"/>
    <xf numFmtId="0" fontId="21" fillId="0" borderId="0" xfId="0" applyFont="1"/>
    <xf numFmtId="0" fontId="0" fillId="5" borderId="5" xfId="0" applyNumberFormat="1" applyFill="1" applyBorder="1" applyAlignment="1">
      <alignment horizontal="center"/>
    </xf>
    <xf numFmtId="166" fontId="0" fillId="5" borderId="5" xfId="0" applyNumberFormat="1" applyFill="1" applyBorder="1" applyAlignment="1"/>
    <xf numFmtId="0" fontId="0" fillId="0" borderId="0" xfId="0" applyFont="1" applyFill="1" applyBorder="1" applyAlignment="1">
      <alignment horizontal="left" vertical="top"/>
    </xf>
    <xf numFmtId="168" fontId="0" fillId="0" borderId="0" xfId="0" applyNumberFormat="1"/>
    <xf numFmtId="1" fontId="14" fillId="5" borderId="0" xfId="0" applyNumberFormat="1" applyFont="1" applyFill="1" applyBorder="1" applyAlignment="1"/>
    <xf numFmtId="0" fontId="14" fillId="0" borderId="0" xfId="0" applyFont="1"/>
    <xf numFmtId="1" fontId="14" fillId="5" borderId="0" xfId="0" applyNumberFormat="1" applyFont="1" applyFill="1" applyBorder="1" applyAlignment="1">
      <alignment horizontal="left" wrapText="1"/>
    </xf>
    <xf numFmtId="1" fontId="14" fillId="5" borderId="0" xfId="0" applyNumberFormat="1" applyFont="1" applyFill="1" applyBorder="1" applyAlignment="1">
      <alignment horizontal="center" wrapText="1"/>
    </xf>
    <xf numFmtId="0" fontId="14" fillId="5" borderId="0" xfId="0" applyFont="1" applyFill="1" applyBorder="1" applyAlignment="1">
      <alignment horizontal="left" vertical="top"/>
    </xf>
    <xf numFmtId="0" fontId="14" fillId="5" borderId="0" xfId="0" applyFont="1" applyFill="1" applyAlignment="1"/>
    <xf numFmtId="166" fontId="14" fillId="5" borderId="0" xfId="1" applyFont="1" applyFill="1" applyAlignment="1">
      <alignment horizontal="right"/>
    </xf>
    <xf numFmtId="1" fontId="14" fillId="5" borderId="0" xfId="0" applyNumberFormat="1" applyFont="1" applyFill="1" applyAlignment="1">
      <alignment horizontal="center"/>
    </xf>
    <xf numFmtId="0" fontId="14" fillId="5" borderId="3" xfId="0" applyNumberFormat="1" applyFont="1" applyFill="1" applyBorder="1" applyAlignment="1">
      <alignment horizontal="center"/>
    </xf>
    <xf numFmtId="166" fontId="14" fillId="5" borderId="3" xfId="0" applyNumberFormat="1" applyFont="1" applyFill="1" applyBorder="1" applyAlignment="1">
      <alignment horizontal="right"/>
    </xf>
    <xf numFmtId="1" fontId="14" fillId="5" borderId="0" xfId="0" applyNumberFormat="1" applyFont="1" applyFill="1" applyBorder="1" applyAlignment="1">
      <alignment horizontal="left"/>
    </xf>
    <xf numFmtId="0" fontId="10" fillId="0" borderId="0" xfId="0" applyFont="1" applyAlignment="1">
      <alignment horizontal="right"/>
    </xf>
    <xf numFmtId="1" fontId="14" fillId="5" borderId="0" xfId="0" applyNumberFormat="1" applyFont="1" applyFill="1" applyBorder="1" applyAlignment="1">
      <alignment horizontal="center"/>
    </xf>
    <xf numFmtId="166" fontId="0" fillId="7" borderId="3" xfId="0" applyNumberFormat="1" applyFill="1" applyBorder="1" applyAlignment="1"/>
    <xf numFmtId="0" fontId="6" fillId="0" borderId="6" xfId="0" applyFont="1" applyBorder="1" applyAlignment="1">
      <alignment wrapText="1"/>
    </xf>
    <xf numFmtId="0" fontId="0" fillId="0" borderId="8" xfId="0" applyBorder="1"/>
    <xf numFmtId="0" fontId="11" fillId="4" borderId="9" xfId="0" applyFont="1" applyFill="1" applyBorder="1" applyAlignment="1">
      <alignment horizontal="center"/>
    </xf>
    <xf numFmtId="0" fontId="0" fillId="0" borderId="10" xfId="0" applyBorder="1"/>
    <xf numFmtId="0" fontId="11" fillId="7" borderId="11" xfId="0" applyFont="1" applyFill="1" applyBorder="1" applyAlignment="1">
      <alignment horizontal="center"/>
    </xf>
    <xf numFmtId="168" fontId="0" fillId="5" borderId="12" xfId="1" applyNumberFormat="1" applyFont="1" applyFill="1" applyBorder="1" applyAlignment="1">
      <alignment horizontal="right" wrapText="1"/>
    </xf>
    <xf numFmtId="168" fontId="0" fillId="5" borderId="0" xfId="1" applyNumberFormat="1" applyFont="1" applyFill="1" applyBorder="1" applyAlignment="1">
      <alignment horizontal="right"/>
    </xf>
    <xf numFmtId="168" fontId="0" fillId="0" borderId="12" xfId="1" applyNumberFormat="1" applyFont="1" applyFill="1" applyBorder="1" applyAlignment="1">
      <alignment horizontal="right" wrapText="1"/>
    </xf>
    <xf numFmtId="168" fontId="0" fillId="0" borderId="0" xfId="1" applyNumberFormat="1" applyFont="1" applyBorder="1" applyAlignment="1">
      <alignment horizontal="right"/>
    </xf>
    <xf numFmtId="1" fontId="0" fillId="5" borderId="12" xfId="0" applyNumberFormat="1" applyFill="1" applyBorder="1" applyAlignment="1">
      <alignment horizontal="center"/>
    </xf>
    <xf numFmtId="1" fontId="0" fillId="5" borderId="0" xfId="0" applyNumberFormat="1" applyFill="1" applyBorder="1" applyAlignment="1">
      <alignment horizontal="center"/>
    </xf>
    <xf numFmtId="166" fontId="0" fillId="7" borderId="3" xfId="0" applyNumberFormat="1" applyFill="1" applyBorder="1" applyAlignment="1">
      <alignment horizontal="right"/>
    </xf>
    <xf numFmtId="166" fontId="0" fillId="5" borderId="12" xfId="1" applyFont="1" applyFill="1" applyBorder="1" applyAlignment="1">
      <alignment horizontal="right" wrapText="1"/>
    </xf>
    <xf numFmtId="166" fontId="0" fillId="5" borderId="0" xfId="1" applyFont="1" applyFill="1" applyBorder="1" applyAlignment="1">
      <alignment horizontal="right"/>
    </xf>
    <xf numFmtId="166" fontId="0" fillId="0" borderId="12" xfId="1" applyFont="1" applyFill="1" applyBorder="1" applyAlignment="1">
      <alignment horizontal="left" wrapText="1"/>
    </xf>
    <xf numFmtId="166" fontId="0" fillId="0" borderId="0" xfId="1" applyFont="1" applyBorder="1" applyAlignment="1"/>
    <xf numFmtId="166" fontId="0" fillId="5" borderId="12" xfId="1" applyFont="1" applyFill="1" applyBorder="1" applyAlignment="1">
      <alignment horizontal="left" wrapText="1"/>
    </xf>
    <xf numFmtId="166" fontId="0" fillId="5" borderId="0" xfId="1" applyFont="1" applyFill="1" applyBorder="1" applyAlignment="1"/>
    <xf numFmtId="0" fontId="23" fillId="6" borderId="0" xfId="3" applyFont="1" applyFill="1"/>
    <xf numFmtId="0" fontId="0" fillId="4" borderId="0" xfId="0" applyFill="1" applyBorder="1" applyAlignment="1">
      <alignment horizontal="right"/>
    </xf>
    <xf numFmtId="0" fontId="0" fillId="10" borderId="0" xfId="0" applyFill="1"/>
    <xf numFmtId="0" fontId="13" fillId="10" borderId="0" xfId="0" applyFont="1" applyFill="1"/>
    <xf numFmtId="0" fontId="10" fillId="0" borderId="0" xfId="0" applyFont="1" applyFill="1" applyBorder="1" applyAlignment="1">
      <alignment horizontal="left"/>
    </xf>
    <xf numFmtId="0" fontId="21" fillId="11" borderId="0" xfId="0" applyFont="1" applyFill="1"/>
    <xf numFmtId="0" fontId="0" fillId="11" borderId="0" xfId="0" applyFill="1" applyBorder="1" applyAlignment="1">
      <alignment horizontal="right"/>
    </xf>
    <xf numFmtId="0" fontId="0" fillId="11" borderId="0" xfId="0" applyFill="1"/>
    <xf numFmtId="0" fontId="13" fillId="11" borderId="0" xfId="0" applyFont="1" applyFill="1"/>
    <xf numFmtId="0" fontId="0" fillId="0" borderId="1" xfId="0" applyBorder="1"/>
    <xf numFmtId="0" fontId="0" fillId="0" borderId="1" xfId="0" applyFont="1" applyBorder="1"/>
    <xf numFmtId="0" fontId="0" fillId="0" borderId="1" xfId="0" applyFill="1" applyBorder="1" applyAlignment="1">
      <alignment horizontal="left" wrapText="1"/>
    </xf>
    <xf numFmtId="0" fontId="0" fillId="0" borderId="1" xfId="0" applyFont="1" applyFill="1" applyBorder="1" applyAlignment="1">
      <alignment horizontal="left"/>
    </xf>
    <xf numFmtId="166" fontId="0" fillId="0" borderId="1" xfId="1" applyFont="1" applyBorder="1"/>
    <xf numFmtId="165" fontId="0" fillId="0" borderId="1" xfId="1" applyNumberFormat="1" applyFont="1" applyBorder="1"/>
    <xf numFmtId="0" fontId="3" fillId="0" borderId="1" xfId="0" applyFont="1" applyFill="1" applyBorder="1" applyAlignment="1">
      <alignment horizontal="left"/>
    </xf>
    <xf numFmtId="0" fontId="0" fillId="0" borderId="1" xfId="0" applyFont="1" applyFill="1" applyBorder="1" applyAlignment="1">
      <alignment horizontal="left" wrapText="1"/>
    </xf>
    <xf numFmtId="0" fontId="0" fillId="0" borderId="1" xfId="0" applyFill="1" applyBorder="1" applyAlignment="1">
      <alignment vertical="center" wrapText="1"/>
    </xf>
    <xf numFmtId="0" fontId="0" fillId="0" borderId="1" xfId="0" applyFill="1" applyBorder="1" applyAlignment="1">
      <alignment horizontal="left"/>
    </xf>
    <xf numFmtId="1" fontId="0" fillId="0" borderId="1" xfId="0" applyNumberFormat="1" applyBorder="1"/>
    <xf numFmtId="165" fontId="9" fillId="0" borderId="1" xfId="0" applyNumberFormat="1" applyFont="1" applyBorder="1"/>
    <xf numFmtId="164" fontId="0" fillId="0" borderId="1" xfId="0" applyNumberFormat="1" applyBorder="1"/>
    <xf numFmtId="0" fontId="8" fillId="0" borderId="1" xfId="0" applyFont="1" applyBorder="1"/>
    <xf numFmtId="0" fontId="0" fillId="0" borderId="1" xfId="0" applyFill="1"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vertical="center"/>
    </xf>
    <xf numFmtId="0" fontId="0" fillId="0" borderId="1" xfId="0" applyFont="1" applyFill="1" applyBorder="1" applyAlignment="1">
      <alignment horizontal="left" vertical="top" wrapText="1"/>
    </xf>
    <xf numFmtId="0" fontId="6" fillId="0" borderId="1" xfId="0" applyFont="1" applyBorder="1"/>
    <xf numFmtId="0" fontId="0" fillId="9" borderId="1" xfId="0" applyFill="1" applyBorder="1"/>
    <xf numFmtId="0" fontId="0" fillId="9" borderId="1" xfId="0" applyFont="1" applyFill="1" applyBorder="1"/>
    <xf numFmtId="0" fontId="12" fillId="0" borderId="7" xfId="0" applyFont="1" applyBorder="1" applyAlignment="1">
      <alignment horizontal="center" vertical="center" wrapText="1"/>
    </xf>
    <xf numFmtId="169" fontId="11" fillId="7" borderId="9" xfId="0" applyNumberFormat="1" applyFont="1" applyFill="1" applyBorder="1" applyAlignment="1">
      <alignment horizontal="center"/>
    </xf>
    <xf numFmtId="169" fontId="11" fillId="7" borderId="11" xfId="0" applyNumberFormat="1" applyFont="1" applyFill="1" applyBorder="1" applyAlignment="1">
      <alignment horizontal="center"/>
    </xf>
    <xf numFmtId="165" fontId="0" fillId="0" borderId="12" xfId="1" applyNumberFormat="1" applyFont="1" applyFill="1" applyBorder="1" applyAlignment="1">
      <alignment horizontal="right" wrapText="1"/>
    </xf>
    <xf numFmtId="166" fontId="0" fillId="0" borderId="12" xfId="1" applyFont="1" applyFill="1" applyBorder="1" applyAlignment="1">
      <alignment horizontal="right" wrapText="1"/>
    </xf>
    <xf numFmtId="0" fontId="24" fillId="6" borderId="0" xfId="3" applyFont="1" applyFill="1"/>
    <xf numFmtId="166" fontId="14" fillId="5" borderId="12" xfId="1" applyFont="1" applyFill="1" applyBorder="1" applyAlignment="1">
      <alignment horizontal="right" wrapText="1"/>
    </xf>
    <xf numFmtId="0" fontId="14" fillId="10" borderId="0" xfId="0" applyFont="1" applyFill="1"/>
    <xf numFmtId="168" fontId="0" fillId="7" borderId="3" xfId="0" applyNumberFormat="1" applyFill="1" applyBorder="1" applyAlignment="1"/>
    <xf numFmtId="0" fontId="0" fillId="0" borderId="1" xfId="0" applyBorder="1" applyAlignment="1"/>
    <xf numFmtId="166" fontId="0" fillId="0" borderId="1" xfId="1" applyFont="1" applyBorder="1" applyAlignment="1"/>
    <xf numFmtId="0" fontId="0" fillId="0" borderId="1" xfId="0" applyFont="1" applyBorder="1" applyAlignment="1"/>
    <xf numFmtId="168" fontId="0" fillId="8" borderId="12" xfId="1" applyNumberFormat="1" applyFont="1" applyFill="1" applyBorder="1" applyAlignment="1">
      <alignment horizontal="right" wrapText="1"/>
    </xf>
    <xf numFmtId="0" fontId="27" fillId="0" borderId="18" xfId="0" applyFont="1" applyBorder="1"/>
    <xf numFmtId="0" fontId="27" fillId="0" borderId="19" xfId="0" applyFont="1" applyBorder="1"/>
    <xf numFmtId="0" fontId="27" fillId="0" borderId="20" xfId="0" applyFont="1" applyBorder="1"/>
    <xf numFmtId="0" fontId="27" fillId="0" borderId="21" xfId="0" applyFont="1" applyBorder="1"/>
    <xf numFmtId="0" fontId="25" fillId="0" borderId="13" xfId="0" applyFont="1" applyBorder="1" applyAlignment="1">
      <alignment horizontal="left"/>
    </xf>
    <xf numFmtId="0" fontId="6" fillId="0" borderId="6" xfId="0" applyFont="1" applyBorder="1" applyAlignment="1">
      <alignment wrapText="1"/>
    </xf>
    <xf numFmtId="0" fontId="6" fillId="0" borderId="14" xfId="0" applyFont="1" applyBorder="1" applyAlignment="1">
      <alignment wrapText="1"/>
    </xf>
    <xf numFmtId="0" fontId="6" fillId="0" borderId="16" xfId="0" applyFont="1" applyBorder="1" applyAlignment="1">
      <alignment wrapText="1"/>
    </xf>
    <xf numFmtId="0" fontId="6" fillId="0" borderId="17" xfId="0" applyFont="1" applyBorder="1" applyAlignment="1">
      <alignment wrapText="1"/>
    </xf>
    <xf numFmtId="0" fontId="0" fillId="0" borderId="10" xfId="0" applyBorder="1"/>
    <xf numFmtId="0" fontId="0" fillId="0" borderId="15" xfId="0" applyBorder="1"/>
    <xf numFmtId="0" fontId="0" fillId="0" borderId="8" xfId="0" applyBorder="1"/>
    <xf numFmtId="0" fontId="0" fillId="0" borderId="1" xfId="0" applyBorder="1"/>
  </cellXfs>
  <cellStyles count="10">
    <cellStyle name="Comma 2" xfId="7" xr:uid="{13FDE7E5-4F2C-0949-9534-69710C7FECE9}"/>
    <cellStyle name="Currency" xfId="1" builtinId="4"/>
    <cellStyle name="Neutral" xfId="2" builtinId="28"/>
    <cellStyle name="Normal" xfId="0" builtinId="0"/>
    <cellStyle name="Normal 2 12" xfId="3" xr:uid="{C879ED6C-94B5-8145-A49B-F5CC26797B7A}"/>
    <cellStyle name="Normal 2 2" xfId="5" xr:uid="{6F849B22-635E-8C48-BE00-C81211F11BF3}"/>
    <cellStyle name="Normal 25" xfId="8" xr:uid="{5D369FC4-7F6F-6B4E-96CE-BCC954DEE63F}"/>
    <cellStyle name="Normal 8 2" xfId="6" xr:uid="{FAFFE7BD-3BC5-8042-AD81-6ECD24342292}"/>
    <cellStyle name="Percent 2 3 2" xfId="4" xr:uid="{6F8F01A0-CC39-7D47-A6D4-C587F1151B12}"/>
    <cellStyle name="常规 2 2" xfId="9" xr:uid="{B49892CF-90E3-2343-A958-B926CD84C372}"/>
  </cellStyles>
  <dxfs count="10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5" Type="http://schemas.openxmlformats.org/officeDocument/2006/relationships/worksheet" Target="worksheets/sheet5.xml" /><Relationship Id="rId10" Type="http://schemas.openxmlformats.org/officeDocument/2006/relationships/calcChain" Target="calcChain.xml" /><Relationship Id="rId4" Type="http://schemas.openxmlformats.org/officeDocument/2006/relationships/worksheet" Target="worksheets/sheet4.xml" /><Relationship Id="rId9"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BAEBD-D577-4B1A-A187-22FCEF66E3D5}">
  <dimension ref="A2:I55"/>
  <sheetViews>
    <sheetView showGridLines="0" tabSelected="1" workbookViewId="0">
      <selection activeCell="C12" sqref="C12"/>
    </sheetView>
  </sheetViews>
  <sheetFormatPr defaultColWidth="8.875" defaultRowHeight="15" x14ac:dyDescent="0.2"/>
  <cols>
    <col min="1" max="1" width="4.03515625" customWidth="1"/>
    <col min="2" max="2" width="31.87890625" customWidth="1"/>
    <col min="3" max="3" width="41.1640625" customWidth="1"/>
    <col min="4" max="4" width="13.71875" customWidth="1"/>
    <col min="5" max="5" width="11.43359375" bestFit="1" customWidth="1"/>
    <col min="6" max="6" width="57.7109375" style="6" customWidth="1"/>
  </cols>
  <sheetData>
    <row r="2" spans="2:6" x14ac:dyDescent="0.2">
      <c r="B2" s="107" t="s">
        <v>0</v>
      </c>
      <c r="C2" s="107" t="s">
        <v>28</v>
      </c>
      <c r="D2" s="107" t="s">
        <v>41</v>
      </c>
      <c r="E2" s="107" t="s">
        <v>29</v>
      </c>
      <c r="F2" s="108" t="s">
        <v>30</v>
      </c>
    </row>
    <row r="3" spans="2:6" x14ac:dyDescent="0.2">
      <c r="B3" s="90" t="s">
        <v>1</v>
      </c>
      <c r="C3" s="91" t="s">
        <v>62</v>
      </c>
      <c r="D3" s="88">
        <v>1</v>
      </c>
      <c r="E3" s="92">
        <v>15</v>
      </c>
      <c r="F3" s="89" t="s">
        <v>57</v>
      </c>
    </row>
    <row r="4" spans="2:6" x14ac:dyDescent="0.2">
      <c r="B4" s="90" t="s">
        <v>1</v>
      </c>
      <c r="C4" s="91" t="s">
        <v>65</v>
      </c>
      <c r="D4" s="88">
        <v>1</v>
      </c>
      <c r="E4" s="93">
        <v>15.21</v>
      </c>
      <c r="F4" s="89" t="s">
        <v>68</v>
      </c>
    </row>
    <row r="5" spans="2:6" x14ac:dyDescent="0.2">
      <c r="B5" s="90" t="s">
        <v>1</v>
      </c>
      <c r="C5" s="91" t="s">
        <v>66</v>
      </c>
      <c r="D5" s="88">
        <v>1</v>
      </c>
      <c r="E5" s="93">
        <v>19.8</v>
      </c>
      <c r="F5" s="89" t="s">
        <v>68</v>
      </c>
    </row>
    <row r="6" spans="2:6" x14ac:dyDescent="0.2">
      <c r="B6" s="90" t="s">
        <v>1</v>
      </c>
      <c r="C6" s="91" t="s">
        <v>67</v>
      </c>
      <c r="D6" s="88">
        <v>1</v>
      </c>
      <c r="E6" s="93">
        <v>19</v>
      </c>
      <c r="F6" s="89" t="s">
        <v>191</v>
      </c>
    </row>
    <row r="7" spans="2:6" x14ac:dyDescent="0.2">
      <c r="B7" s="90" t="s">
        <v>1</v>
      </c>
      <c r="C7" s="94" t="s">
        <v>71</v>
      </c>
      <c r="D7" s="88">
        <v>1</v>
      </c>
      <c r="E7" s="93">
        <f>E4</f>
        <v>15.21</v>
      </c>
      <c r="F7" s="89" t="s">
        <v>72</v>
      </c>
    </row>
    <row r="8" spans="2:6" ht="55.5" x14ac:dyDescent="0.2">
      <c r="B8" s="90" t="s">
        <v>1</v>
      </c>
      <c r="C8" s="95" t="s">
        <v>61</v>
      </c>
      <c r="D8" s="88">
        <v>1</v>
      </c>
      <c r="E8" s="92">
        <v>0</v>
      </c>
      <c r="F8" s="89" t="s">
        <v>57</v>
      </c>
    </row>
    <row r="9" spans="2:6" x14ac:dyDescent="0.2">
      <c r="B9" s="96" t="s">
        <v>2</v>
      </c>
      <c r="C9" s="97" t="s">
        <v>3</v>
      </c>
      <c r="D9" s="98">
        <f>1000*(94/96)</f>
        <v>979.16666666666663</v>
      </c>
      <c r="E9" s="99">
        <v>2060</v>
      </c>
      <c r="F9" s="89" t="s">
        <v>51</v>
      </c>
    </row>
    <row r="10" spans="2:6" x14ac:dyDescent="0.2">
      <c r="B10" s="96" t="s">
        <v>2</v>
      </c>
      <c r="C10" s="97" t="s">
        <v>4</v>
      </c>
      <c r="D10" s="88">
        <v>250</v>
      </c>
      <c r="E10" s="100">
        <v>1170</v>
      </c>
      <c r="F10" s="89" t="s">
        <v>50</v>
      </c>
    </row>
    <row r="11" spans="2:6" x14ac:dyDescent="0.2">
      <c r="B11" s="96" t="s">
        <v>2</v>
      </c>
      <c r="C11" s="97" t="s">
        <v>48</v>
      </c>
      <c r="D11" s="101" t="s">
        <v>49</v>
      </c>
      <c r="E11" s="100">
        <v>477</v>
      </c>
      <c r="F11" s="89" t="s">
        <v>50</v>
      </c>
    </row>
    <row r="12" spans="2:6" x14ac:dyDescent="0.2">
      <c r="B12" s="102" t="s">
        <v>5</v>
      </c>
      <c r="C12" s="103" t="s">
        <v>6</v>
      </c>
      <c r="D12" s="88"/>
      <c r="E12" s="88"/>
      <c r="F12" s="89"/>
    </row>
    <row r="13" spans="2:6" x14ac:dyDescent="0.2">
      <c r="B13" s="102" t="s">
        <v>5</v>
      </c>
      <c r="C13" s="103" t="s">
        <v>235</v>
      </c>
      <c r="D13" s="88" t="s">
        <v>236</v>
      </c>
      <c r="E13" s="88">
        <v>76.400000000000006</v>
      </c>
      <c r="F13" s="88" t="s">
        <v>238</v>
      </c>
    </row>
    <row r="14" spans="2:6" x14ac:dyDescent="0.2">
      <c r="B14" s="102" t="s">
        <v>5</v>
      </c>
      <c r="C14" s="103" t="s">
        <v>45</v>
      </c>
      <c r="D14" s="88" t="s">
        <v>46</v>
      </c>
      <c r="E14" s="88">
        <v>18.59</v>
      </c>
      <c r="F14" s="89" t="s">
        <v>47</v>
      </c>
    </row>
    <row r="15" spans="2:6" x14ac:dyDescent="0.2">
      <c r="B15" s="102" t="s">
        <v>5</v>
      </c>
      <c r="C15" s="103" t="s">
        <v>7</v>
      </c>
      <c r="D15" s="88"/>
      <c r="E15" s="88"/>
      <c r="F15" s="89"/>
    </row>
    <row r="16" spans="2:6" x14ac:dyDescent="0.2">
      <c r="B16" s="102" t="s">
        <v>5</v>
      </c>
      <c r="C16" s="103" t="s">
        <v>32</v>
      </c>
      <c r="D16" s="88">
        <v>500</v>
      </c>
      <c r="E16" s="92">
        <v>1.17</v>
      </c>
      <c r="F16" s="89" t="s">
        <v>57</v>
      </c>
    </row>
    <row r="17" spans="1:6" x14ac:dyDescent="0.2">
      <c r="B17" s="102" t="s">
        <v>5</v>
      </c>
      <c r="C17" s="103" t="s">
        <v>39</v>
      </c>
      <c r="D17" s="88">
        <v>1000</v>
      </c>
      <c r="E17" s="92">
        <v>4</v>
      </c>
      <c r="F17" s="89" t="s">
        <v>57</v>
      </c>
    </row>
    <row r="18" spans="1:6" x14ac:dyDescent="0.2">
      <c r="B18" s="96" t="s">
        <v>8</v>
      </c>
      <c r="C18" s="103" t="s">
        <v>9</v>
      </c>
      <c r="D18" s="88">
        <v>1000</v>
      </c>
      <c r="E18" s="92">
        <v>54.43</v>
      </c>
      <c r="F18" s="89" t="s">
        <v>57</v>
      </c>
    </row>
    <row r="19" spans="1:6" x14ac:dyDescent="0.2">
      <c r="B19" s="96" t="s">
        <v>8</v>
      </c>
      <c r="C19" s="103" t="s">
        <v>10</v>
      </c>
      <c r="D19" s="88">
        <v>500</v>
      </c>
      <c r="E19" s="92">
        <v>108.12</v>
      </c>
      <c r="F19" s="89" t="s">
        <v>44</v>
      </c>
    </row>
    <row r="20" spans="1:6" x14ac:dyDescent="0.2">
      <c r="B20" s="96" t="s">
        <v>8</v>
      </c>
      <c r="C20" s="103" t="s">
        <v>11</v>
      </c>
      <c r="D20" s="88">
        <v>25</v>
      </c>
      <c r="E20" s="92">
        <v>127</v>
      </c>
      <c r="F20" s="89" t="s">
        <v>51</v>
      </c>
    </row>
    <row r="21" spans="1:6" x14ac:dyDescent="0.2">
      <c r="B21" s="96" t="s">
        <v>8</v>
      </c>
      <c r="C21" s="103" t="s">
        <v>12</v>
      </c>
      <c r="D21" s="88">
        <v>250</v>
      </c>
      <c r="E21" s="92">
        <v>239</v>
      </c>
      <c r="F21" s="89" t="s">
        <v>51</v>
      </c>
    </row>
    <row r="22" spans="1:6" x14ac:dyDescent="0.2">
      <c r="B22" s="102" t="s">
        <v>82</v>
      </c>
      <c r="C22" s="88" t="s">
        <v>83</v>
      </c>
      <c r="D22" s="88" t="s">
        <v>180</v>
      </c>
      <c r="E22" s="92">
        <v>317</v>
      </c>
      <c r="F22" s="89" t="s">
        <v>51</v>
      </c>
    </row>
    <row r="23" spans="1:6" x14ac:dyDescent="0.2">
      <c r="B23" s="102" t="s">
        <v>82</v>
      </c>
      <c r="C23" s="88" t="s">
        <v>84</v>
      </c>
      <c r="D23" s="88"/>
      <c r="E23" s="88"/>
      <c r="F23" s="88"/>
    </row>
    <row r="24" spans="1:6" x14ac:dyDescent="0.2">
      <c r="B24" s="102" t="s">
        <v>82</v>
      </c>
      <c r="C24" s="103" t="s">
        <v>36</v>
      </c>
      <c r="D24" s="88">
        <v>50</v>
      </c>
      <c r="E24" s="92">
        <v>2.95</v>
      </c>
      <c r="F24" s="89" t="s">
        <v>57</v>
      </c>
    </row>
    <row r="25" spans="1:6" x14ac:dyDescent="0.2">
      <c r="B25" s="102" t="s">
        <v>82</v>
      </c>
      <c r="C25" s="103" t="s">
        <v>37</v>
      </c>
      <c r="D25" s="88">
        <v>30</v>
      </c>
      <c r="E25" s="92">
        <v>25.5</v>
      </c>
      <c r="F25" s="89" t="s">
        <v>57</v>
      </c>
    </row>
    <row r="26" spans="1:6" x14ac:dyDescent="0.2">
      <c r="B26" s="102" t="s">
        <v>82</v>
      </c>
      <c r="C26" s="103" t="s">
        <v>31</v>
      </c>
      <c r="D26" s="88">
        <v>20</v>
      </c>
      <c r="E26" s="92">
        <v>80</v>
      </c>
      <c r="F26" s="89" t="s">
        <v>57</v>
      </c>
    </row>
    <row r="27" spans="1:6" x14ac:dyDescent="0.2">
      <c r="A27" t="s">
        <v>42</v>
      </c>
      <c r="B27" s="102" t="s">
        <v>82</v>
      </c>
      <c r="C27" s="103" t="s">
        <v>33</v>
      </c>
      <c r="D27" s="88">
        <v>100</v>
      </c>
      <c r="E27" s="92">
        <v>10.39</v>
      </c>
      <c r="F27" s="89" t="s">
        <v>57</v>
      </c>
    </row>
    <row r="28" spans="1:6" x14ac:dyDescent="0.2">
      <c r="B28" s="96" t="s">
        <v>13</v>
      </c>
      <c r="C28" s="103" t="s">
        <v>14</v>
      </c>
      <c r="D28" s="88">
        <v>1</v>
      </c>
      <c r="E28" s="92">
        <v>256.82</v>
      </c>
      <c r="F28" s="89" t="s">
        <v>44</v>
      </c>
    </row>
    <row r="29" spans="1:6" x14ac:dyDescent="0.2">
      <c r="B29" s="96" t="s">
        <v>13</v>
      </c>
      <c r="C29" s="103" t="s">
        <v>15</v>
      </c>
      <c r="D29" s="88">
        <v>1</v>
      </c>
      <c r="E29" s="92">
        <v>2026.94</v>
      </c>
      <c r="F29" s="89" t="s">
        <v>44</v>
      </c>
    </row>
    <row r="30" spans="1:6" x14ac:dyDescent="0.2">
      <c r="B30" s="96" t="s">
        <v>13</v>
      </c>
      <c r="C30" s="103" t="s">
        <v>16</v>
      </c>
      <c r="D30" s="88">
        <v>1</v>
      </c>
      <c r="E30" s="92">
        <v>226.94</v>
      </c>
      <c r="F30" s="89" t="s">
        <v>44</v>
      </c>
    </row>
    <row r="31" spans="1:6" x14ac:dyDescent="0.2">
      <c r="B31" s="96" t="s">
        <v>13</v>
      </c>
      <c r="C31" s="103" t="s">
        <v>17</v>
      </c>
      <c r="D31" s="88">
        <v>1</v>
      </c>
      <c r="E31" s="92">
        <v>242</v>
      </c>
      <c r="F31" s="89" t="s">
        <v>51</v>
      </c>
    </row>
    <row r="32" spans="1:6" x14ac:dyDescent="0.2">
      <c r="B32" s="96" t="s">
        <v>13</v>
      </c>
      <c r="C32" s="103" t="s">
        <v>18</v>
      </c>
      <c r="D32" s="88">
        <v>1</v>
      </c>
      <c r="E32" s="92">
        <v>3.61</v>
      </c>
      <c r="F32" s="89" t="s">
        <v>44</v>
      </c>
    </row>
    <row r="33" spans="2:6" x14ac:dyDescent="0.2">
      <c r="B33" s="96" t="s">
        <v>13</v>
      </c>
      <c r="C33" s="103" t="s">
        <v>59</v>
      </c>
      <c r="D33" s="88">
        <v>1</v>
      </c>
      <c r="E33" s="92">
        <v>176</v>
      </c>
      <c r="F33" s="89" t="s">
        <v>60</v>
      </c>
    </row>
    <row r="34" spans="2:6" x14ac:dyDescent="0.2">
      <c r="B34" s="96" t="s">
        <v>13</v>
      </c>
      <c r="C34" s="103" t="s">
        <v>19</v>
      </c>
      <c r="D34" s="88">
        <v>1</v>
      </c>
      <c r="E34" s="92" t="s">
        <v>293</v>
      </c>
      <c r="F34" s="89" t="s">
        <v>294</v>
      </c>
    </row>
    <row r="35" spans="2:6" x14ac:dyDescent="0.2">
      <c r="B35" s="96" t="s">
        <v>13</v>
      </c>
      <c r="C35" s="103" t="s">
        <v>20</v>
      </c>
      <c r="D35" s="88">
        <v>1</v>
      </c>
      <c r="E35" s="92" t="s">
        <v>293</v>
      </c>
      <c r="F35" s="89" t="s">
        <v>295</v>
      </c>
    </row>
    <row r="36" spans="2:6" x14ac:dyDescent="0.2">
      <c r="B36" s="96" t="s">
        <v>13</v>
      </c>
      <c r="C36" s="103" t="s">
        <v>77</v>
      </c>
      <c r="D36" s="88">
        <v>1</v>
      </c>
      <c r="E36" s="92">
        <v>383</v>
      </c>
      <c r="F36" s="89" t="s">
        <v>79</v>
      </c>
    </row>
    <row r="37" spans="2:6" x14ac:dyDescent="0.2">
      <c r="B37" s="96" t="s">
        <v>13</v>
      </c>
      <c r="C37" s="103" t="s">
        <v>78</v>
      </c>
      <c r="D37" s="88">
        <v>1</v>
      </c>
      <c r="E37" s="92">
        <v>648</v>
      </c>
      <c r="F37" s="89" t="s">
        <v>80</v>
      </c>
    </row>
    <row r="38" spans="2:6" ht="17.25" x14ac:dyDescent="0.2">
      <c r="B38" s="96" t="s">
        <v>13</v>
      </c>
      <c r="C38" s="103" t="s">
        <v>246</v>
      </c>
      <c r="D38" s="88">
        <v>1</v>
      </c>
      <c r="E38" s="92">
        <v>500</v>
      </c>
      <c r="F38" s="89" t="s">
        <v>198</v>
      </c>
    </row>
    <row r="39" spans="2:6" x14ac:dyDescent="0.2">
      <c r="B39" s="96" t="s">
        <v>13</v>
      </c>
      <c r="C39" s="97" t="s">
        <v>21</v>
      </c>
      <c r="D39" s="88"/>
      <c r="E39" s="88"/>
      <c r="F39" s="89"/>
    </row>
    <row r="40" spans="2:6" x14ac:dyDescent="0.2">
      <c r="B40" s="96" t="s">
        <v>13</v>
      </c>
      <c r="C40" s="103" t="s">
        <v>228</v>
      </c>
      <c r="D40" s="88">
        <v>1</v>
      </c>
      <c r="E40" s="92">
        <v>75</v>
      </c>
      <c r="F40" s="89" t="s">
        <v>230</v>
      </c>
    </row>
    <row r="41" spans="2:6" x14ac:dyDescent="0.2">
      <c r="B41" s="96" t="s">
        <v>13</v>
      </c>
      <c r="C41" s="103" t="s">
        <v>229</v>
      </c>
      <c r="D41" s="88">
        <v>1</v>
      </c>
      <c r="E41" s="92">
        <v>76</v>
      </c>
      <c r="F41" s="89" t="s">
        <v>231</v>
      </c>
    </row>
    <row r="42" spans="2:6" s="2" customFormat="1" x14ac:dyDescent="0.2">
      <c r="B42" s="104" t="s">
        <v>13</v>
      </c>
      <c r="C42" s="103" t="s">
        <v>266</v>
      </c>
      <c r="D42" s="118">
        <v>1</v>
      </c>
      <c r="E42" s="119">
        <v>8945</v>
      </c>
      <c r="F42" s="120" t="s">
        <v>284</v>
      </c>
    </row>
    <row r="43" spans="2:6" x14ac:dyDescent="0.2">
      <c r="B43" s="96" t="s">
        <v>13</v>
      </c>
      <c r="C43" s="103" t="s">
        <v>267</v>
      </c>
      <c r="D43" s="88">
        <v>1</v>
      </c>
      <c r="E43" s="92">
        <v>11780</v>
      </c>
      <c r="F43" s="89" t="s">
        <v>285</v>
      </c>
    </row>
    <row r="44" spans="2:6" x14ac:dyDescent="0.2">
      <c r="B44" s="96" t="s">
        <v>13</v>
      </c>
      <c r="C44" s="103" t="s">
        <v>268</v>
      </c>
      <c r="D44" s="88">
        <v>1</v>
      </c>
      <c r="E44" s="92">
        <v>12280</v>
      </c>
      <c r="F44" s="89" t="s">
        <v>269</v>
      </c>
    </row>
    <row r="45" spans="2:6" x14ac:dyDescent="0.2">
      <c r="B45" s="96" t="s">
        <v>13</v>
      </c>
      <c r="C45" s="103" t="s">
        <v>270</v>
      </c>
      <c r="D45" s="88">
        <v>1</v>
      </c>
      <c r="E45" s="92">
        <v>17000</v>
      </c>
      <c r="F45" s="89" t="s">
        <v>271</v>
      </c>
    </row>
    <row r="46" spans="2:6" x14ac:dyDescent="0.2">
      <c r="B46" s="96" t="s">
        <v>13</v>
      </c>
      <c r="C46" s="103" t="s">
        <v>272</v>
      </c>
      <c r="D46" s="88">
        <v>1</v>
      </c>
      <c r="E46" s="92">
        <v>17500</v>
      </c>
      <c r="F46" s="89" t="s">
        <v>286</v>
      </c>
    </row>
    <row r="47" spans="2:6" x14ac:dyDescent="0.2">
      <c r="B47" s="96" t="s">
        <v>13</v>
      </c>
      <c r="C47" s="103" t="s">
        <v>274</v>
      </c>
      <c r="D47" s="88">
        <v>1</v>
      </c>
      <c r="E47" s="92">
        <v>63850</v>
      </c>
      <c r="F47" s="89" t="s">
        <v>287</v>
      </c>
    </row>
    <row r="48" spans="2:6" x14ac:dyDescent="0.2">
      <c r="B48" s="96" t="s">
        <v>13</v>
      </c>
      <c r="C48" s="103" t="s">
        <v>276</v>
      </c>
      <c r="D48" s="88">
        <v>1</v>
      </c>
      <c r="E48" s="92">
        <v>64350</v>
      </c>
      <c r="F48" s="89" t="s">
        <v>288</v>
      </c>
    </row>
    <row r="49" spans="2:9" x14ac:dyDescent="0.2">
      <c r="B49" s="96" t="s">
        <v>69</v>
      </c>
      <c r="C49" s="104" t="s">
        <v>22</v>
      </c>
      <c r="D49" s="88"/>
      <c r="E49" s="88"/>
      <c r="F49" s="89" t="s">
        <v>70</v>
      </c>
    </row>
    <row r="50" spans="2:9" x14ac:dyDescent="0.2">
      <c r="B50" s="96" t="s">
        <v>69</v>
      </c>
      <c r="C50" s="104" t="s">
        <v>23</v>
      </c>
      <c r="D50" s="88"/>
      <c r="E50" s="88"/>
      <c r="F50" s="89" t="s">
        <v>70</v>
      </c>
    </row>
    <row r="51" spans="2:9" ht="27.75" x14ac:dyDescent="0.2">
      <c r="B51" s="90" t="s">
        <v>40</v>
      </c>
      <c r="C51" s="105" t="s">
        <v>76</v>
      </c>
      <c r="D51" s="88">
        <v>100</v>
      </c>
      <c r="E51" s="92">
        <v>1.6</v>
      </c>
      <c r="F51" s="89" t="s">
        <v>75</v>
      </c>
      <c r="I51" s="18"/>
    </row>
    <row r="52" spans="2:9" ht="27.75" x14ac:dyDescent="0.2">
      <c r="B52" s="90" t="s">
        <v>40</v>
      </c>
      <c r="C52" s="105" t="s">
        <v>240</v>
      </c>
      <c r="D52" s="88">
        <v>100</v>
      </c>
      <c r="E52" s="92">
        <v>1.5</v>
      </c>
      <c r="F52" s="89" t="s">
        <v>239</v>
      </c>
      <c r="I52" s="18"/>
    </row>
    <row r="53" spans="2:9" x14ac:dyDescent="0.2">
      <c r="B53" s="90" t="s">
        <v>40</v>
      </c>
      <c r="C53" s="95" t="s">
        <v>63</v>
      </c>
      <c r="D53" s="88"/>
      <c r="E53" s="92"/>
      <c r="F53" s="106" t="s">
        <v>64</v>
      </c>
    </row>
    <row r="54" spans="2:9" x14ac:dyDescent="0.2">
      <c r="B54" s="96" t="s">
        <v>43</v>
      </c>
      <c r="C54" s="95" t="s">
        <v>34</v>
      </c>
      <c r="D54" s="88">
        <v>100</v>
      </c>
      <c r="E54" s="92">
        <v>31.9</v>
      </c>
      <c r="F54" s="89" t="s">
        <v>57</v>
      </c>
    </row>
    <row r="55" spans="2:9" ht="27.75" x14ac:dyDescent="0.2">
      <c r="B55" s="96" t="s">
        <v>43</v>
      </c>
      <c r="C55" s="95" t="s">
        <v>35</v>
      </c>
      <c r="D55" s="88">
        <v>250</v>
      </c>
      <c r="E55" s="92">
        <v>113.56</v>
      </c>
      <c r="F55" s="89" t="s">
        <v>57</v>
      </c>
    </row>
  </sheetData>
  <autoFilter ref="B2:F55" xr:uid="{576D140E-F96C-42ED-8763-FF1B545EB83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555B4-6ABB-B241-9BDC-2D3D1EC2E6EE}">
  <dimension ref="A2:W59"/>
  <sheetViews>
    <sheetView showGridLines="0" topLeftCell="C79" zoomScale="90" zoomScaleNormal="90" workbookViewId="0">
      <selection activeCell="E9" sqref="E9"/>
    </sheetView>
  </sheetViews>
  <sheetFormatPr defaultColWidth="10.76171875" defaultRowHeight="15" x14ac:dyDescent="0.2"/>
  <cols>
    <col min="1" max="1" width="4.03515625" customWidth="1"/>
    <col min="2" max="3" width="13.046875" customWidth="1"/>
    <col min="4" max="4" width="28.65234375" customWidth="1"/>
    <col min="5" max="5" width="24.2109375" customWidth="1"/>
    <col min="6" max="6" width="22.328125" customWidth="1"/>
    <col min="7" max="7" width="27.7109375" customWidth="1"/>
    <col min="8" max="9" width="18.29296875" customWidth="1"/>
    <col min="10" max="10" width="4.16796875" customWidth="1"/>
    <col min="11" max="11" width="4.16796875" style="81" customWidth="1"/>
    <col min="12" max="12" width="4.16796875" customWidth="1"/>
    <col min="13" max="15" width="16.54296875" customWidth="1"/>
    <col min="16" max="16" width="16.6796875" customWidth="1"/>
  </cols>
  <sheetData>
    <row r="2" spans="1:23" ht="21" x14ac:dyDescent="0.3">
      <c r="B2" s="126" t="s">
        <v>249</v>
      </c>
      <c r="C2" s="126"/>
      <c r="D2" s="126"/>
      <c r="E2" s="126"/>
      <c r="F2" s="126"/>
      <c r="G2" s="126"/>
      <c r="H2" s="126"/>
      <c r="I2" s="126"/>
      <c r="M2" s="126" t="s">
        <v>296</v>
      </c>
      <c r="N2" s="126"/>
      <c r="O2" s="126"/>
    </row>
    <row r="3" spans="1:23" x14ac:dyDescent="0.2">
      <c r="B3" s="16"/>
      <c r="M3" s="41" t="s">
        <v>291</v>
      </c>
    </row>
    <row r="4" spans="1:23" ht="15.75" thickBot="1" x14ac:dyDescent="0.25"/>
    <row r="5" spans="1:23" ht="15.95" customHeight="1" x14ac:dyDescent="0.2">
      <c r="D5" s="61" t="s">
        <v>74</v>
      </c>
      <c r="E5" s="109" t="s">
        <v>265</v>
      </c>
      <c r="M5" s="127"/>
      <c r="N5" s="128"/>
      <c r="O5" s="109" t="s">
        <v>185</v>
      </c>
    </row>
    <row r="6" spans="1:23" x14ac:dyDescent="0.2">
      <c r="D6" s="62" t="s">
        <v>264</v>
      </c>
      <c r="E6" s="63">
        <v>5000</v>
      </c>
      <c r="M6" s="122" t="s">
        <v>289</v>
      </c>
      <c r="N6" s="123"/>
      <c r="O6" s="110">
        <f>SUM(O28:O40)</f>
        <v>95000</v>
      </c>
    </row>
    <row r="7" spans="1:23" ht="15.75" thickBot="1" x14ac:dyDescent="0.25">
      <c r="D7" s="64" t="s">
        <v>73</v>
      </c>
      <c r="E7" s="65">
        <f>ROUNDDOWN(E6*94/96,0)</f>
        <v>4895</v>
      </c>
      <c r="M7" s="122" t="s">
        <v>186</v>
      </c>
      <c r="N7" s="123"/>
      <c r="O7" s="110">
        <f>SUM(O16)</f>
        <v>7832</v>
      </c>
    </row>
    <row r="8" spans="1:23" x14ac:dyDescent="0.2">
      <c r="M8" s="122" t="s">
        <v>290</v>
      </c>
      <c r="N8" s="123"/>
      <c r="O8" s="110">
        <f>SUM(O18:O20)</f>
        <v>4177.8999999999996</v>
      </c>
    </row>
    <row r="9" spans="1:23" ht="15.75" thickBot="1" x14ac:dyDescent="0.25">
      <c r="M9" s="124" t="s">
        <v>183</v>
      </c>
      <c r="N9" s="125"/>
      <c r="O9" s="111">
        <f>SUM(N50:N58)</f>
        <v>0</v>
      </c>
    </row>
    <row r="10" spans="1:23" x14ac:dyDescent="0.2">
      <c r="B10" s="16"/>
      <c r="O10" s="58"/>
    </row>
    <row r="11" spans="1:23" s="86" customFormat="1" x14ac:dyDescent="0.2">
      <c r="A11" s="84" t="s">
        <v>247</v>
      </c>
      <c r="B11" s="85"/>
      <c r="J11" s="87"/>
      <c r="K11" s="82"/>
      <c r="N11" s="87"/>
      <c r="O11" s="87"/>
      <c r="P11" s="87"/>
      <c r="Q11" s="87"/>
      <c r="R11" s="87"/>
      <c r="S11" s="87"/>
      <c r="T11" s="87"/>
      <c r="U11" s="87"/>
      <c r="V11" s="87"/>
      <c r="W11" s="87"/>
    </row>
    <row r="12" spans="1:23" s="39" customFormat="1" x14ac:dyDescent="0.2">
      <c r="A12" s="42"/>
      <c r="B12" s="83" t="s">
        <v>251</v>
      </c>
      <c r="C12"/>
      <c r="D12"/>
      <c r="E12"/>
      <c r="F12"/>
      <c r="G12"/>
      <c r="H12"/>
      <c r="I12"/>
      <c r="J12"/>
      <c r="K12" s="81"/>
      <c r="L12"/>
      <c r="M12"/>
      <c r="N12"/>
      <c r="O12"/>
      <c r="P12"/>
      <c r="Q12"/>
      <c r="R12"/>
      <c r="S12"/>
      <c r="T12"/>
      <c r="U12"/>
      <c r="V12"/>
      <c r="W12"/>
    </row>
    <row r="13" spans="1:23" x14ac:dyDescent="0.2">
      <c r="A13" s="42"/>
      <c r="B13" s="16"/>
      <c r="J13" s="39"/>
      <c r="K13" s="82"/>
      <c r="L13" s="39"/>
      <c r="O13" s="39"/>
      <c r="P13" s="39"/>
      <c r="Q13" s="39"/>
      <c r="R13" s="39"/>
      <c r="S13" s="39"/>
      <c r="T13" s="39"/>
      <c r="U13" s="39"/>
    </row>
    <row r="14" spans="1:23" s="39" customFormat="1" ht="27.75" x14ac:dyDescent="0.2">
      <c r="B14" s="36" t="s">
        <v>138</v>
      </c>
      <c r="C14" s="36" t="s">
        <v>81</v>
      </c>
      <c r="D14" s="36" t="s">
        <v>53</v>
      </c>
      <c r="E14" s="36" t="s">
        <v>166</v>
      </c>
      <c r="F14" s="36" t="s">
        <v>41</v>
      </c>
      <c r="G14" s="36" t="s">
        <v>58</v>
      </c>
      <c r="H14" s="36" t="s">
        <v>26</v>
      </c>
      <c r="I14" s="38" t="s">
        <v>55</v>
      </c>
      <c r="K14" s="82"/>
      <c r="M14" s="36" t="s">
        <v>25</v>
      </c>
      <c r="N14" s="40" t="s">
        <v>182</v>
      </c>
      <c r="O14" s="38" t="s">
        <v>27</v>
      </c>
    </row>
    <row r="15" spans="1:23" x14ac:dyDescent="0.2">
      <c r="B15" s="57" t="s">
        <v>243</v>
      </c>
      <c r="C15" s="11"/>
      <c r="D15" s="10"/>
      <c r="E15" s="10"/>
      <c r="F15" s="11"/>
      <c r="G15" s="12"/>
      <c r="H15" s="14"/>
      <c r="I15" s="25"/>
      <c r="M15" s="66"/>
      <c r="N15" s="67"/>
      <c r="O15" s="27"/>
    </row>
    <row r="16" spans="1:23" x14ac:dyDescent="0.2">
      <c r="B16" s="9" t="s">
        <v>38</v>
      </c>
      <c r="C16" s="9" t="s">
        <v>54</v>
      </c>
      <c r="D16" s="45" t="s">
        <v>76</v>
      </c>
      <c r="E16" s="19"/>
      <c r="F16" s="9">
        <v>1</v>
      </c>
      <c r="G16" s="2" t="s">
        <v>179</v>
      </c>
      <c r="H16" s="1">
        <f>E7</f>
        <v>4895</v>
      </c>
      <c r="I16" s="28">
        <f>ROUNDUP(H16/F16,0)</f>
        <v>4895</v>
      </c>
      <c r="M16" s="68">
        <f>IFERROR(VLOOKUP($D16,'Unit costs '!$C$3:$E$55,3,FALSE),"")</f>
        <v>1.6</v>
      </c>
      <c r="N16" s="69">
        <f>M16/F16</f>
        <v>1.6</v>
      </c>
      <c r="O16" s="60">
        <f>I16*N16</f>
        <v>7832</v>
      </c>
    </row>
    <row r="17" spans="1:23" x14ac:dyDescent="0.2">
      <c r="B17" s="57" t="s">
        <v>8</v>
      </c>
      <c r="C17" s="11"/>
      <c r="D17" s="10"/>
      <c r="E17" s="10"/>
      <c r="F17" s="11"/>
      <c r="G17" s="12"/>
      <c r="H17" s="14"/>
      <c r="I17" s="25"/>
      <c r="M17" s="66"/>
      <c r="N17" s="67"/>
      <c r="O17" s="27"/>
    </row>
    <row r="18" spans="1:23" x14ac:dyDescent="0.2">
      <c r="B18" s="9" t="s">
        <v>38</v>
      </c>
      <c r="C18" s="9" t="s">
        <v>54</v>
      </c>
      <c r="D18" s="3" t="s">
        <v>36</v>
      </c>
      <c r="E18" s="3"/>
      <c r="F18" s="9">
        <f>IFERROR(VLOOKUP($D18,'Unit costs '!$C$3:$E$55,2,FALSE),"")</f>
        <v>50</v>
      </c>
      <c r="G18" s="2" t="s">
        <v>56</v>
      </c>
      <c r="H18" s="1">
        <f>ROUNDUP($E$6/96,0)</f>
        <v>53</v>
      </c>
      <c r="I18" s="28">
        <f>ROUNDUP(H18/F18,0)</f>
        <v>2</v>
      </c>
      <c r="M18" s="68">
        <f>IFERROR(VLOOKUP($D18,'Unit costs '!$C$3:$E$55,3,FALSE),"")</f>
        <v>2.95</v>
      </c>
      <c r="N18" s="69">
        <f>M18/F18/96</f>
        <v>6.1458333333333341E-4</v>
      </c>
      <c r="O18" s="60">
        <f>I18*M18</f>
        <v>5.9</v>
      </c>
    </row>
    <row r="19" spans="1:23" x14ac:dyDescent="0.2">
      <c r="B19" s="9" t="s">
        <v>38</v>
      </c>
      <c r="C19" s="9" t="s">
        <v>54</v>
      </c>
      <c r="D19" s="3" t="s">
        <v>37</v>
      </c>
      <c r="E19" s="3"/>
      <c r="F19" s="9">
        <f>IFERROR(VLOOKUP($D19,'Unit costs '!$C$3:$E$55,2,FALSE),"")</f>
        <v>30</v>
      </c>
      <c r="G19" s="2" t="s">
        <v>56</v>
      </c>
      <c r="H19" s="1">
        <f>ROUNDUP($E$6/96,0)</f>
        <v>53</v>
      </c>
      <c r="I19" s="28">
        <f>ROUNDUP(H19/F19,0)</f>
        <v>2</v>
      </c>
      <c r="M19" s="68">
        <f>IFERROR(VLOOKUP($D19,'Unit costs '!$C$3:$E$55,3,FALSE),"")</f>
        <v>25.5</v>
      </c>
      <c r="N19" s="69">
        <f>M19/F19/96</f>
        <v>8.8541666666666664E-3</v>
      </c>
      <c r="O19" s="60">
        <f>I19*M19</f>
        <v>51</v>
      </c>
    </row>
    <row r="20" spans="1:23" x14ac:dyDescent="0.2">
      <c r="B20" s="9" t="s">
        <v>38</v>
      </c>
      <c r="C20" s="9" t="s">
        <v>54</v>
      </c>
      <c r="D20" s="2" t="s">
        <v>83</v>
      </c>
      <c r="E20" t="s">
        <v>232</v>
      </c>
      <c r="F20" s="1" t="s">
        <v>233</v>
      </c>
      <c r="G20" s="2" t="s">
        <v>181</v>
      </c>
      <c r="H20" s="1">
        <f>ROUNDUP($E$6/96,0)</f>
        <v>53</v>
      </c>
      <c r="I20" s="28">
        <f>ROUNDUP(H20/(500/120),0)</f>
        <v>13</v>
      </c>
      <c r="M20" s="68">
        <f>IFERROR(VLOOKUP($D20,'Unit costs '!$C$3:$E$55,3,FALSE),"")</f>
        <v>317</v>
      </c>
      <c r="N20" s="69">
        <f>M20/500/120</f>
        <v>5.2833333333333335E-3</v>
      </c>
      <c r="O20" s="60">
        <f>I20*M20</f>
        <v>4121</v>
      </c>
    </row>
    <row r="21" spans="1:23" x14ac:dyDescent="0.2">
      <c r="B21" s="11"/>
      <c r="C21" s="11"/>
      <c r="D21" s="10"/>
      <c r="E21" s="10"/>
      <c r="F21" s="11"/>
      <c r="G21" s="12"/>
      <c r="H21" s="14"/>
      <c r="I21" s="25"/>
      <c r="M21" s="66"/>
      <c r="N21" s="67"/>
      <c r="O21" s="27"/>
    </row>
    <row r="22" spans="1:23" x14ac:dyDescent="0.2">
      <c r="A22" s="42"/>
      <c r="B22" s="16"/>
    </row>
    <row r="23" spans="1:23" s="86" customFormat="1" x14ac:dyDescent="0.2">
      <c r="A23" s="84" t="s">
        <v>196</v>
      </c>
      <c r="B23" s="85"/>
      <c r="K23" s="81"/>
    </row>
    <row r="24" spans="1:23" s="39" customFormat="1" x14ac:dyDescent="0.2">
      <c r="A24" s="42"/>
      <c r="B24" s="83" t="s">
        <v>250</v>
      </c>
      <c r="C24"/>
      <c r="D24"/>
      <c r="E24"/>
      <c r="F24"/>
      <c r="G24"/>
      <c r="H24"/>
      <c r="I24"/>
      <c r="J24"/>
      <c r="K24" s="81"/>
      <c r="L24"/>
      <c r="M24"/>
      <c r="N24"/>
      <c r="O24"/>
      <c r="P24"/>
      <c r="Q24"/>
      <c r="R24"/>
      <c r="S24"/>
      <c r="T24"/>
      <c r="U24"/>
      <c r="V24"/>
      <c r="W24"/>
    </row>
    <row r="25" spans="1:23" x14ac:dyDescent="0.2">
      <c r="A25" s="42"/>
      <c r="B25" s="16"/>
    </row>
    <row r="26" spans="1:23" s="39" customFormat="1" ht="35.1" customHeight="1" x14ac:dyDescent="0.2">
      <c r="B26" s="36" t="s">
        <v>138</v>
      </c>
      <c r="C26" s="36" t="s">
        <v>81</v>
      </c>
      <c r="D26" s="36" t="s">
        <v>114</v>
      </c>
      <c r="E26" s="36" t="s">
        <v>113</v>
      </c>
      <c r="F26" s="40" t="s">
        <v>116</v>
      </c>
      <c r="G26" s="36" t="s">
        <v>115</v>
      </c>
      <c r="H26" s="36" t="s">
        <v>26</v>
      </c>
      <c r="I26" s="38" t="s">
        <v>55</v>
      </c>
      <c r="K26" s="82"/>
      <c r="M26" s="36" t="s">
        <v>25</v>
      </c>
      <c r="N26" s="40" t="s">
        <v>182</v>
      </c>
      <c r="O26" s="38" t="s">
        <v>27</v>
      </c>
    </row>
    <row r="27" spans="1:23" x14ac:dyDescent="0.2">
      <c r="B27" s="47" t="s">
        <v>245</v>
      </c>
      <c r="C27" s="11"/>
      <c r="D27" s="10"/>
      <c r="E27" s="10"/>
      <c r="F27" s="11"/>
      <c r="G27" s="12"/>
      <c r="H27" s="14"/>
      <c r="I27" s="25"/>
      <c r="M27" s="66"/>
      <c r="N27" s="67"/>
      <c r="O27" s="26"/>
    </row>
    <row r="28" spans="1:23" x14ac:dyDescent="0.2">
      <c r="B28" s="9" t="s">
        <v>38</v>
      </c>
      <c r="C28" s="9" t="s">
        <v>38</v>
      </c>
      <c r="D28" s="3" t="s">
        <v>86</v>
      </c>
      <c r="E28" s="5" t="s">
        <v>85</v>
      </c>
      <c r="F28" s="9" t="s">
        <v>87</v>
      </c>
      <c r="G28" s="35">
        <v>96</v>
      </c>
      <c r="H28" s="1">
        <f>$E$6</f>
        <v>5000</v>
      </c>
      <c r="I28" s="28">
        <f>ROUNDUP($E$6/96,0)</f>
        <v>53</v>
      </c>
      <c r="M28" s="68" t="s">
        <v>72</v>
      </c>
      <c r="N28" s="69">
        <v>19</v>
      </c>
      <c r="O28" s="60">
        <f>H28*N28</f>
        <v>95000</v>
      </c>
    </row>
    <row r="29" spans="1:23" x14ac:dyDescent="0.2">
      <c r="B29" s="9" t="s">
        <v>38</v>
      </c>
      <c r="C29" s="9" t="s">
        <v>38</v>
      </c>
      <c r="D29" s="3" t="s">
        <v>89</v>
      </c>
      <c r="E29" s="5" t="s">
        <v>88</v>
      </c>
      <c r="F29" s="9" t="s">
        <v>90</v>
      </c>
      <c r="G29" s="35">
        <v>16</v>
      </c>
      <c r="H29" s="8" t="s">
        <v>72</v>
      </c>
      <c r="I29" s="28">
        <f>ROUNDUP($E$6*2/G29,0)</f>
        <v>625</v>
      </c>
      <c r="M29" s="68" t="s">
        <v>171</v>
      </c>
      <c r="N29" s="69" t="s">
        <v>171</v>
      </c>
      <c r="O29" s="72" t="s">
        <v>171</v>
      </c>
    </row>
    <row r="30" spans="1:23" x14ac:dyDescent="0.2">
      <c r="B30" s="9" t="s">
        <v>38</v>
      </c>
      <c r="C30" s="9" t="s">
        <v>38</v>
      </c>
      <c r="D30" s="3" t="s">
        <v>92</v>
      </c>
      <c r="E30" s="5" t="s">
        <v>91</v>
      </c>
      <c r="F30" s="9" t="s">
        <v>93</v>
      </c>
      <c r="G30" s="35">
        <v>96</v>
      </c>
      <c r="H30" s="8" t="s">
        <v>72</v>
      </c>
      <c r="I30" s="28">
        <f>ROUNDUP($E$6*96/G30,0)</f>
        <v>5000</v>
      </c>
      <c r="M30" s="68" t="s">
        <v>171</v>
      </c>
      <c r="N30" s="69" t="s">
        <v>171</v>
      </c>
      <c r="O30" s="72" t="s">
        <v>171</v>
      </c>
    </row>
    <row r="31" spans="1:23" x14ac:dyDescent="0.2">
      <c r="B31" s="57" t="s">
        <v>244</v>
      </c>
      <c r="C31" s="11"/>
      <c r="D31" s="10"/>
      <c r="E31" s="10"/>
      <c r="F31" s="11"/>
      <c r="G31" s="12"/>
      <c r="H31" s="14"/>
      <c r="I31" s="25"/>
      <c r="M31" s="66"/>
      <c r="N31" s="67"/>
      <c r="O31" s="26"/>
    </row>
    <row r="32" spans="1:23" x14ac:dyDescent="0.2">
      <c r="B32" s="9" t="s">
        <v>38</v>
      </c>
      <c r="C32" s="9" t="s">
        <v>38</v>
      </c>
      <c r="D32" s="3" t="s">
        <v>95</v>
      </c>
      <c r="E32" s="5" t="s">
        <v>94</v>
      </c>
      <c r="F32" s="9" t="s">
        <v>96</v>
      </c>
      <c r="G32" s="35">
        <v>2304</v>
      </c>
      <c r="H32" s="8" t="s">
        <v>72</v>
      </c>
      <c r="I32" s="28">
        <f>ROUNDUP($E$6*96*8.8/G32,0)</f>
        <v>1834</v>
      </c>
      <c r="M32" s="68" t="s">
        <v>171</v>
      </c>
      <c r="N32" s="69" t="s">
        <v>171</v>
      </c>
      <c r="O32" s="72" t="s">
        <v>171</v>
      </c>
    </row>
    <row r="33" spans="1:23" x14ac:dyDescent="0.2">
      <c r="B33" s="9" t="s">
        <v>38</v>
      </c>
      <c r="C33" s="9" t="s">
        <v>38</v>
      </c>
      <c r="D33" s="3" t="s">
        <v>98</v>
      </c>
      <c r="E33" s="5" t="s">
        <v>97</v>
      </c>
      <c r="F33" s="9" t="s">
        <v>96</v>
      </c>
      <c r="G33" s="35">
        <v>2304</v>
      </c>
      <c r="H33" s="8" t="s">
        <v>72</v>
      </c>
      <c r="I33" s="28">
        <f>ROUNDUP($E$6*96*1/G33,0)</f>
        <v>209</v>
      </c>
      <c r="M33" s="68" t="s">
        <v>171</v>
      </c>
      <c r="N33" s="69" t="s">
        <v>171</v>
      </c>
      <c r="O33" s="72" t="s">
        <v>171</v>
      </c>
    </row>
    <row r="34" spans="1:23" x14ac:dyDescent="0.2">
      <c r="B34" s="9" t="s">
        <v>38</v>
      </c>
      <c r="C34" s="9" t="s">
        <v>38</v>
      </c>
      <c r="D34" s="3" t="s">
        <v>100</v>
      </c>
      <c r="E34" s="5" t="s">
        <v>99</v>
      </c>
      <c r="F34" s="9" t="s">
        <v>96</v>
      </c>
      <c r="G34" s="35">
        <v>2000</v>
      </c>
      <c r="H34" s="8" t="s">
        <v>72</v>
      </c>
      <c r="I34" s="28">
        <f>ROUNDUP($E$6*96*1/G34,0)</f>
        <v>240</v>
      </c>
      <c r="M34" s="68" t="s">
        <v>171</v>
      </c>
      <c r="N34" s="69" t="s">
        <v>171</v>
      </c>
      <c r="O34" s="72" t="s">
        <v>171</v>
      </c>
    </row>
    <row r="35" spans="1:23" x14ac:dyDescent="0.2">
      <c r="B35" s="9" t="s">
        <v>38</v>
      </c>
      <c r="C35" s="9" t="s">
        <v>38</v>
      </c>
      <c r="D35" s="3" t="s">
        <v>102</v>
      </c>
      <c r="E35" s="5" t="s">
        <v>101</v>
      </c>
      <c r="F35" s="9" t="s">
        <v>96</v>
      </c>
      <c r="G35" s="35">
        <v>90</v>
      </c>
      <c r="H35" s="8" t="s">
        <v>72</v>
      </c>
      <c r="I35" s="28">
        <f>ROUNDUP($E$6*6/G35,0)</f>
        <v>334</v>
      </c>
      <c r="M35" s="68" t="s">
        <v>171</v>
      </c>
      <c r="N35" s="69" t="s">
        <v>171</v>
      </c>
      <c r="O35" s="72" t="s">
        <v>171</v>
      </c>
    </row>
    <row r="36" spans="1:23" x14ac:dyDescent="0.2">
      <c r="B36" s="9" t="s">
        <v>38</v>
      </c>
      <c r="C36" s="9" t="s">
        <v>38</v>
      </c>
      <c r="D36" s="3" t="s">
        <v>104</v>
      </c>
      <c r="E36" s="5" t="s">
        <v>103</v>
      </c>
      <c r="F36" s="9" t="s">
        <v>96</v>
      </c>
      <c r="G36" s="35">
        <v>32</v>
      </c>
      <c r="H36" s="8" t="s">
        <v>72</v>
      </c>
      <c r="I36" s="28">
        <f>ROUNDUP($E$6*3/G36,0)</f>
        <v>469</v>
      </c>
      <c r="M36" s="68" t="s">
        <v>171</v>
      </c>
      <c r="N36" s="69" t="s">
        <v>171</v>
      </c>
      <c r="O36" s="72" t="s">
        <v>171</v>
      </c>
    </row>
    <row r="37" spans="1:23" x14ac:dyDescent="0.2">
      <c r="B37" s="9" t="s">
        <v>38</v>
      </c>
      <c r="C37" s="9" t="s">
        <v>38</v>
      </c>
      <c r="D37" s="3" t="s">
        <v>106</v>
      </c>
      <c r="E37" s="5" t="s">
        <v>105</v>
      </c>
      <c r="F37" s="9" t="s">
        <v>96</v>
      </c>
      <c r="G37" s="35">
        <v>20</v>
      </c>
      <c r="H37" s="8" t="s">
        <v>72</v>
      </c>
      <c r="I37" s="28">
        <f>ROUNDUP($E$6*1/G37,0)</f>
        <v>250</v>
      </c>
      <c r="M37" s="68" t="s">
        <v>171</v>
      </c>
      <c r="N37" s="69" t="s">
        <v>171</v>
      </c>
      <c r="O37" s="72" t="s">
        <v>171</v>
      </c>
    </row>
    <row r="38" spans="1:23" x14ac:dyDescent="0.2">
      <c r="B38" s="9" t="s">
        <v>38</v>
      </c>
      <c r="C38" s="9" t="s">
        <v>38</v>
      </c>
      <c r="D38" s="3" t="s">
        <v>108</v>
      </c>
      <c r="E38" s="5" t="s">
        <v>107</v>
      </c>
      <c r="F38" s="9" t="s">
        <v>96</v>
      </c>
      <c r="G38" s="35">
        <v>100</v>
      </c>
      <c r="H38" s="8" t="s">
        <v>72</v>
      </c>
      <c r="I38" s="28">
        <f>ROUNDUP($E$6*1/G38,0)</f>
        <v>50</v>
      </c>
      <c r="M38" s="68" t="s">
        <v>171</v>
      </c>
      <c r="N38" s="69" t="s">
        <v>171</v>
      </c>
      <c r="O38" s="72" t="s">
        <v>171</v>
      </c>
    </row>
    <row r="39" spans="1:23" x14ac:dyDescent="0.2">
      <c r="B39" s="9" t="s">
        <v>38</v>
      </c>
      <c r="C39" s="9" t="s">
        <v>38</v>
      </c>
      <c r="D39" s="3" t="s">
        <v>110</v>
      </c>
      <c r="E39" s="5" t="s">
        <v>109</v>
      </c>
      <c r="F39" s="9" t="s">
        <v>96</v>
      </c>
      <c r="G39" s="35">
        <v>150</v>
      </c>
      <c r="H39" s="8" t="s">
        <v>72</v>
      </c>
      <c r="I39" s="28">
        <f>ROUNDUP($E$6*1/G39,0)</f>
        <v>34</v>
      </c>
      <c r="M39" s="68" t="s">
        <v>171</v>
      </c>
      <c r="N39" s="69" t="s">
        <v>171</v>
      </c>
      <c r="O39" s="72" t="s">
        <v>171</v>
      </c>
    </row>
    <row r="40" spans="1:23" x14ac:dyDescent="0.2">
      <c r="B40" s="9" t="s">
        <v>38</v>
      </c>
      <c r="C40" s="9" t="s">
        <v>38</v>
      </c>
      <c r="D40" s="3" t="s">
        <v>112</v>
      </c>
      <c r="E40" s="5" t="s">
        <v>111</v>
      </c>
      <c r="F40" s="9" t="s">
        <v>96</v>
      </c>
      <c r="G40" s="35">
        <v>50</v>
      </c>
      <c r="H40" s="8" t="s">
        <v>72</v>
      </c>
      <c r="I40" s="28">
        <f>ROUNDUP($E$6*1/G40,0)</f>
        <v>100</v>
      </c>
      <c r="M40" s="68" t="s">
        <v>171</v>
      </c>
      <c r="N40" s="69" t="s">
        <v>171</v>
      </c>
      <c r="O40" s="72" t="s">
        <v>171</v>
      </c>
    </row>
    <row r="41" spans="1:23" x14ac:dyDescent="0.2">
      <c r="B41" s="11"/>
      <c r="C41" s="11"/>
      <c r="D41" s="10"/>
      <c r="E41" s="10"/>
      <c r="F41" s="11"/>
      <c r="G41" s="12"/>
      <c r="H41" s="14"/>
      <c r="I41" s="25"/>
      <c r="M41" s="66"/>
      <c r="N41" s="67"/>
      <c r="O41" s="27"/>
    </row>
    <row r="42" spans="1:23" x14ac:dyDescent="0.2">
      <c r="A42" s="42"/>
      <c r="B42" s="16"/>
      <c r="J42" s="39"/>
      <c r="K42" s="82"/>
      <c r="L42" s="39"/>
      <c r="O42" s="39"/>
      <c r="P42" s="39"/>
      <c r="Q42" s="39"/>
      <c r="R42" s="39"/>
      <c r="S42" s="39"/>
      <c r="T42" s="39"/>
      <c r="U42" s="39"/>
    </row>
    <row r="43" spans="1:23" s="87" customFormat="1" x14ac:dyDescent="0.2">
      <c r="A43" s="84" t="s">
        <v>197</v>
      </c>
      <c r="B43" s="85"/>
      <c r="C43" s="86"/>
      <c r="D43" s="86"/>
      <c r="E43" s="86"/>
      <c r="F43" s="86"/>
      <c r="G43" s="86"/>
      <c r="H43" s="86"/>
      <c r="I43" s="86"/>
      <c r="J43" s="86"/>
      <c r="K43" s="81"/>
      <c r="L43" s="86"/>
      <c r="M43" s="86"/>
      <c r="N43" s="86"/>
      <c r="O43" s="86"/>
      <c r="P43" s="86"/>
      <c r="Q43" s="86"/>
      <c r="R43" s="86"/>
      <c r="S43" s="86"/>
      <c r="T43" s="86"/>
      <c r="U43" s="86"/>
      <c r="V43" s="86"/>
      <c r="W43" s="86"/>
    </row>
    <row r="44" spans="1:23" s="39" customFormat="1" x14ac:dyDescent="0.2">
      <c r="A44" s="42"/>
      <c r="B44" s="83" t="s">
        <v>248</v>
      </c>
      <c r="C44"/>
      <c r="D44"/>
      <c r="E44"/>
      <c r="F44"/>
      <c r="G44"/>
      <c r="H44"/>
      <c r="I44"/>
      <c r="J44"/>
      <c r="K44" s="81"/>
      <c r="L44"/>
      <c r="M44"/>
      <c r="N44"/>
      <c r="O44"/>
      <c r="P44"/>
      <c r="Q44"/>
      <c r="R44"/>
      <c r="S44"/>
      <c r="T44"/>
      <c r="U44"/>
      <c r="V44"/>
      <c r="W44"/>
    </row>
    <row r="45" spans="1:23" s="39" customFormat="1" x14ac:dyDescent="0.2">
      <c r="A45" s="42"/>
      <c r="B45" s="83" t="s">
        <v>253</v>
      </c>
      <c r="C45"/>
      <c r="D45"/>
      <c r="E45"/>
      <c r="F45"/>
      <c r="G45"/>
      <c r="H45"/>
      <c r="I45"/>
      <c r="J45"/>
      <c r="K45" s="81"/>
      <c r="L45"/>
      <c r="M45"/>
      <c r="N45"/>
      <c r="O45"/>
      <c r="P45"/>
      <c r="Q45"/>
      <c r="R45"/>
      <c r="S45"/>
      <c r="T45"/>
      <c r="U45"/>
      <c r="V45"/>
      <c r="W45"/>
    </row>
    <row r="46" spans="1:23" s="39" customFormat="1" x14ac:dyDescent="0.2">
      <c r="A46" s="42"/>
      <c r="B46" s="80"/>
      <c r="C46" s="17" t="s">
        <v>252</v>
      </c>
      <c r="D46"/>
      <c r="E46"/>
      <c r="F46"/>
      <c r="G46"/>
      <c r="H46"/>
      <c r="I46"/>
      <c r="J46"/>
      <c r="K46" s="81"/>
      <c r="L46"/>
      <c r="M46"/>
      <c r="N46"/>
      <c r="O46"/>
      <c r="P46"/>
      <c r="Q46"/>
      <c r="R46"/>
      <c r="S46"/>
      <c r="T46"/>
      <c r="U46"/>
      <c r="V46"/>
      <c r="W46"/>
    </row>
    <row r="47" spans="1:23" s="39" customFormat="1" x14ac:dyDescent="0.2">
      <c r="A47" s="42"/>
      <c r="B47" s="16"/>
      <c r="C47"/>
      <c r="D47"/>
      <c r="E47"/>
      <c r="F47"/>
      <c r="G47"/>
      <c r="H47"/>
      <c r="I47"/>
      <c r="J47"/>
      <c r="K47" s="81"/>
      <c r="L47"/>
      <c r="M47"/>
      <c r="O47"/>
      <c r="P47"/>
      <c r="Q47"/>
      <c r="R47"/>
      <c r="S47"/>
      <c r="T47"/>
      <c r="U47"/>
      <c r="V47"/>
      <c r="W47"/>
    </row>
    <row r="48" spans="1:23" s="39" customFormat="1" ht="25.5" x14ac:dyDescent="0.2">
      <c r="B48" s="36" t="s">
        <v>138</v>
      </c>
      <c r="C48" s="36" t="s">
        <v>81</v>
      </c>
      <c r="D48" s="36" t="s">
        <v>53</v>
      </c>
      <c r="E48" s="36" t="s">
        <v>166</v>
      </c>
      <c r="F48" s="36"/>
      <c r="G48" s="36" t="s">
        <v>58</v>
      </c>
      <c r="H48" s="37" t="s">
        <v>184</v>
      </c>
      <c r="I48" s="38" t="s">
        <v>55</v>
      </c>
      <c r="K48" s="82"/>
      <c r="M48" s="36" t="s">
        <v>25</v>
      </c>
      <c r="N48" s="38" t="s">
        <v>27</v>
      </c>
    </row>
    <row r="49" spans="2:14" x14ac:dyDescent="0.2">
      <c r="B49" s="57" t="s">
        <v>242</v>
      </c>
      <c r="C49" s="11"/>
      <c r="D49" s="10"/>
      <c r="E49" s="10"/>
      <c r="F49" s="11"/>
      <c r="G49" s="12"/>
      <c r="H49" s="24"/>
      <c r="I49" s="25"/>
      <c r="M49" s="66"/>
      <c r="N49" s="27"/>
    </row>
    <row r="50" spans="2:14" x14ac:dyDescent="0.2">
      <c r="B50" s="9" t="s">
        <v>38</v>
      </c>
      <c r="C50" s="9" t="s">
        <v>54</v>
      </c>
      <c r="D50" s="3" t="s">
        <v>195</v>
      </c>
      <c r="E50" s="3"/>
      <c r="F50" s="9"/>
      <c r="G50" s="2" t="s">
        <v>52</v>
      </c>
      <c r="H50" s="23">
        <v>0</v>
      </c>
      <c r="I50" s="28">
        <f>H50</f>
        <v>0</v>
      </c>
      <c r="M50" s="68" t="str">
        <f>IFERROR(VLOOKUP($D50,'Unit costs '!$C$3:$E$55,3,FALSE),"")</f>
        <v/>
      </c>
      <c r="N50" s="60" t="str">
        <f>IFERROR(I50*M50,"")</f>
        <v/>
      </c>
    </row>
    <row r="51" spans="2:14" x14ac:dyDescent="0.2">
      <c r="B51" s="57" t="s">
        <v>241</v>
      </c>
      <c r="C51" s="11"/>
      <c r="D51" s="10"/>
      <c r="E51" s="10"/>
      <c r="F51" s="11"/>
      <c r="G51" s="12"/>
      <c r="H51" s="24"/>
      <c r="I51" s="25"/>
      <c r="M51" s="66"/>
      <c r="N51" s="27"/>
    </row>
    <row r="52" spans="2:14" x14ac:dyDescent="0.2">
      <c r="B52" s="9" t="s">
        <v>38</v>
      </c>
      <c r="C52" s="9" t="s">
        <v>54</v>
      </c>
      <c r="D52" s="3" t="s">
        <v>14</v>
      </c>
      <c r="E52" s="3"/>
      <c r="F52" s="9"/>
      <c r="G52" s="2" t="s">
        <v>52</v>
      </c>
      <c r="H52" s="23">
        <v>0</v>
      </c>
      <c r="I52" s="28">
        <f>H52</f>
        <v>0</v>
      </c>
      <c r="M52" s="68">
        <f>IFERROR(VLOOKUP($D52,'Unit costs '!$C$3:$E$55,3,FALSE),"")</f>
        <v>256.82</v>
      </c>
      <c r="N52" s="60">
        <f t="shared" ref="N52:N58" si="0">IFERROR(I52*M52,"")</f>
        <v>0</v>
      </c>
    </row>
    <row r="53" spans="2:14" x14ac:dyDescent="0.2">
      <c r="B53" s="9" t="s">
        <v>38</v>
      </c>
      <c r="C53" s="9" t="s">
        <v>54</v>
      </c>
      <c r="D53" s="3" t="s">
        <v>15</v>
      </c>
      <c r="E53" s="3"/>
      <c r="F53" s="9"/>
      <c r="G53" s="2" t="s">
        <v>52</v>
      </c>
      <c r="H53" s="23">
        <v>0</v>
      </c>
      <c r="I53" s="28">
        <f t="shared" ref="I53:I58" si="1">H53</f>
        <v>0</v>
      </c>
      <c r="M53" s="68">
        <f>IFERROR(VLOOKUP($D53,'Unit costs '!$C$3:$E$55,3,FALSE),"")</f>
        <v>2026.94</v>
      </c>
      <c r="N53" s="60">
        <f t="shared" si="0"/>
        <v>0</v>
      </c>
    </row>
    <row r="54" spans="2:14" x14ac:dyDescent="0.2">
      <c r="B54" s="9" t="s">
        <v>38</v>
      </c>
      <c r="C54" s="9" t="s">
        <v>54</v>
      </c>
      <c r="D54" s="3" t="s">
        <v>16</v>
      </c>
      <c r="E54" s="3"/>
      <c r="F54" s="9"/>
      <c r="G54" s="2" t="s">
        <v>52</v>
      </c>
      <c r="H54" s="23">
        <v>0</v>
      </c>
      <c r="I54" s="28">
        <f t="shared" si="1"/>
        <v>0</v>
      </c>
      <c r="M54" s="68">
        <f>IFERROR(VLOOKUP($D54,'Unit costs '!$C$3:$E$55,3,FALSE),"")</f>
        <v>226.94</v>
      </c>
      <c r="N54" s="60">
        <f t="shared" si="0"/>
        <v>0</v>
      </c>
    </row>
    <row r="55" spans="2:14" x14ac:dyDescent="0.2">
      <c r="B55" s="9" t="s">
        <v>38</v>
      </c>
      <c r="C55" s="9" t="s">
        <v>54</v>
      </c>
      <c r="D55" s="3" t="s">
        <v>17</v>
      </c>
      <c r="E55" s="3"/>
      <c r="F55" s="9"/>
      <c r="G55" s="2" t="s">
        <v>52</v>
      </c>
      <c r="H55" s="23">
        <v>0</v>
      </c>
      <c r="I55" s="28">
        <f t="shared" si="1"/>
        <v>0</v>
      </c>
      <c r="M55" s="68">
        <f>IFERROR(VLOOKUP($D55,'Unit costs '!$C$3:$E$55,3,FALSE),"")</f>
        <v>242</v>
      </c>
      <c r="N55" s="60">
        <f t="shared" si="0"/>
        <v>0</v>
      </c>
    </row>
    <row r="56" spans="2:14" x14ac:dyDescent="0.2">
      <c r="B56" s="9" t="s">
        <v>38</v>
      </c>
      <c r="C56" s="9" t="s">
        <v>54</v>
      </c>
      <c r="D56" s="3" t="s">
        <v>18</v>
      </c>
      <c r="E56" s="3"/>
      <c r="F56" s="9"/>
      <c r="G56" s="2" t="s">
        <v>52</v>
      </c>
      <c r="H56" s="23">
        <v>0</v>
      </c>
      <c r="I56" s="28">
        <f t="shared" si="1"/>
        <v>0</v>
      </c>
      <c r="M56" s="68">
        <f>IFERROR(VLOOKUP($D56,'Unit costs '!$C$3:$E$55,3,FALSE),"")</f>
        <v>3.61</v>
      </c>
      <c r="N56" s="60">
        <f t="shared" si="0"/>
        <v>0</v>
      </c>
    </row>
    <row r="57" spans="2:14" x14ac:dyDescent="0.2">
      <c r="B57" s="9" t="s">
        <v>38</v>
      </c>
      <c r="C57" s="9" t="s">
        <v>54</v>
      </c>
      <c r="D57" s="3" t="s">
        <v>59</v>
      </c>
      <c r="E57" s="3"/>
      <c r="F57" s="9"/>
      <c r="G57" s="2" t="s">
        <v>52</v>
      </c>
      <c r="H57" s="23">
        <v>0</v>
      </c>
      <c r="I57" s="28">
        <f t="shared" si="1"/>
        <v>0</v>
      </c>
      <c r="M57" s="68">
        <f>IFERROR(VLOOKUP($D57,'Unit costs '!$C$3:$E$55,3,FALSE),"")</f>
        <v>176</v>
      </c>
      <c r="N57" s="60">
        <f t="shared" si="0"/>
        <v>0</v>
      </c>
    </row>
    <row r="58" spans="2:14" x14ac:dyDescent="0.2">
      <c r="B58" s="9" t="s">
        <v>38</v>
      </c>
      <c r="C58" s="9" t="s">
        <v>54</v>
      </c>
      <c r="D58" s="3" t="s">
        <v>20</v>
      </c>
      <c r="E58" s="3"/>
      <c r="F58" s="9"/>
      <c r="G58" s="2" t="s">
        <v>52</v>
      </c>
      <c r="H58" s="23">
        <v>0</v>
      </c>
      <c r="I58" s="28">
        <f t="shared" si="1"/>
        <v>0</v>
      </c>
      <c r="M58" s="121" t="str">
        <f>IFERROR(VLOOKUP($D58,'Unit costs '!$C$3:$E$55,3,FALSE),"")</f>
        <v>variable</v>
      </c>
      <c r="N58" s="60" t="str">
        <f t="shared" si="0"/>
        <v/>
      </c>
    </row>
    <row r="59" spans="2:14" x14ac:dyDescent="0.2">
      <c r="B59" s="11"/>
      <c r="C59" s="11"/>
      <c r="D59" s="10"/>
      <c r="E59" s="10"/>
      <c r="F59" s="11"/>
      <c r="G59" s="12"/>
      <c r="H59" s="30"/>
      <c r="I59" s="30"/>
      <c r="M59" s="70"/>
      <c r="N59" s="71"/>
    </row>
  </sheetData>
  <mergeCells count="7">
    <mergeCell ref="M8:N8"/>
    <mergeCell ref="M9:N9"/>
    <mergeCell ref="B2:I2"/>
    <mergeCell ref="M2:O2"/>
    <mergeCell ref="M5:N5"/>
    <mergeCell ref="M6:N6"/>
    <mergeCell ref="M7:N7"/>
  </mergeCells>
  <conditionalFormatting sqref="B28:C30 B32:C40 B14:C14 C15 B18:C21 C17 B50:C50 P57 P50 B52:C58 Q20:Q21 B16:C16">
    <cfRule type="containsText" dxfId="105" priority="69" operator="containsText" text="Yes">
      <formula>NOT(ISERROR(SEARCH("Yes",B14)))</formula>
    </cfRule>
    <cfRule type="containsText" dxfId="104" priority="70" operator="containsText" text="No">
      <formula>NOT(ISERROR(SEARCH("No",B14)))</formula>
    </cfRule>
  </conditionalFormatting>
  <conditionalFormatting sqref="C18:C19">
    <cfRule type="containsText" dxfId="103" priority="65" operator="containsText" text="Yes">
      <formula>NOT(ISERROR(SEARCH("Yes",C18)))</formula>
    </cfRule>
    <cfRule type="containsText" dxfId="102" priority="66" operator="containsText" text="No">
      <formula>NOT(ISERROR(SEARCH("No",C18)))</formula>
    </cfRule>
  </conditionalFormatting>
  <conditionalFormatting sqref="B18:B19">
    <cfRule type="containsText" dxfId="101" priority="61" operator="containsText" text="Yes">
      <formula>NOT(ISERROR(SEARCH("Yes",B18)))</formula>
    </cfRule>
    <cfRule type="containsText" dxfId="100" priority="62" operator="containsText" text="No">
      <formula>NOT(ISERROR(SEARCH("No",B18)))</formula>
    </cfRule>
  </conditionalFormatting>
  <conditionalFormatting sqref="R60:R66 Q34:Q35 Q37:Q40">
    <cfRule type="containsText" dxfId="99" priority="45" operator="containsText" text="Yes">
      <formula>NOT(ISERROR(SEARCH("Yes",Q34)))</formula>
    </cfRule>
    <cfRule type="containsText" dxfId="98" priority="46" operator="containsText" text="No">
      <formula>NOT(ISERROR(SEARCH("No",Q34)))</formula>
    </cfRule>
  </conditionalFormatting>
  <conditionalFormatting sqref="P53 P49:P50">
    <cfRule type="containsText" dxfId="97" priority="39" operator="containsText" text="Yes">
      <formula>NOT(ISERROR(SEARCH("Yes",P49)))</formula>
    </cfRule>
    <cfRule type="containsText" dxfId="96" priority="40" operator="containsText" text="No">
      <formula>NOT(ISERROR(SEARCH("No",P49)))</formula>
    </cfRule>
  </conditionalFormatting>
  <conditionalFormatting sqref="Q17:Q18">
    <cfRule type="containsText" dxfId="95" priority="41" operator="containsText" text="Yes">
      <formula>NOT(ISERROR(SEARCH("Yes",Q17)))</formula>
    </cfRule>
    <cfRule type="containsText" dxfId="94" priority="42" operator="containsText" text="No">
      <formula>NOT(ISERROR(SEARCH("No",Q17)))</formula>
    </cfRule>
  </conditionalFormatting>
  <conditionalFormatting sqref="Q36">
    <cfRule type="containsText" dxfId="93" priority="35" operator="containsText" text="Yes">
      <formula>NOT(ISERROR(SEARCH("Yes",Q36)))</formula>
    </cfRule>
    <cfRule type="containsText" dxfId="92" priority="36" operator="containsText" text="No">
      <formula>NOT(ISERROR(SEARCH("No",Q36)))</formula>
    </cfRule>
  </conditionalFormatting>
  <conditionalFormatting sqref="P52">
    <cfRule type="containsText" dxfId="91" priority="33" operator="containsText" text="Yes">
      <formula>NOT(ISERROR(SEARCH("Yes",P52)))</formula>
    </cfRule>
    <cfRule type="containsText" dxfId="90" priority="34" operator="containsText" text="No">
      <formula>NOT(ISERROR(SEARCH("No",P52)))</formula>
    </cfRule>
  </conditionalFormatting>
  <conditionalFormatting sqref="Q28">
    <cfRule type="containsText" dxfId="89" priority="29" operator="containsText" text="Yes">
      <formula>NOT(ISERROR(SEARCH("Yes",Q28)))</formula>
    </cfRule>
    <cfRule type="containsText" dxfId="88" priority="30" operator="containsText" text="No">
      <formula>NOT(ISERROR(SEARCH("No",Q28)))</formula>
    </cfRule>
  </conditionalFormatting>
  <conditionalFormatting sqref="P48">
    <cfRule type="containsText" dxfId="87" priority="27" operator="containsText" text="Yes">
      <formula>NOT(ISERROR(SEARCH("Yes",P48)))</formula>
    </cfRule>
    <cfRule type="containsText" dxfId="86" priority="28" operator="containsText" text="No">
      <formula>NOT(ISERROR(SEARCH("No",P48)))</formula>
    </cfRule>
  </conditionalFormatting>
  <conditionalFormatting sqref="P51">
    <cfRule type="containsText" dxfId="85" priority="23" operator="containsText" text="Yes">
      <formula>NOT(ISERROR(SEARCH("Yes",P51)))</formula>
    </cfRule>
    <cfRule type="containsText" dxfId="84" priority="24" operator="containsText" text="No">
      <formula>NOT(ISERROR(SEARCH("No",P51)))</formula>
    </cfRule>
  </conditionalFormatting>
  <conditionalFormatting sqref="R22">
    <cfRule type="containsText" dxfId="83" priority="21" operator="containsText" text="Yes">
      <formula>NOT(ISERROR(SEARCH("Yes",R22)))</formula>
    </cfRule>
    <cfRule type="containsText" dxfId="82" priority="22" operator="containsText" text="No">
      <formula>NOT(ISERROR(SEARCH("No",R22)))</formula>
    </cfRule>
  </conditionalFormatting>
  <conditionalFormatting sqref="R22">
    <cfRule type="containsText" dxfId="81" priority="19" operator="containsText" text="Yes">
      <formula>NOT(ISERROR(SEARCH("Yes",R22)))</formula>
    </cfRule>
    <cfRule type="containsText" dxfId="80" priority="20" operator="containsText" text="No">
      <formula>NOT(ISERROR(SEARCH("No",R22)))</formula>
    </cfRule>
  </conditionalFormatting>
  <conditionalFormatting sqref="B59:C59 O59">
    <cfRule type="containsText" dxfId="79" priority="17" operator="containsText" text="Yes">
      <formula>NOT(ISERROR(SEARCH("Yes",B59)))</formula>
    </cfRule>
    <cfRule type="containsText" dxfId="78" priority="18" operator="containsText" text="No">
      <formula>NOT(ISERROR(SEARCH("No",B59)))</formula>
    </cfRule>
  </conditionalFormatting>
  <conditionalFormatting sqref="J20:J21">
    <cfRule type="containsText" dxfId="77" priority="15" operator="containsText" text="Yes">
      <formula>NOT(ISERROR(SEARCH("Yes",J20)))</formula>
    </cfRule>
    <cfRule type="containsText" dxfId="76" priority="16" operator="containsText" text="No">
      <formula>NOT(ISERROR(SEARCH("No",J20)))</formula>
    </cfRule>
  </conditionalFormatting>
  <conditionalFormatting sqref="J34:J35 J37:J40">
    <cfRule type="containsText" dxfId="75" priority="13" operator="containsText" text="Yes">
      <formula>NOT(ISERROR(SEARCH("Yes",J34)))</formula>
    </cfRule>
    <cfRule type="containsText" dxfId="74" priority="14" operator="containsText" text="No">
      <formula>NOT(ISERROR(SEARCH("No",J34)))</formula>
    </cfRule>
  </conditionalFormatting>
  <conditionalFormatting sqref="J17:J18">
    <cfRule type="containsText" dxfId="73" priority="11" operator="containsText" text="Yes">
      <formula>NOT(ISERROR(SEARCH("Yes",J17)))</formula>
    </cfRule>
    <cfRule type="containsText" dxfId="72" priority="12" operator="containsText" text="No">
      <formula>NOT(ISERROR(SEARCH("No",J17)))</formula>
    </cfRule>
  </conditionalFormatting>
  <conditionalFormatting sqref="J36">
    <cfRule type="containsText" dxfId="71" priority="9" operator="containsText" text="Yes">
      <formula>NOT(ISERROR(SEARCH("Yes",J36)))</formula>
    </cfRule>
    <cfRule type="containsText" dxfId="70" priority="10" operator="containsText" text="No">
      <formula>NOT(ISERROR(SEARCH("No",J36)))</formula>
    </cfRule>
  </conditionalFormatting>
  <conditionalFormatting sqref="J28">
    <cfRule type="containsText" dxfId="69" priority="7" operator="containsText" text="Yes">
      <formula>NOT(ISERROR(SEARCH("Yes",J28)))</formula>
    </cfRule>
    <cfRule type="containsText" dxfId="68" priority="8" operator="containsText" text="No">
      <formula>NOT(ISERROR(SEARCH("No",J28)))</formula>
    </cfRule>
  </conditionalFormatting>
  <conditionalFormatting sqref="K60:K66">
    <cfRule type="containsText" dxfId="67" priority="5" operator="containsText" text="Yes">
      <formula>NOT(ISERROR(SEARCH("Yes",K60)))</formula>
    </cfRule>
    <cfRule type="containsText" dxfId="66" priority="6" operator="containsText" text="No">
      <formula>NOT(ISERROR(SEARCH("No",K60)))</formula>
    </cfRule>
  </conditionalFormatting>
  <conditionalFormatting sqref="K22">
    <cfRule type="containsText" dxfId="65" priority="3" operator="containsText" text="Yes">
      <formula>NOT(ISERROR(SEARCH("Yes",K22)))</formula>
    </cfRule>
    <cfRule type="containsText" dxfId="64" priority="4" operator="containsText" text="No">
      <formula>NOT(ISERROR(SEARCH("No",K22)))</formula>
    </cfRule>
  </conditionalFormatting>
  <conditionalFormatting sqref="K22">
    <cfRule type="containsText" dxfId="63" priority="1" operator="containsText" text="Yes">
      <formula>NOT(ISERROR(SEARCH("Yes",K22)))</formula>
    </cfRule>
    <cfRule type="containsText" dxfId="62" priority="2" operator="containsText" text="No">
      <formula>NOT(ISERROR(SEARCH("No",K22)))</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5" operator="containsText" text="Yes" id="{42D3BB39-5E09-FA4C-BD73-CF674A5E42B1}">
            <xm:f>NOT(ISERROR(SEARCH("Yes",BGI!B47)))</xm:f>
            <x14:dxf>
              <font>
                <color rgb="FF006100"/>
              </font>
              <fill>
                <patternFill>
                  <bgColor rgb="FFC6EFCE"/>
                </patternFill>
              </fill>
            </x14:dxf>
          </x14:cfRule>
          <x14:cfRule type="containsText" priority="96" operator="containsText" text="No" id="{D1E98B98-948C-1448-B9D6-D96267F4E0FB}">
            <xm:f>NOT(ISERROR(SEARCH("No",BGI!B47)))</xm:f>
            <x14:dxf>
              <font>
                <color rgb="FF9C0006"/>
              </font>
              <fill>
                <patternFill>
                  <bgColor rgb="FFFFC7CE"/>
                </patternFill>
              </fill>
            </x14:dxf>
          </x14:cfRule>
          <xm:sqref>B20:C20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C224-DD15-D940-BCA4-D7A518CF393F}">
  <dimension ref="A2:W70"/>
  <sheetViews>
    <sheetView showGridLines="0" zoomScale="90" zoomScaleNormal="90" workbookViewId="0">
      <selection activeCell="E61" sqref="E61"/>
    </sheetView>
  </sheetViews>
  <sheetFormatPr defaultColWidth="10.76171875" defaultRowHeight="15" x14ac:dyDescent="0.2"/>
  <cols>
    <col min="1" max="1" width="4.3046875" customWidth="1"/>
    <col min="2" max="3" width="13.046875" customWidth="1"/>
    <col min="4" max="4" width="31.4765625" customWidth="1"/>
    <col min="5" max="5" width="27.44140625" customWidth="1"/>
    <col min="6" max="6" width="15.46875" customWidth="1"/>
    <col min="7" max="7" width="25.9609375" customWidth="1"/>
    <col min="8" max="9" width="18.6953125" customWidth="1"/>
    <col min="10" max="10" width="2.5546875" customWidth="1"/>
    <col min="11" max="11" width="2.5546875" style="81" customWidth="1"/>
    <col min="12" max="12" width="2.5546875" customWidth="1"/>
    <col min="13" max="13" width="18.16015625" customWidth="1"/>
    <col min="14" max="14" width="20.71484375" customWidth="1"/>
    <col min="15" max="15" width="20.984375" customWidth="1"/>
    <col min="16" max="16" width="19.37109375" customWidth="1"/>
  </cols>
  <sheetData>
    <row r="2" spans="1:23" ht="21" x14ac:dyDescent="0.3">
      <c r="B2" s="126" t="s">
        <v>249</v>
      </c>
      <c r="C2" s="126"/>
      <c r="D2" s="126"/>
      <c r="E2" s="126"/>
      <c r="F2" s="126"/>
      <c r="G2" s="126"/>
      <c r="H2" s="126"/>
      <c r="I2" s="126"/>
      <c r="M2" s="126" t="s">
        <v>296</v>
      </c>
      <c r="N2" s="126"/>
      <c r="O2" s="126"/>
    </row>
    <row r="3" spans="1:23" x14ac:dyDescent="0.2">
      <c r="B3" s="16"/>
      <c r="M3" s="41" t="s">
        <v>291</v>
      </c>
    </row>
    <row r="4" spans="1:23" ht="15.75" thickBot="1" x14ac:dyDescent="0.25">
      <c r="B4" s="16"/>
      <c r="M4" s="41"/>
    </row>
    <row r="5" spans="1:23" ht="15.95" customHeight="1" x14ac:dyDescent="0.2">
      <c r="D5" s="61" t="s">
        <v>74</v>
      </c>
      <c r="E5" s="109" t="s">
        <v>265</v>
      </c>
      <c r="M5" s="129"/>
      <c r="N5" s="130"/>
      <c r="O5" s="109" t="s">
        <v>185</v>
      </c>
    </row>
    <row r="6" spans="1:23" x14ac:dyDescent="0.2">
      <c r="D6" s="62" t="s">
        <v>264</v>
      </c>
      <c r="E6" s="63">
        <v>500000</v>
      </c>
      <c r="I6" s="46"/>
      <c r="M6" s="122" t="s">
        <v>289</v>
      </c>
      <c r="N6" s="123"/>
      <c r="O6" s="110">
        <f>SUM(O28:O48)</f>
        <v>6684374.5</v>
      </c>
    </row>
    <row r="7" spans="1:23" ht="15.75" thickBot="1" x14ac:dyDescent="0.25">
      <c r="D7" s="64" t="s">
        <v>73</v>
      </c>
      <c r="E7" s="65">
        <f>ROUNDDOWN(E6*94/96,0)</f>
        <v>489583</v>
      </c>
      <c r="M7" s="122" t="s">
        <v>186</v>
      </c>
      <c r="N7" s="123"/>
      <c r="O7" s="110">
        <f>SUM(O47:O47)</f>
        <v>734374.5</v>
      </c>
    </row>
    <row r="8" spans="1:23" x14ac:dyDescent="0.2">
      <c r="M8" s="122" t="s">
        <v>290</v>
      </c>
      <c r="N8" s="123"/>
      <c r="O8" s="110">
        <f>SUM(O16:O20)</f>
        <v>430954.75</v>
      </c>
    </row>
    <row r="9" spans="1:23" ht="15.75" thickBot="1" x14ac:dyDescent="0.25">
      <c r="B9" s="16"/>
      <c r="M9" s="124" t="s">
        <v>183</v>
      </c>
      <c r="N9" s="125"/>
      <c r="O9" s="111" t="e">
        <f>SUM(N57:N66)</f>
        <v>#VALUE!</v>
      </c>
    </row>
    <row r="10" spans="1:23" x14ac:dyDescent="0.2">
      <c r="B10" s="16"/>
    </row>
    <row r="11" spans="1:23" s="86" customFormat="1" x14ac:dyDescent="0.2">
      <c r="A11" s="84" t="s">
        <v>247</v>
      </c>
      <c r="B11" s="85"/>
      <c r="J11" s="87"/>
      <c r="K11" s="82"/>
      <c r="N11" s="87"/>
      <c r="O11" s="87"/>
      <c r="P11" s="87"/>
      <c r="Q11" s="87"/>
      <c r="R11" s="87"/>
      <c r="S11" s="87"/>
      <c r="T11" s="87"/>
      <c r="U11" s="87"/>
      <c r="V11" s="87"/>
      <c r="W11" s="87"/>
    </row>
    <row r="12" spans="1:23" s="39" customFormat="1" x14ac:dyDescent="0.2">
      <c r="A12" s="42"/>
      <c r="B12" s="83" t="s">
        <v>251</v>
      </c>
      <c r="C12"/>
      <c r="D12"/>
      <c r="E12"/>
      <c r="F12"/>
      <c r="G12"/>
      <c r="H12"/>
      <c r="I12"/>
      <c r="J12"/>
      <c r="K12" s="81"/>
      <c r="L12"/>
      <c r="M12"/>
      <c r="N12"/>
      <c r="O12"/>
      <c r="P12"/>
      <c r="Q12"/>
      <c r="R12"/>
      <c r="S12"/>
      <c r="T12"/>
      <c r="U12"/>
      <c r="V12"/>
      <c r="W12"/>
    </row>
    <row r="13" spans="1:23" x14ac:dyDescent="0.2">
      <c r="A13" s="42"/>
      <c r="B13" s="16"/>
      <c r="J13" s="39"/>
      <c r="K13" s="82"/>
      <c r="N13" s="39"/>
      <c r="O13" s="39"/>
      <c r="P13" s="39"/>
      <c r="Q13" s="39"/>
      <c r="R13" s="39"/>
      <c r="S13" s="39"/>
      <c r="T13" s="39"/>
      <c r="U13" s="39"/>
      <c r="V13" s="39"/>
      <c r="W13" s="39"/>
    </row>
    <row r="14" spans="1:23" s="39" customFormat="1" ht="32.1" customHeight="1" x14ac:dyDescent="0.2">
      <c r="B14" s="36" t="s">
        <v>138</v>
      </c>
      <c r="C14" s="36" t="s">
        <v>81</v>
      </c>
      <c r="D14" s="36" t="s">
        <v>53</v>
      </c>
      <c r="E14" s="36" t="s">
        <v>166</v>
      </c>
      <c r="F14" s="36" t="s">
        <v>41</v>
      </c>
      <c r="G14" s="36" t="s">
        <v>58</v>
      </c>
      <c r="H14" s="36" t="s">
        <v>26</v>
      </c>
      <c r="I14" s="38" t="s">
        <v>55</v>
      </c>
      <c r="K14" s="82"/>
      <c r="M14" s="36" t="s">
        <v>25</v>
      </c>
      <c r="N14" s="36" t="s">
        <v>182</v>
      </c>
      <c r="O14" s="38" t="s">
        <v>27</v>
      </c>
    </row>
    <row r="15" spans="1:23" x14ac:dyDescent="0.2">
      <c r="B15" s="57" t="s">
        <v>8</v>
      </c>
      <c r="C15" s="11"/>
      <c r="D15" s="10"/>
      <c r="E15" s="10"/>
      <c r="F15" s="11"/>
      <c r="G15" s="12"/>
      <c r="H15" s="14"/>
      <c r="I15" s="25"/>
      <c r="M15" s="77"/>
      <c r="N15" s="78"/>
      <c r="O15" s="27"/>
    </row>
    <row r="16" spans="1:23" x14ac:dyDescent="0.2">
      <c r="B16" s="9" t="s">
        <v>38</v>
      </c>
      <c r="C16" s="9" t="s">
        <v>54</v>
      </c>
      <c r="D16" s="3" t="s">
        <v>36</v>
      </c>
      <c r="E16" s="3"/>
      <c r="F16" s="9">
        <f>IFERROR(VLOOKUP($D16,'Unit costs '!$C$3:$E$55,2,FALSE),"")</f>
        <v>50</v>
      </c>
      <c r="G16" s="2" t="s">
        <v>56</v>
      </c>
      <c r="H16" s="1">
        <f>ROUNDUP(E6/96,0)</f>
        <v>5209</v>
      </c>
      <c r="I16" s="28">
        <f>ROUNDUP(H16/F16,0)</f>
        <v>105</v>
      </c>
      <c r="M16" s="75">
        <f>IFERROR(VLOOKUP($D16,'Unit costs '!$C$3:$E$55,3,FALSE),"")</f>
        <v>2.95</v>
      </c>
      <c r="N16" s="76">
        <f>M16/F16/96</f>
        <v>6.1458333333333341E-4</v>
      </c>
      <c r="O16" s="60">
        <f>I16*M16</f>
        <v>309.75</v>
      </c>
    </row>
    <row r="17" spans="1:23" x14ac:dyDescent="0.2">
      <c r="B17" s="9" t="s">
        <v>38</v>
      </c>
      <c r="C17" s="9" t="s">
        <v>54</v>
      </c>
      <c r="D17" s="3" t="s">
        <v>37</v>
      </c>
      <c r="E17" s="3"/>
      <c r="F17" s="9">
        <f>IFERROR(VLOOKUP($D17,'Unit costs '!$C$3:$E$55,2,FALSE),"")</f>
        <v>30</v>
      </c>
      <c r="G17" s="2" t="s">
        <v>56</v>
      </c>
      <c r="H17" s="1">
        <f>ROUNDUP(E6/96,0)</f>
        <v>5209</v>
      </c>
      <c r="I17" s="28">
        <f>ROUNDUP(H17/F17,0)</f>
        <v>174</v>
      </c>
      <c r="M17" s="75">
        <f>IFERROR(VLOOKUP($D17,'Unit costs '!$C$3:$E$55,3,FALSE),"")</f>
        <v>25.5</v>
      </c>
      <c r="N17" s="76">
        <f>M17/F17/96</f>
        <v>8.8541666666666664E-3</v>
      </c>
      <c r="O17" s="60">
        <f>I17*M17</f>
        <v>4437</v>
      </c>
    </row>
    <row r="18" spans="1:23" x14ac:dyDescent="0.2">
      <c r="B18" s="9" t="s">
        <v>38</v>
      </c>
      <c r="C18" s="9" t="s">
        <v>54</v>
      </c>
      <c r="D18" t="s">
        <v>83</v>
      </c>
      <c r="E18" t="s">
        <v>232</v>
      </c>
      <c r="F18" s="1" t="s">
        <v>233</v>
      </c>
      <c r="G18" s="2" t="s">
        <v>181</v>
      </c>
      <c r="H18" s="1">
        <f>ROUNDUP(E7/96,0)</f>
        <v>5100</v>
      </c>
      <c r="I18" s="28">
        <f>ROUNDUP(H18/(500/120),0)</f>
        <v>1224</v>
      </c>
      <c r="M18" s="75">
        <f>IFERROR(VLOOKUP($D18,'Unit costs '!$C$3:$E$55,3,FALSE),"")</f>
        <v>317</v>
      </c>
      <c r="N18" s="69">
        <f>M18/500/120</f>
        <v>5.2833333333333335E-3</v>
      </c>
      <c r="O18" s="60">
        <f>I18*M18</f>
        <v>388008</v>
      </c>
    </row>
    <row r="19" spans="1:23" ht="17.100000000000001" customHeight="1" x14ac:dyDescent="0.2">
      <c r="B19" s="9" t="s">
        <v>38</v>
      </c>
      <c r="C19" s="9" t="s">
        <v>54</v>
      </c>
      <c r="D19" t="s">
        <v>235</v>
      </c>
      <c r="E19" t="s">
        <v>238</v>
      </c>
      <c r="F19" s="1" t="s">
        <v>237</v>
      </c>
      <c r="G19" s="2" t="s">
        <v>234</v>
      </c>
      <c r="H19" s="1">
        <f>ROUNDUP(E6/1000,0)</f>
        <v>500</v>
      </c>
      <c r="I19" s="28">
        <f>H19/1</f>
        <v>500</v>
      </c>
      <c r="M19" s="75">
        <f>IFERROR(VLOOKUP($D19,'Unit costs '!$C$3:$E$55,3,FALSE),"")</f>
        <v>76.400000000000006</v>
      </c>
      <c r="N19" s="69">
        <f>M19/1000</f>
        <v>7.640000000000001E-2</v>
      </c>
      <c r="O19" s="60">
        <f>I19*M19</f>
        <v>38200</v>
      </c>
    </row>
    <row r="20" spans="1:23" x14ac:dyDescent="0.2">
      <c r="B20" s="9" t="s">
        <v>38</v>
      </c>
      <c r="C20" s="9" t="s">
        <v>54</v>
      </c>
      <c r="D20" t="s">
        <v>84</v>
      </c>
      <c r="F20" s="1"/>
      <c r="G20" s="2" t="s">
        <v>56</v>
      </c>
      <c r="H20" s="1">
        <f>ROUNDUP(E6/96,0)</f>
        <v>5209</v>
      </c>
      <c r="I20" s="60"/>
      <c r="M20" s="75">
        <f>IFERROR(VLOOKUP($D20,'Unit costs '!$C$3:$E$55,3,FALSE),"")</f>
        <v>0</v>
      </c>
      <c r="N20" s="76"/>
      <c r="O20" s="60">
        <f>I20*M20</f>
        <v>0</v>
      </c>
    </row>
    <row r="21" spans="1:23" x14ac:dyDescent="0.2">
      <c r="B21" s="11"/>
      <c r="C21" s="11"/>
      <c r="D21" s="10"/>
      <c r="E21" s="10"/>
      <c r="F21" s="11"/>
      <c r="G21" s="12"/>
      <c r="H21" s="14"/>
      <c r="I21" s="26"/>
      <c r="M21" s="77"/>
      <c r="N21" s="78"/>
      <c r="O21" s="26"/>
    </row>
    <row r="22" spans="1:23" x14ac:dyDescent="0.2">
      <c r="A22" s="42"/>
      <c r="B22" s="16"/>
    </row>
    <row r="23" spans="1:23" s="86" customFormat="1" x14ac:dyDescent="0.2">
      <c r="A23" s="84" t="s">
        <v>196</v>
      </c>
      <c r="B23" s="85"/>
      <c r="K23" s="81"/>
    </row>
    <row r="24" spans="1:23" s="39" customFormat="1" x14ac:dyDescent="0.2">
      <c r="A24" s="42"/>
      <c r="B24" s="83" t="s">
        <v>250</v>
      </c>
      <c r="C24"/>
      <c r="D24"/>
      <c r="E24"/>
      <c r="F24"/>
      <c r="G24"/>
      <c r="H24"/>
      <c r="I24"/>
      <c r="J24"/>
      <c r="K24" s="81"/>
      <c r="L24"/>
      <c r="M24"/>
      <c r="N24"/>
      <c r="O24"/>
      <c r="P24"/>
      <c r="Q24"/>
      <c r="R24"/>
      <c r="S24"/>
      <c r="T24"/>
      <c r="U24"/>
      <c r="V24"/>
      <c r="W24"/>
    </row>
    <row r="25" spans="1:23" x14ac:dyDescent="0.2">
      <c r="A25" s="42"/>
      <c r="B25" s="16"/>
    </row>
    <row r="26" spans="1:23" s="39" customFormat="1" ht="32.1" customHeight="1" x14ac:dyDescent="0.2">
      <c r="B26" s="36" t="s">
        <v>138</v>
      </c>
      <c r="C26" s="36" t="s">
        <v>81</v>
      </c>
      <c r="D26" s="36" t="s">
        <v>53</v>
      </c>
      <c r="E26" s="36" t="s">
        <v>166</v>
      </c>
      <c r="F26" s="36" t="s">
        <v>41</v>
      </c>
      <c r="G26" s="36" t="s">
        <v>58</v>
      </c>
      <c r="H26" s="36" t="s">
        <v>26</v>
      </c>
      <c r="I26" s="38" t="s">
        <v>55</v>
      </c>
      <c r="K26" s="82"/>
      <c r="M26" s="36" t="s">
        <v>25</v>
      </c>
      <c r="N26" s="36" t="s">
        <v>182</v>
      </c>
      <c r="O26" s="38" t="s">
        <v>27</v>
      </c>
    </row>
    <row r="27" spans="1:23" hidden="1" x14ac:dyDescent="0.2">
      <c r="B27" s="47" t="s">
        <v>245</v>
      </c>
      <c r="C27" s="11"/>
      <c r="D27" s="10"/>
      <c r="E27" s="10"/>
      <c r="F27" s="11"/>
      <c r="G27" s="12"/>
      <c r="H27" s="14"/>
      <c r="I27" s="25"/>
      <c r="M27" s="73"/>
      <c r="N27" s="74"/>
      <c r="O27" s="26"/>
    </row>
    <row r="28" spans="1:23" hidden="1" x14ac:dyDescent="0.2">
      <c r="B28" s="9" t="s">
        <v>38</v>
      </c>
      <c r="C28" s="9" t="s">
        <v>38</v>
      </c>
      <c r="D28" s="4" t="s">
        <v>172</v>
      </c>
      <c r="E28" s="4" t="s">
        <v>167</v>
      </c>
      <c r="F28" s="9">
        <v>50</v>
      </c>
      <c r="G28" s="2" t="s">
        <v>24</v>
      </c>
      <c r="H28" s="7">
        <f>$E$6</f>
        <v>500000</v>
      </c>
      <c r="I28" s="28">
        <f>ROUNDUP(H28/F28,0)</f>
        <v>10000</v>
      </c>
      <c r="M28" s="75">
        <f>10*F28</f>
        <v>500</v>
      </c>
      <c r="N28" s="76">
        <f>M28/F28</f>
        <v>10</v>
      </c>
      <c r="O28" s="60">
        <f>H28*N28</f>
        <v>5000000</v>
      </c>
    </row>
    <row r="29" spans="1:23" hidden="1" x14ac:dyDescent="0.2">
      <c r="B29" s="9" t="s">
        <v>38</v>
      </c>
      <c r="C29" s="9" t="s">
        <v>38</v>
      </c>
      <c r="D29" s="4" t="s">
        <v>134</v>
      </c>
      <c r="E29" s="4" t="s">
        <v>168</v>
      </c>
      <c r="F29" s="9">
        <v>50</v>
      </c>
      <c r="G29" s="2" t="s">
        <v>24</v>
      </c>
      <c r="H29" s="7">
        <f>$E$6</f>
        <v>500000</v>
      </c>
      <c r="I29" s="28">
        <f>ROUNDUP(H29/F29,0)</f>
        <v>10000</v>
      </c>
      <c r="M29" s="75" t="s">
        <v>171</v>
      </c>
      <c r="N29" s="76" t="s">
        <v>171</v>
      </c>
      <c r="O29" s="72" t="s">
        <v>171</v>
      </c>
    </row>
    <row r="30" spans="1:23" hidden="1" x14ac:dyDescent="0.2">
      <c r="B30" s="9" t="s">
        <v>38</v>
      </c>
      <c r="C30" s="9" t="s">
        <v>38</v>
      </c>
      <c r="D30" s="4" t="s">
        <v>135</v>
      </c>
      <c r="E30" s="4" t="s">
        <v>168</v>
      </c>
      <c r="F30" s="9">
        <v>50</v>
      </c>
      <c r="G30" s="2" t="s">
        <v>24</v>
      </c>
      <c r="H30" s="7">
        <f>$E$6</f>
        <v>500000</v>
      </c>
      <c r="I30" s="28">
        <f>ROUNDUP(H30/F30,0)</f>
        <v>10000</v>
      </c>
      <c r="M30" s="75" t="s">
        <v>171</v>
      </c>
      <c r="N30" s="76" t="s">
        <v>165</v>
      </c>
      <c r="O30" s="72" t="s">
        <v>171</v>
      </c>
    </row>
    <row r="31" spans="1:23" hidden="1" x14ac:dyDescent="0.2">
      <c r="B31" s="9" t="s">
        <v>38</v>
      </c>
      <c r="C31" s="9" t="s">
        <v>38</v>
      </c>
      <c r="D31" s="4" t="s">
        <v>136</v>
      </c>
      <c r="E31" s="4" t="s">
        <v>169</v>
      </c>
      <c r="F31" s="9">
        <v>50</v>
      </c>
      <c r="G31" s="2" t="s">
        <v>24</v>
      </c>
      <c r="H31" s="7">
        <f>$E$6</f>
        <v>500000</v>
      </c>
      <c r="I31" s="28">
        <f>ROUNDUP(H31/F31,0)</f>
        <v>10000</v>
      </c>
      <c r="M31" s="75" t="s">
        <v>171</v>
      </c>
      <c r="N31" s="76" t="s">
        <v>165</v>
      </c>
      <c r="O31" s="72" t="s">
        <v>171</v>
      </c>
    </row>
    <row r="32" spans="1:23" hidden="1" x14ac:dyDescent="0.2">
      <c r="B32" s="9" t="s">
        <v>38</v>
      </c>
      <c r="C32" s="9" t="s">
        <v>38</v>
      </c>
      <c r="D32" s="4" t="s">
        <v>137</v>
      </c>
      <c r="E32" s="4" t="s">
        <v>170</v>
      </c>
      <c r="F32" s="9">
        <v>50</v>
      </c>
      <c r="G32" s="2" t="s">
        <v>24</v>
      </c>
      <c r="H32" s="7">
        <f>$E$6</f>
        <v>500000</v>
      </c>
      <c r="I32" s="28">
        <f>ROUNDUP(H32/F32,0)</f>
        <v>10000</v>
      </c>
      <c r="M32" s="75" t="s">
        <v>171</v>
      </c>
      <c r="N32" s="76" t="s">
        <v>165</v>
      </c>
      <c r="O32" s="72" t="s">
        <v>171</v>
      </c>
    </row>
    <row r="33" spans="2:15" ht="25.5" x14ac:dyDescent="0.2">
      <c r="B33" s="49" t="s">
        <v>244</v>
      </c>
      <c r="C33" s="11"/>
      <c r="D33" s="10"/>
      <c r="E33" s="10"/>
      <c r="F33" s="11"/>
      <c r="G33" s="12"/>
      <c r="H33" s="14"/>
      <c r="I33" s="25"/>
      <c r="M33" s="77"/>
      <c r="N33" s="78"/>
      <c r="O33" s="26"/>
    </row>
    <row r="34" spans="2:15" ht="16.5" x14ac:dyDescent="0.2">
      <c r="B34" s="9" t="s">
        <v>38</v>
      </c>
      <c r="C34" s="9" t="s">
        <v>282</v>
      </c>
      <c r="D34" s="3" t="s">
        <v>157</v>
      </c>
      <c r="E34" s="3" t="s">
        <v>148</v>
      </c>
      <c r="F34" s="9">
        <v>96</v>
      </c>
      <c r="G34" s="2" t="s">
        <v>159</v>
      </c>
      <c r="H34" s="7">
        <f>$E$6*(70*96)/3000</f>
        <v>1120000</v>
      </c>
      <c r="I34" s="28">
        <f>ROUNDUP($E$6/3000,0)*70</f>
        <v>11690</v>
      </c>
      <c r="M34" s="75" t="s">
        <v>165</v>
      </c>
      <c r="N34" s="76">
        <f>0.7</f>
        <v>0.7</v>
      </c>
      <c r="O34" s="72">
        <f>N34*E6</f>
        <v>350000</v>
      </c>
    </row>
    <row r="35" spans="2:15" ht="16.5" x14ac:dyDescent="0.2">
      <c r="B35" s="9" t="s">
        <v>38</v>
      </c>
      <c r="C35" s="9" t="s">
        <v>282</v>
      </c>
      <c r="D35" s="3" t="s">
        <v>139</v>
      </c>
      <c r="E35" s="3" t="s">
        <v>149</v>
      </c>
      <c r="F35" s="9">
        <v>100</v>
      </c>
      <c r="G35" s="2" t="s">
        <v>160</v>
      </c>
      <c r="H35" s="7">
        <f>$E$6*(F35*252)/3000</f>
        <v>4200000</v>
      </c>
      <c r="I35" s="28">
        <f>ROUNDUP($E$6/3000,0)*252</f>
        <v>42084</v>
      </c>
      <c r="M35" s="75" t="s">
        <v>165</v>
      </c>
      <c r="N35" s="76" t="s">
        <v>165</v>
      </c>
      <c r="O35" s="72" t="s">
        <v>171</v>
      </c>
    </row>
    <row r="36" spans="2:15" ht="16.5" x14ac:dyDescent="0.2">
      <c r="B36" s="9" t="s">
        <v>38</v>
      </c>
      <c r="C36" s="9" t="s">
        <v>282</v>
      </c>
      <c r="D36" s="3" t="s">
        <v>140</v>
      </c>
      <c r="E36" s="3" t="s">
        <v>148</v>
      </c>
      <c r="F36" s="9">
        <v>96</v>
      </c>
      <c r="G36" s="2" t="s">
        <v>161</v>
      </c>
      <c r="H36" s="7">
        <f>$E$6*(F36*63)/3000</f>
        <v>1008000</v>
      </c>
      <c r="I36" s="28">
        <f>ROUNDUP($E$6/3000,0)*63</f>
        <v>10521</v>
      </c>
      <c r="M36" s="75" t="s">
        <v>165</v>
      </c>
      <c r="N36" s="76" t="s">
        <v>165</v>
      </c>
      <c r="O36" s="72" t="s">
        <v>171</v>
      </c>
    </row>
    <row r="37" spans="2:15" ht="16.5" x14ac:dyDescent="0.2">
      <c r="B37" s="9" t="s">
        <v>38</v>
      </c>
      <c r="C37" s="9" t="s">
        <v>282</v>
      </c>
      <c r="D37" s="3" t="s">
        <v>141</v>
      </c>
      <c r="E37" s="3" t="s">
        <v>150</v>
      </c>
      <c r="F37" s="9">
        <v>500</v>
      </c>
      <c r="G37" s="2" t="s">
        <v>162</v>
      </c>
      <c r="H37" s="7">
        <f>$E$6*(F37*1)/3000</f>
        <v>83333.333333333328</v>
      </c>
      <c r="I37" s="28">
        <f>ROUNDUP($E$6/3000,0)*1</f>
        <v>167</v>
      </c>
      <c r="M37" s="75" t="s">
        <v>165</v>
      </c>
      <c r="N37" s="76" t="s">
        <v>165</v>
      </c>
      <c r="O37" s="72" t="s">
        <v>171</v>
      </c>
    </row>
    <row r="38" spans="2:15" ht="16.5" x14ac:dyDescent="0.2">
      <c r="B38" s="9" t="s">
        <v>38</v>
      </c>
      <c r="C38" s="9" t="s">
        <v>282</v>
      </c>
      <c r="D38" s="3" t="s">
        <v>142</v>
      </c>
      <c r="E38" s="3" t="s">
        <v>151</v>
      </c>
      <c r="F38" s="9">
        <v>25</v>
      </c>
      <c r="G38" s="2" t="s">
        <v>162</v>
      </c>
      <c r="H38" s="7">
        <f>$E$6*(F38*1)/3000</f>
        <v>4166.666666666667</v>
      </c>
      <c r="I38" s="28">
        <f>ROUNDUP($E$6/3000,0)*1</f>
        <v>167</v>
      </c>
      <c r="M38" s="75" t="s">
        <v>165</v>
      </c>
      <c r="N38" s="76" t="s">
        <v>165</v>
      </c>
      <c r="O38" s="72" t="s">
        <v>171</v>
      </c>
    </row>
    <row r="39" spans="2:15" ht="16.5" x14ac:dyDescent="0.2">
      <c r="B39" s="9" t="s">
        <v>38</v>
      </c>
      <c r="C39" s="9" t="s">
        <v>282</v>
      </c>
      <c r="D39" s="3" t="s">
        <v>143</v>
      </c>
      <c r="E39" s="3" t="s">
        <v>152</v>
      </c>
      <c r="F39" s="9">
        <v>125</v>
      </c>
      <c r="G39" s="2" t="s">
        <v>163</v>
      </c>
      <c r="H39" s="7">
        <f>$E$6*(F39*3)/3000</f>
        <v>62500</v>
      </c>
      <c r="I39" s="28">
        <f>ROUNDUP($E$6/3000,0)*3</f>
        <v>501</v>
      </c>
      <c r="M39" s="75" t="s">
        <v>165</v>
      </c>
      <c r="N39" s="76" t="s">
        <v>165</v>
      </c>
      <c r="O39" s="72" t="s">
        <v>171</v>
      </c>
    </row>
    <row r="40" spans="2:15" ht="16.5" x14ac:dyDescent="0.2">
      <c r="B40" s="9" t="s">
        <v>38</v>
      </c>
      <c r="C40" s="9" t="s">
        <v>282</v>
      </c>
      <c r="D40" s="3" t="s">
        <v>144</v>
      </c>
      <c r="E40" s="3" t="s">
        <v>153</v>
      </c>
      <c r="F40" s="9">
        <v>125</v>
      </c>
      <c r="G40" s="2" t="s">
        <v>163</v>
      </c>
      <c r="H40" s="7">
        <f>$E$6*(F40*3)/3000</f>
        <v>62500</v>
      </c>
      <c r="I40" s="28">
        <f>ROUNDUP($E$6/3000,0)*3</f>
        <v>501</v>
      </c>
      <c r="M40" s="75" t="s">
        <v>165</v>
      </c>
      <c r="N40" s="76" t="s">
        <v>165</v>
      </c>
      <c r="O40" s="72" t="s">
        <v>171</v>
      </c>
    </row>
    <row r="41" spans="2:15" ht="16.5" x14ac:dyDescent="0.2">
      <c r="B41" s="9" t="s">
        <v>38</v>
      </c>
      <c r="C41" s="9" t="s">
        <v>282</v>
      </c>
      <c r="D41" s="3" t="s">
        <v>145</v>
      </c>
      <c r="E41" s="3" t="s">
        <v>154</v>
      </c>
      <c r="F41" s="9">
        <v>1</v>
      </c>
      <c r="G41" s="2" t="s">
        <v>163</v>
      </c>
      <c r="H41" s="7">
        <f>$E$6*(F41*3)/3000</f>
        <v>500</v>
      </c>
      <c r="I41" s="28">
        <f>ROUNDUP($E$6/3000,0)*3</f>
        <v>501</v>
      </c>
      <c r="M41" s="75" t="s">
        <v>165</v>
      </c>
      <c r="N41" s="76" t="s">
        <v>165</v>
      </c>
      <c r="O41" s="72" t="s">
        <v>171</v>
      </c>
    </row>
    <row r="42" spans="2:15" ht="16.5" x14ac:dyDescent="0.2">
      <c r="B42" s="9" t="s">
        <v>38</v>
      </c>
      <c r="C42" s="9" t="s">
        <v>282</v>
      </c>
      <c r="D42" s="3" t="s">
        <v>146</v>
      </c>
      <c r="E42" s="3" t="s">
        <v>155</v>
      </c>
      <c r="F42" s="9">
        <v>1</v>
      </c>
      <c r="G42" s="2" t="s">
        <v>162</v>
      </c>
      <c r="H42" s="7">
        <f>$E$6*(F42*1)/3000</f>
        <v>166.66666666666666</v>
      </c>
      <c r="I42" s="28">
        <f>ROUNDUP($E$6/3000,0)*1</f>
        <v>167</v>
      </c>
      <c r="M42" s="75" t="s">
        <v>165</v>
      </c>
      <c r="N42" s="76" t="s">
        <v>165</v>
      </c>
      <c r="O42" s="72" t="s">
        <v>171</v>
      </c>
    </row>
    <row r="43" spans="2:15" ht="16.5" x14ac:dyDescent="0.2">
      <c r="B43" s="9" t="s">
        <v>38</v>
      </c>
      <c r="C43" s="9" t="s">
        <v>282</v>
      </c>
      <c r="D43" s="3" t="s">
        <v>147</v>
      </c>
      <c r="E43" s="3" t="s">
        <v>156</v>
      </c>
      <c r="F43" s="9" t="s">
        <v>158</v>
      </c>
      <c r="G43" s="2" t="s">
        <v>164</v>
      </c>
      <c r="H43" s="7" t="s">
        <v>72</v>
      </c>
      <c r="I43" s="28">
        <f>ROUNDUP($E$6/3000,0)*12</f>
        <v>2004</v>
      </c>
      <c r="M43" s="75" t="s">
        <v>165</v>
      </c>
      <c r="N43" s="76" t="s">
        <v>165</v>
      </c>
      <c r="O43" s="72" t="s">
        <v>171</v>
      </c>
    </row>
    <row r="44" spans="2:15" x14ac:dyDescent="0.2">
      <c r="B44" s="50" t="s">
        <v>187</v>
      </c>
      <c r="C44" s="11"/>
      <c r="D44" s="10"/>
      <c r="E44" s="10"/>
      <c r="F44" s="11"/>
      <c r="G44" s="12"/>
      <c r="H44" s="14"/>
      <c r="I44" s="25"/>
      <c r="M44" s="77"/>
      <c r="N44" s="78"/>
      <c r="O44" s="26"/>
    </row>
    <row r="45" spans="2:15" x14ac:dyDescent="0.2">
      <c r="B45" s="9" t="s">
        <v>38</v>
      </c>
      <c r="C45" s="9" t="s">
        <v>38</v>
      </c>
      <c r="D45" s="3" t="s">
        <v>188</v>
      </c>
      <c r="E45" s="3" t="s">
        <v>189</v>
      </c>
      <c r="F45" s="9">
        <v>96</v>
      </c>
      <c r="G45" s="2" t="s">
        <v>190</v>
      </c>
      <c r="H45" s="7">
        <f>$E$6</f>
        <v>500000</v>
      </c>
      <c r="I45" s="28">
        <f>ROUNDUP(H45/F45,0)</f>
        <v>5209</v>
      </c>
      <c r="M45" s="75">
        <f>F45*1.2</f>
        <v>115.19999999999999</v>
      </c>
      <c r="N45" s="76">
        <f>M45/F45</f>
        <v>1.2</v>
      </c>
      <c r="O45" s="72">
        <f>N45*E6</f>
        <v>600000</v>
      </c>
    </row>
    <row r="46" spans="2:15" x14ac:dyDescent="0.2">
      <c r="B46" s="57" t="s">
        <v>243</v>
      </c>
      <c r="C46" s="11"/>
      <c r="D46" s="10"/>
      <c r="E46" s="10"/>
      <c r="F46" s="11"/>
      <c r="G46" s="12"/>
      <c r="H46" s="14"/>
      <c r="I46" s="25"/>
      <c r="M46" s="77"/>
      <c r="N46" s="78"/>
      <c r="O46" s="27"/>
    </row>
    <row r="47" spans="2:15" x14ac:dyDescent="0.2">
      <c r="B47" s="9" t="s">
        <v>38</v>
      </c>
      <c r="C47" s="9" t="s">
        <v>38</v>
      </c>
      <c r="D47" s="45" t="s">
        <v>240</v>
      </c>
      <c r="E47" s="19"/>
      <c r="F47" s="9">
        <v>1</v>
      </c>
      <c r="G47" s="2" t="s">
        <v>179</v>
      </c>
      <c r="H47" s="1">
        <f>SUM($E$7)</f>
        <v>489583</v>
      </c>
      <c r="I47" s="28">
        <f>ROUNDUP(H47/F47,0)</f>
        <v>489583</v>
      </c>
      <c r="M47" s="75">
        <f>IFERROR(VLOOKUP($D47,'Unit costs '!$C$3:$E$55,3,FALSE),"")</f>
        <v>1.5</v>
      </c>
      <c r="N47" s="76">
        <f>M47/F47</f>
        <v>1.5</v>
      </c>
      <c r="O47" s="60">
        <f>H47*N47</f>
        <v>734374.5</v>
      </c>
    </row>
    <row r="48" spans="2:15" x14ac:dyDescent="0.2">
      <c r="B48" s="11"/>
      <c r="C48" s="11"/>
      <c r="D48" s="10"/>
      <c r="E48" s="10"/>
      <c r="F48" s="11"/>
      <c r="G48" s="12"/>
      <c r="H48" s="14"/>
      <c r="I48" s="25"/>
      <c r="M48" s="77"/>
      <c r="N48" s="78"/>
      <c r="O48" s="26"/>
    </row>
    <row r="49" spans="1:23" x14ac:dyDescent="0.2">
      <c r="A49" s="42"/>
      <c r="B49" s="16"/>
    </row>
    <row r="50" spans="1:23" s="87" customFormat="1" x14ac:dyDescent="0.2">
      <c r="A50" s="84" t="s">
        <v>197</v>
      </c>
      <c r="B50" s="85"/>
      <c r="C50" s="86"/>
      <c r="D50" s="86"/>
      <c r="E50" s="86"/>
      <c r="F50" s="86"/>
      <c r="G50" s="86"/>
      <c r="H50" s="86"/>
      <c r="I50" s="86"/>
      <c r="J50" s="86"/>
      <c r="K50" s="81"/>
      <c r="L50" s="86"/>
      <c r="M50" s="86"/>
      <c r="N50" s="86"/>
      <c r="O50" s="86"/>
      <c r="P50" s="86"/>
      <c r="Q50" s="86"/>
      <c r="R50" s="86"/>
      <c r="S50" s="86"/>
      <c r="T50" s="86"/>
      <c r="U50" s="86"/>
      <c r="V50" s="86"/>
      <c r="W50" s="86"/>
    </row>
    <row r="51" spans="1:23" s="39" customFormat="1" x14ac:dyDescent="0.2">
      <c r="A51" s="42"/>
      <c r="B51" s="83" t="s">
        <v>248</v>
      </c>
      <c r="C51"/>
      <c r="D51"/>
      <c r="E51"/>
      <c r="F51"/>
      <c r="G51"/>
      <c r="H51"/>
      <c r="I51"/>
      <c r="J51"/>
      <c r="K51" s="81"/>
      <c r="L51"/>
      <c r="M51"/>
      <c r="N51"/>
      <c r="O51"/>
      <c r="P51"/>
      <c r="Q51"/>
      <c r="R51"/>
      <c r="S51"/>
      <c r="T51"/>
      <c r="U51"/>
      <c r="V51"/>
      <c r="W51"/>
    </row>
    <row r="52" spans="1:23" s="39" customFormat="1" x14ac:dyDescent="0.2">
      <c r="A52" s="42"/>
      <c r="B52" s="83" t="s">
        <v>253</v>
      </c>
      <c r="C52"/>
      <c r="D52"/>
      <c r="E52"/>
      <c r="F52"/>
      <c r="G52"/>
      <c r="H52"/>
      <c r="I52"/>
      <c r="J52"/>
      <c r="K52" s="81"/>
      <c r="L52"/>
      <c r="M52"/>
      <c r="N52"/>
      <c r="O52"/>
      <c r="P52"/>
      <c r="Q52"/>
      <c r="R52"/>
      <c r="S52"/>
      <c r="T52"/>
      <c r="U52"/>
      <c r="V52"/>
      <c r="W52"/>
    </row>
    <row r="53" spans="1:23" s="39" customFormat="1" x14ac:dyDescent="0.2">
      <c r="A53" s="42"/>
      <c r="B53" s="80"/>
      <c r="C53" s="17" t="s">
        <v>252</v>
      </c>
      <c r="D53"/>
      <c r="E53"/>
      <c r="F53"/>
      <c r="G53"/>
      <c r="H53"/>
      <c r="I53"/>
      <c r="J53"/>
      <c r="K53" s="81"/>
      <c r="L53"/>
      <c r="M53"/>
      <c r="N53"/>
      <c r="O53"/>
      <c r="P53"/>
      <c r="Q53"/>
      <c r="R53"/>
      <c r="S53"/>
      <c r="T53"/>
      <c r="U53"/>
      <c r="V53"/>
      <c r="W53"/>
    </row>
    <row r="54" spans="1:23" s="39" customFormat="1" x14ac:dyDescent="0.2">
      <c r="A54" s="42"/>
      <c r="B54" s="16"/>
      <c r="C54"/>
      <c r="D54"/>
      <c r="E54"/>
      <c r="F54"/>
      <c r="G54"/>
      <c r="H54"/>
      <c r="I54"/>
      <c r="J54"/>
      <c r="K54" s="81"/>
      <c r="L54"/>
      <c r="M54"/>
      <c r="N54"/>
      <c r="O54"/>
      <c r="P54"/>
      <c r="Q54"/>
      <c r="R54"/>
      <c r="S54"/>
      <c r="T54"/>
      <c r="U54"/>
      <c r="V54"/>
      <c r="W54"/>
    </row>
    <row r="55" spans="1:23" s="39" customFormat="1" ht="32.1" customHeight="1" x14ac:dyDescent="0.2">
      <c r="B55" s="36" t="s">
        <v>138</v>
      </c>
      <c r="C55" s="36" t="s">
        <v>81</v>
      </c>
      <c r="D55" s="36" t="s">
        <v>53</v>
      </c>
      <c r="E55" s="36" t="s">
        <v>166</v>
      </c>
      <c r="F55" s="36"/>
      <c r="G55" s="36" t="s">
        <v>58</v>
      </c>
      <c r="H55" s="37" t="s">
        <v>184</v>
      </c>
      <c r="I55" s="38" t="s">
        <v>55</v>
      </c>
      <c r="K55" s="82"/>
      <c r="M55" s="36" t="s">
        <v>25</v>
      </c>
      <c r="N55" s="38" t="s">
        <v>27</v>
      </c>
    </row>
    <row r="56" spans="1:23" x14ac:dyDescent="0.2">
      <c r="B56" s="57" t="s">
        <v>242</v>
      </c>
      <c r="C56" s="11"/>
      <c r="D56" s="10"/>
      <c r="E56" s="10"/>
      <c r="F56" s="11"/>
      <c r="G56" s="12"/>
      <c r="H56" s="15"/>
      <c r="I56" s="25"/>
      <c r="M56" s="77"/>
      <c r="N56" s="26"/>
    </row>
    <row r="57" spans="1:23" ht="17.25" x14ac:dyDescent="0.2">
      <c r="B57" s="9" t="s">
        <v>38</v>
      </c>
      <c r="C57" s="9" t="s">
        <v>54</v>
      </c>
      <c r="D57" s="3" t="s">
        <v>305</v>
      </c>
      <c r="E57" s="3" t="s">
        <v>199</v>
      </c>
      <c r="F57" s="9"/>
      <c r="G57" s="2" t="s">
        <v>52</v>
      </c>
      <c r="H57" s="23">
        <v>0</v>
      </c>
      <c r="I57" s="28">
        <f>H57</f>
        <v>0</v>
      </c>
      <c r="M57" s="75" t="str">
        <f>IFERROR(VLOOKUP($D57,'Unit costs '!$C$3:$E$55,3,FALSE),"")</f>
        <v/>
      </c>
      <c r="N57" s="60" t="e">
        <f>I57*M57</f>
        <v>#VALUE!</v>
      </c>
      <c r="O57" s="41"/>
    </row>
    <row r="58" spans="1:23" x14ac:dyDescent="0.2">
      <c r="B58" s="57" t="s">
        <v>241</v>
      </c>
      <c r="C58" s="11"/>
      <c r="D58" s="10"/>
      <c r="E58" s="10"/>
      <c r="F58" s="11"/>
      <c r="G58" s="12"/>
      <c r="H58" s="24"/>
      <c r="I58" s="25"/>
      <c r="M58" s="77"/>
      <c r="N58" s="27"/>
    </row>
    <row r="59" spans="1:23" x14ac:dyDescent="0.2">
      <c r="B59" s="9" t="s">
        <v>38</v>
      </c>
      <c r="C59" s="9" t="s">
        <v>54</v>
      </c>
      <c r="D59" s="3" t="s">
        <v>14</v>
      </c>
      <c r="E59" s="3"/>
      <c r="F59" s="9"/>
      <c r="G59" s="2" t="s">
        <v>52</v>
      </c>
      <c r="H59" s="23">
        <v>0</v>
      </c>
      <c r="I59" s="28">
        <f t="shared" ref="I59:I66" si="0">H59</f>
        <v>0</v>
      </c>
      <c r="M59" s="75">
        <f>IFERROR(VLOOKUP($D59,'Unit costs '!$C$3:$E$55,3,FALSE),"")</f>
        <v>256.82</v>
      </c>
      <c r="N59" s="60">
        <f t="shared" ref="N59:N64" si="1">I59*M59</f>
        <v>0</v>
      </c>
    </row>
    <row r="60" spans="1:23" x14ac:dyDescent="0.2">
      <c r="B60" s="9" t="s">
        <v>38</v>
      </c>
      <c r="C60" s="9" t="s">
        <v>54</v>
      </c>
      <c r="D60" s="3" t="s">
        <v>15</v>
      </c>
      <c r="E60" s="3"/>
      <c r="F60" s="9"/>
      <c r="G60" s="2" t="s">
        <v>52</v>
      </c>
      <c r="H60" s="23">
        <v>0</v>
      </c>
      <c r="I60" s="28">
        <f t="shared" si="0"/>
        <v>0</v>
      </c>
      <c r="M60" s="75">
        <f>IFERROR(VLOOKUP($D60,'Unit costs '!$C$3:$E$55,3,FALSE),"")</f>
        <v>2026.94</v>
      </c>
      <c r="N60" s="60">
        <f t="shared" si="1"/>
        <v>0</v>
      </c>
    </row>
    <row r="61" spans="1:23" x14ac:dyDescent="0.2">
      <c r="B61" s="9" t="s">
        <v>38</v>
      </c>
      <c r="C61" s="9" t="s">
        <v>54</v>
      </c>
      <c r="D61" s="3" t="s">
        <v>16</v>
      </c>
      <c r="E61" s="3"/>
      <c r="F61" s="9"/>
      <c r="G61" s="2" t="s">
        <v>52</v>
      </c>
      <c r="H61" s="23">
        <v>0</v>
      </c>
      <c r="I61" s="28">
        <f t="shared" si="0"/>
        <v>0</v>
      </c>
      <c r="M61" s="75">
        <f>IFERROR(VLOOKUP($D61,'Unit costs '!$C$3:$E$55,3,FALSE),"")</f>
        <v>226.94</v>
      </c>
      <c r="N61" s="60">
        <f t="shared" si="1"/>
        <v>0</v>
      </c>
    </row>
    <row r="62" spans="1:23" x14ac:dyDescent="0.2">
      <c r="B62" s="9" t="s">
        <v>38</v>
      </c>
      <c r="C62" s="9" t="s">
        <v>54</v>
      </c>
      <c r="D62" s="3" t="s">
        <v>17</v>
      </c>
      <c r="E62" s="3"/>
      <c r="F62" s="9"/>
      <c r="G62" s="2" t="s">
        <v>52</v>
      </c>
      <c r="H62" s="23">
        <v>0</v>
      </c>
      <c r="I62" s="28">
        <f t="shared" si="0"/>
        <v>0</v>
      </c>
      <c r="M62" s="75">
        <f>IFERROR(VLOOKUP($D62,'Unit costs '!$C$3:$E$55,3,FALSE),"")</f>
        <v>242</v>
      </c>
      <c r="N62" s="60">
        <f t="shared" si="1"/>
        <v>0</v>
      </c>
    </row>
    <row r="63" spans="1:23" x14ac:dyDescent="0.2">
      <c r="B63" s="9" t="s">
        <v>38</v>
      </c>
      <c r="C63" s="9" t="s">
        <v>54</v>
      </c>
      <c r="D63" s="3" t="s">
        <v>18</v>
      </c>
      <c r="E63" s="3"/>
      <c r="F63" s="9"/>
      <c r="G63" s="2" t="s">
        <v>52</v>
      </c>
      <c r="H63" s="23">
        <v>0</v>
      </c>
      <c r="I63" s="28">
        <f t="shared" si="0"/>
        <v>0</v>
      </c>
      <c r="M63" s="75">
        <f>IFERROR(VLOOKUP($D63,'Unit costs '!$C$3:$E$55,3,FALSE),"")</f>
        <v>3.61</v>
      </c>
      <c r="N63" s="60">
        <f t="shared" si="1"/>
        <v>0</v>
      </c>
    </row>
    <row r="64" spans="1:23" x14ac:dyDescent="0.2">
      <c r="B64" s="9" t="s">
        <v>38</v>
      </c>
      <c r="C64" s="9" t="s">
        <v>54</v>
      </c>
      <c r="D64" s="3" t="s">
        <v>59</v>
      </c>
      <c r="E64" s="3"/>
      <c r="F64" s="9"/>
      <c r="G64" s="2" t="s">
        <v>52</v>
      </c>
      <c r="H64" s="23">
        <v>0</v>
      </c>
      <c r="I64" s="28">
        <f t="shared" si="0"/>
        <v>0</v>
      </c>
      <c r="M64" s="75">
        <f>IFERROR(VLOOKUP($D64,'Unit costs '!$C$3:$E$55,3,FALSE),"")</f>
        <v>176</v>
      </c>
      <c r="N64" s="60">
        <f t="shared" si="1"/>
        <v>0</v>
      </c>
    </row>
    <row r="65" spans="2:14" x14ac:dyDescent="0.2">
      <c r="B65" s="9" t="s">
        <v>38</v>
      </c>
      <c r="C65" s="9" t="s">
        <v>54</v>
      </c>
      <c r="D65" s="3" t="s">
        <v>19</v>
      </c>
      <c r="E65" s="3"/>
      <c r="F65" s="9"/>
      <c r="G65" s="2" t="s">
        <v>52</v>
      </c>
      <c r="H65" s="23">
        <v>0</v>
      </c>
      <c r="I65" s="28">
        <f t="shared" si="0"/>
        <v>0</v>
      </c>
      <c r="M65" s="121" t="str">
        <f>IFERROR(VLOOKUP($D65,'Unit costs '!$C$3:$E$55,3,FALSE),"")</f>
        <v>variable</v>
      </c>
      <c r="N65" s="60" t="str">
        <f>IFERROR(I65*M65,"")</f>
        <v/>
      </c>
    </row>
    <row r="66" spans="2:14" x14ac:dyDescent="0.2">
      <c r="B66" s="9" t="s">
        <v>38</v>
      </c>
      <c r="C66" s="9" t="s">
        <v>54</v>
      </c>
      <c r="D66" s="3" t="s">
        <v>20</v>
      </c>
      <c r="E66" s="3"/>
      <c r="F66" s="9"/>
      <c r="G66" s="2" t="s">
        <v>52</v>
      </c>
      <c r="H66" s="23">
        <v>0</v>
      </c>
      <c r="I66" s="28">
        <f t="shared" si="0"/>
        <v>0</v>
      </c>
      <c r="M66" s="121" t="str">
        <f>IFERROR(VLOOKUP($D66,'Unit costs '!$C$3:$E$55,3,FALSE),"")</f>
        <v>variable</v>
      </c>
      <c r="N66" s="60" t="str">
        <f>IFERROR(I66*M66,"")</f>
        <v/>
      </c>
    </row>
    <row r="67" spans="2:14" x14ac:dyDescent="0.2">
      <c r="B67" s="11"/>
      <c r="C67" s="11"/>
      <c r="D67" s="10"/>
      <c r="E67" s="10"/>
      <c r="F67" s="11"/>
      <c r="G67" s="12"/>
      <c r="H67" s="15"/>
      <c r="I67" s="25"/>
      <c r="M67" s="77"/>
      <c r="N67" s="26"/>
    </row>
    <row r="68" spans="2:14" x14ac:dyDescent="0.2">
      <c r="B68" s="114" t="s">
        <v>127</v>
      </c>
    </row>
    <row r="69" spans="2:14" ht="17.25" x14ac:dyDescent="0.2">
      <c r="B69" s="79" t="s">
        <v>307</v>
      </c>
    </row>
    <row r="70" spans="2:14" ht="17.25" x14ac:dyDescent="0.2">
      <c r="B70" s="79" t="s">
        <v>306</v>
      </c>
    </row>
  </sheetData>
  <mergeCells count="7">
    <mergeCell ref="M8:N8"/>
    <mergeCell ref="M9:N9"/>
    <mergeCell ref="M2:O2"/>
    <mergeCell ref="B2:I2"/>
    <mergeCell ref="M5:N5"/>
    <mergeCell ref="M6:N6"/>
    <mergeCell ref="M7:N7"/>
  </mergeCells>
  <conditionalFormatting sqref="C28:C32 B45:C47 B59:C66">
    <cfRule type="containsText" dxfId="59" priority="49" operator="containsText" text="Yes">
      <formula>NOT(ISERROR(SEARCH("Yes",B28)))</formula>
    </cfRule>
    <cfRule type="containsText" dxfId="58" priority="50" operator="containsText" text="No">
      <formula>NOT(ISERROR(SEARCH("No",B28)))</formula>
    </cfRule>
  </conditionalFormatting>
  <conditionalFormatting sqref="C34:C43">
    <cfRule type="containsText" dxfId="57" priority="47" operator="containsText" text="Yes">
      <formula>NOT(ISERROR(SEARCH("Yes",C34)))</formula>
    </cfRule>
    <cfRule type="containsText" dxfId="56" priority="48" operator="containsText" text="No">
      <formula>NOT(ISERROR(SEARCH("No",C34)))</formula>
    </cfRule>
  </conditionalFormatting>
  <conditionalFormatting sqref="C16:C17 C20">
    <cfRule type="containsText" dxfId="55" priority="41" operator="containsText" text="Yes">
      <formula>NOT(ISERROR(SEARCH("Yes",C16)))</formula>
    </cfRule>
    <cfRule type="containsText" dxfId="54" priority="42" operator="containsText" text="No">
      <formula>NOT(ISERROR(SEARCH("No",C16)))</formula>
    </cfRule>
  </conditionalFormatting>
  <conditionalFormatting sqref="B16:B17 B20">
    <cfRule type="containsText" dxfId="53" priority="31" operator="containsText" text="Yes">
      <formula>NOT(ISERROR(SEARCH("Yes",B16)))</formula>
    </cfRule>
    <cfRule type="containsText" dxfId="52" priority="32" operator="containsText" text="No">
      <formula>NOT(ISERROR(SEARCH("No",B16)))</formula>
    </cfRule>
  </conditionalFormatting>
  <conditionalFormatting sqref="B28:B32">
    <cfRule type="containsText" dxfId="51" priority="39" operator="containsText" text="Yes">
      <formula>NOT(ISERROR(SEARCH("Yes",B28)))</formula>
    </cfRule>
    <cfRule type="containsText" dxfId="50" priority="40" operator="containsText" text="No">
      <formula>NOT(ISERROR(SEARCH("No",B28)))</formula>
    </cfRule>
  </conditionalFormatting>
  <conditionalFormatting sqref="B34:B43">
    <cfRule type="containsText" dxfId="49" priority="37" operator="containsText" text="Yes">
      <formula>NOT(ISERROR(SEARCH("Yes",B34)))</formula>
    </cfRule>
    <cfRule type="containsText" dxfId="48" priority="38" operator="containsText" text="No">
      <formula>NOT(ISERROR(SEARCH("No",B34)))</formula>
    </cfRule>
  </conditionalFormatting>
  <conditionalFormatting sqref="B57">
    <cfRule type="containsText" dxfId="47" priority="35" operator="containsText" text="Yes">
      <formula>NOT(ISERROR(SEARCH("Yes",B57)))</formula>
    </cfRule>
    <cfRule type="containsText" dxfId="46" priority="36" operator="containsText" text="No">
      <formula>NOT(ISERROR(SEARCH("No",B57)))</formula>
    </cfRule>
  </conditionalFormatting>
  <conditionalFormatting sqref="C57">
    <cfRule type="containsText" dxfId="45" priority="25" operator="containsText" text="Yes">
      <formula>NOT(ISERROR(SEARCH("Yes",C57)))</formula>
    </cfRule>
    <cfRule type="containsText" dxfId="44" priority="26" operator="containsText" text="No">
      <formula>NOT(ISERROR(SEARCH("No",C57)))</formula>
    </cfRule>
  </conditionalFormatting>
  <conditionalFormatting sqref="C18">
    <cfRule type="containsText" dxfId="43" priority="19" operator="containsText" text="Yes">
      <formula>NOT(ISERROR(SEARCH("Yes",C18)))</formula>
    </cfRule>
    <cfRule type="containsText" dxfId="42" priority="20" operator="containsText" text="No">
      <formula>NOT(ISERROR(SEARCH("No",C18)))</formula>
    </cfRule>
  </conditionalFormatting>
  <conditionalFormatting sqref="B18">
    <cfRule type="containsText" dxfId="41" priority="17" operator="containsText" text="Yes">
      <formula>NOT(ISERROR(SEARCH("Yes",B18)))</formula>
    </cfRule>
    <cfRule type="containsText" dxfId="40" priority="18" operator="containsText" text="No">
      <formula>NOT(ISERROR(SEARCH("No",B18)))</formula>
    </cfRule>
  </conditionalFormatting>
  <pageMargins left="0.7" right="0.7" top="0.75" bottom="0.75" header="0.3" footer="0.3"/>
  <pageSetup paperSize="9" orientation="portrait" horizontalDpi="0" verticalDpi="0"/>
  <extLst>
    <ext xmlns:x14="http://schemas.microsoft.com/office/spreadsheetml/2009/9/main" uri="{78C0D931-6437-407d-A8EE-F0AAD7539E65}">
      <x14:conditionalFormattings>
        <x14:conditionalFormatting xmlns:xm="http://schemas.microsoft.com/office/excel/2006/main">
          <x14:cfRule type="containsText" priority="99" operator="containsText" text="Yes" id="{E9123D00-2D41-894A-AEE2-4CD1730FFA9A}">
            <xm:f>NOT(ISERROR(SEARCH("Yes",'Thermo Fisher'!B23)))</xm:f>
            <x14:dxf>
              <font>
                <color rgb="FF006100"/>
              </font>
              <fill>
                <patternFill>
                  <bgColor rgb="FFC6EFCE"/>
                </patternFill>
              </fill>
            </x14:dxf>
          </x14:cfRule>
          <x14:cfRule type="containsText" priority="100" operator="containsText" text="No" id="{B670909A-5E11-554A-B064-FB171F31CDF6}">
            <xm:f>NOT(ISERROR(SEARCH("No",'Thermo Fisher'!B23)))</xm:f>
            <x14:dxf>
              <font>
                <color rgb="FF9C0006"/>
              </font>
              <fill>
                <patternFill>
                  <bgColor rgb="FFFFC7CE"/>
                </patternFill>
              </fill>
            </x14:dxf>
          </x14:cfRule>
          <xm:sqref>B19:C19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49F5-0D0C-2F4A-AB98-C64034B1774B}">
  <dimension ref="A2:Z48"/>
  <sheetViews>
    <sheetView showGridLines="0" zoomScale="90" workbookViewId="0">
      <selection activeCell="G7" sqref="G7"/>
    </sheetView>
  </sheetViews>
  <sheetFormatPr defaultColWidth="10.76171875" defaultRowHeight="15" x14ac:dyDescent="0.2"/>
  <cols>
    <col min="1" max="1" width="4.3046875" customWidth="1"/>
    <col min="2" max="3" width="13.046875" customWidth="1"/>
    <col min="4" max="4" width="34.97265625" customWidth="1"/>
    <col min="5" max="5" width="23.13671875" customWidth="1"/>
    <col min="6" max="6" width="15.46875" customWidth="1"/>
    <col min="7" max="7" width="26.6328125" customWidth="1"/>
    <col min="8" max="8" width="22.8671875" customWidth="1"/>
    <col min="9" max="9" width="25.15234375" customWidth="1"/>
    <col min="10" max="10" width="4.16796875" customWidth="1"/>
    <col min="11" max="11" width="4.16796875" style="81" customWidth="1"/>
    <col min="12" max="12" width="4.16796875" customWidth="1"/>
    <col min="13" max="13" width="18.16015625" customWidth="1"/>
    <col min="14" max="14" width="20.71484375" customWidth="1"/>
    <col min="15" max="15" width="20.984375" customWidth="1"/>
    <col min="16" max="16" width="20.4453125" customWidth="1"/>
  </cols>
  <sheetData>
    <row r="2" spans="1:26" ht="21" x14ac:dyDescent="0.3">
      <c r="B2" s="126" t="s">
        <v>249</v>
      </c>
      <c r="C2" s="126"/>
      <c r="D2" s="126"/>
      <c r="E2" s="126"/>
      <c r="F2" s="126"/>
      <c r="G2" s="126"/>
      <c r="H2" s="126"/>
      <c r="I2" s="126"/>
      <c r="M2" s="126" t="s">
        <v>296</v>
      </c>
      <c r="N2" s="126"/>
      <c r="O2" s="126"/>
    </row>
    <row r="3" spans="1:26" x14ac:dyDescent="0.2">
      <c r="B3" s="16"/>
      <c r="M3" s="41" t="s">
        <v>291</v>
      </c>
    </row>
    <row r="4" spans="1:26" ht="15.75" thickBot="1" x14ac:dyDescent="0.25">
      <c r="B4" s="16"/>
    </row>
    <row r="5" spans="1:26" ht="15.95" customHeight="1" x14ac:dyDescent="0.2">
      <c r="D5" s="61" t="s">
        <v>74</v>
      </c>
      <c r="E5" s="109" t="s">
        <v>265</v>
      </c>
      <c r="M5" s="127"/>
      <c r="N5" s="128"/>
      <c r="O5" s="109" t="s">
        <v>185</v>
      </c>
    </row>
    <row r="6" spans="1:26" x14ac:dyDescent="0.2">
      <c r="D6" s="62" t="s">
        <v>264</v>
      </c>
      <c r="E6" s="63">
        <v>5000</v>
      </c>
      <c r="M6" s="133" t="s">
        <v>289</v>
      </c>
      <c r="N6" s="134"/>
      <c r="O6" s="110">
        <f>SUM(O27:O30)</f>
        <v>99000</v>
      </c>
    </row>
    <row r="7" spans="1:26" ht="15.75" thickBot="1" x14ac:dyDescent="0.25">
      <c r="D7" s="64" t="s">
        <v>73</v>
      </c>
      <c r="E7" s="65">
        <f>E6</f>
        <v>5000</v>
      </c>
      <c r="M7" s="133" t="s">
        <v>186</v>
      </c>
      <c r="N7" s="134"/>
      <c r="O7" s="110">
        <f>SUM(O16:O16)</f>
        <v>8000</v>
      </c>
    </row>
    <row r="8" spans="1:26" x14ac:dyDescent="0.2">
      <c r="M8" s="133" t="s">
        <v>290</v>
      </c>
      <c r="N8" s="134"/>
      <c r="O8" s="110">
        <f>SUM(O18:O19)</f>
        <v>56.9</v>
      </c>
    </row>
    <row r="9" spans="1:26" ht="15.75" thickBot="1" x14ac:dyDescent="0.25">
      <c r="B9" s="16"/>
      <c r="M9" s="131" t="s">
        <v>183</v>
      </c>
      <c r="N9" s="132"/>
      <c r="O9" s="111">
        <f>SUM(N39:N45)</f>
        <v>0</v>
      </c>
    </row>
    <row r="10" spans="1:26" x14ac:dyDescent="0.2">
      <c r="B10" s="16"/>
    </row>
    <row r="11" spans="1:26" s="86" customFormat="1" x14ac:dyDescent="0.2">
      <c r="A11" s="84" t="s">
        <v>247</v>
      </c>
      <c r="B11" s="85"/>
      <c r="J11" s="87"/>
      <c r="K11" s="82"/>
      <c r="L11" s="87"/>
      <c r="M11" s="87"/>
      <c r="Q11" s="87"/>
      <c r="R11" s="87"/>
      <c r="S11" s="87"/>
      <c r="T11" s="87"/>
      <c r="U11" s="87"/>
      <c r="V11" s="87"/>
      <c r="W11" s="87"/>
      <c r="X11" s="87"/>
      <c r="Y11" s="87"/>
      <c r="Z11" s="87"/>
    </row>
    <row r="12" spans="1:26" s="39" customFormat="1" x14ac:dyDescent="0.2">
      <c r="A12" s="42"/>
      <c r="B12" s="83" t="s">
        <v>251</v>
      </c>
      <c r="C12"/>
      <c r="D12"/>
      <c r="E12"/>
      <c r="F12"/>
      <c r="G12"/>
      <c r="H12"/>
      <c r="I12"/>
      <c r="J12"/>
      <c r="K12" s="81"/>
      <c r="L12"/>
      <c r="M12"/>
      <c r="N12"/>
      <c r="O12"/>
      <c r="P12"/>
      <c r="Q12"/>
      <c r="R12"/>
      <c r="S12"/>
      <c r="T12"/>
      <c r="U12"/>
      <c r="V12"/>
      <c r="W12"/>
      <c r="X12"/>
      <c r="Y12"/>
      <c r="Z12"/>
    </row>
    <row r="13" spans="1:26" x14ac:dyDescent="0.2">
      <c r="A13" s="42"/>
      <c r="B13" s="16"/>
      <c r="J13" s="39"/>
      <c r="K13" s="82"/>
      <c r="L13" s="39"/>
      <c r="M13" s="39"/>
      <c r="Q13" s="39"/>
      <c r="R13" s="39"/>
      <c r="S13" s="39"/>
      <c r="T13" s="39"/>
      <c r="U13" s="39"/>
      <c r="V13" s="39"/>
      <c r="W13" s="39"/>
      <c r="X13" s="39"/>
      <c r="Y13" s="39"/>
      <c r="Z13" s="39"/>
    </row>
    <row r="14" spans="1:26" s="39" customFormat="1" ht="32.1" customHeight="1" x14ac:dyDescent="0.2">
      <c r="B14" s="36" t="s">
        <v>138</v>
      </c>
      <c r="C14" s="36" t="s">
        <v>81</v>
      </c>
      <c r="D14" s="36" t="s">
        <v>53</v>
      </c>
      <c r="E14" s="36" t="s">
        <v>166</v>
      </c>
      <c r="F14" s="36" t="s">
        <v>41</v>
      </c>
      <c r="G14" s="36" t="s">
        <v>58</v>
      </c>
      <c r="H14" s="36" t="s">
        <v>26</v>
      </c>
      <c r="I14" s="38" t="s">
        <v>55</v>
      </c>
      <c r="K14" s="82"/>
      <c r="M14" s="36" t="s">
        <v>25</v>
      </c>
      <c r="N14" s="36" t="s">
        <v>182</v>
      </c>
      <c r="O14" s="38" t="s">
        <v>27</v>
      </c>
    </row>
    <row r="15" spans="1:26" x14ac:dyDescent="0.2">
      <c r="B15" s="57" t="s">
        <v>243</v>
      </c>
      <c r="C15" s="11"/>
      <c r="D15" s="10"/>
      <c r="E15" s="10"/>
      <c r="F15" s="11"/>
      <c r="G15" s="12"/>
      <c r="H15" s="14"/>
      <c r="I15" s="25"/>
      <c r="M15" s="66"/>
      <c r="N15" s="30"/>
      <c r="O15" s="27"/>
    </row>
    <row r="16" spans="1:26" x14ac:dyDescent="0.2">
      <c r="B16" s="9" t="s">
        <v>38</v>
      </c>
      <c r="C16" s="9" t="s">
        <v>54</v>
      </c>
      <c r="D16" s="45" t="s">
        <v>76</v>
      </c>
      <c r="E16" s="19"/>
      <c r="F16" s="9">
        <v>1</v>
      </c>
      <c r="G16" s="2" t="s">
        <v>179</v>
      </c>
      <c r="H16" s="1">
        <f>SUM($E$7)</f>
        <v>5000</v>
      </c>
      <c r="I16" s="28">
        <f>ROUNDUP(H16/F16,0)</f>
        <v>5000</v>
      </c>
      <c r="M16" s="68">
        <f>IFERROR(VLOOKUP($D16,'Unit costs '!$C$3:$E$55,3,FALSE),"")</f>
        <v>1.6</v>
      </c>
      <c r="N16" s="29">
        <f>M16/F16</f>
        <v>1.6</v>
      </c>
      <c r="O16" s="60">
        <f>I16*N16</f>
        <v>8000</v>
      </c>
    </row>
    <row r="17" spans="1:26" x14ac:dyDescent="0.2">
      <c r="B17" s="57" t="s">
        <v>8</v>
      </c>
      <c r="C17" s="11"/>
      <c r="D17" s="10"/>
      <c r="E17" s="10"/>
      <c r="F17" s="11"/>
      <c r="G17" s="12"/>
      <c r="H17" s="14"/>
      <c r="I17" s="25"/>
      <c r="M17" s="66"/>
      <c r="N17" s="30"/>
      <c r="O17" s="27"/>
    </row>
    <row r="18" spans="1:26" x14ac:dyDescent="0.2">
      <c r="B18" s="9" t="s">
        <v>38</v>
      </c>
      <c r="C18" s="9" t="s">
        <v>54</v>
      </c>
      <c r="D18" s="3" t="s">
        <v>36</v>
      </c>
      <c r="E18" s="3"/>
      <c r="F18" s="9">
        <f>IFERROR(VLOOKUP($D18,'Unit costs '!$C$3:$E$55,2,FALSE),"")</f>
        <v>50</v>
      </c>
      <c r="G18" s="2" t="s">
        <v>56</v>
      </c>
      <c r="H18" s="1">
        <f>ROUNDUP(E6/96,0)</f>
        <v>53</v>
      </c>
      <c r="I18" s="28">
        <f>ROUNDUP(H18/F18,0)</f>
        <v>2</v>
      </c>
      <c r="M18" s="68">
        <f>IFERROR(VLOOKUP($D18,'Unit costs '!$C$3:$E$55,3,FALSE),"")</f>
        <v>2.95</v>
      </c>
      <c r="N18" s="29">
        <f>M18/F18/96</f>
        <v>6.1458333333333341E-4</v>
      </c>
      <c r="O18" s="60">
        <f>I18*M18</f>
        <v>5.9</v>
      </c>
    </row>
    <row r="19" spans="1:26" x14ac:dyDescent="0.2">
      <c r="B19" s="9" t="s">
        <v>38</v>
      </c>
      <c r="C19" s="9" t="s">
        <v>54</v>
      </c>
      <c r="D19" s="3" t="s">
        <v>37</v>
      </c>
      <c r="E19" s="3"/>
      <c r="F19" s="9">
        <f>IFERROR(VLOOKUP($D19,'Unit costs '!$C$3:$E$55,2,FALSE),"")</f>
        <v>30</v>
      </c>
      <c r="G19" s="2" t="s">
        <v>56</v>
      </c>
      <c r="H19" s="1">
        <f>ROUNDUP(E6/96,0)</f>
        <v>53</v>
      </c>
      <c r="I19" s="28">
        <f>ROUNDUP(H19/F19,0)</f>
        <v>2</v>
      </c>
      <c r="M19" s="68">
        <f>IFERROR(VLOOKUP($D19,'Unit costs '!$C$3:$E$55,3,FALSE),"")</f>
        <v>25.5</v>
      </c>
      <c r="N19" s="29">
        <f>M19/F19/96</f>
        <v>8.8541666666666664E-3</v>
      </c>
      <c r="O19" s="60">
        <f>I19*M19</f>
        <v>51</v>
      </c>
    </row>
    <row r="20" spans="1:26" x14ac:dyDescent="0.2">
      <c r="B20" s="11"/>
      <c r="C20" s="11"/>
      <c r="D20" s="10"/>
      <c r="E20" s="10"/>
      <c r="F20" s="11"/>
      <c r="G20" s="12"/>
      <c r="H20" s="14"/>
      <c r="I20" s="25"/>
      <c r="M20" s="73"/>
      <c r="N20" s="33"/>
      <c r="O20" s="26"/>
    </row>
    <row r="21" spans="1:26" x14ac:dyDescent="0.2">
      <c r="A21" s="42"/>
      <c r="B21" s="16"/>
    </row>
    <row r="22" spans="1:26" s="86" customFormat="1" x14ac:dyDescent="0.2">
      <c r="A22" s="84" t="s">
        <v>196</v>
      </c>
      <c r="B22" s="85"/>
      <c r="K22" s="81"/>
    </row>
    <row r="23" spans="1:26" s="39" customFormat="1" x14ac:dyDescent="0.2">
      <c r="A23" s="42"/>
      <c r="B23" s="83" t="s">
        <v>250</v>
      </c>
      <c r="C23"/>
      <c r="D23"/>
      <c r="E23"/>
      <c r="F23"/>
      <c r="G23"/>
      <c r="H23"/>
      <c r="I23"/>
      <c r="J23"/>
      <c r="K23" s="81"/>
      <c r="L23"/>
      <c r="M23"/>
      <c r="N23"/>
      <c r="O23"/>
      <c r="P23"/>
      <c r="Q23"/>
      <c r="R23"/>
      <c r="S23"/>
      <c r="T23"/>
      <c r="U23"/>
      <c r="V23"/>
      <c r="W23"/>
      <c r="X23"/>
      <c r="Y23"/>
      <c r="Z23"/>
    </row>
    <row r="24" spans="1:26" x14ac:dyDescent="0.2">
      <c r="A24" s="42"/>
      <c r="B24" s="16"/>
    </row>
    <row r="25" spans="1:26" s="39" customFormat="1" ht="32.1" customHeight="1" x14ac:dyDescent="0.2">
      <c r="B25" s="36" t="s">
        <v>138</v>
      </c>
      <c r="C25" s="36" t="s">
        <v>81</v>
      </c>
      <c r="D25" s="36" t="s">
        <v>53</v>
      </c>
      <c r="E25" s="36" t="s">
        <v>166</v>
      </c>
      <c r="F25" s="36" t="s">
        <v>41</v>
      </c>
      <c r="G25" s="36" t="s">
        <v>58</v>
      </c>
      <c r="H25" s="36" t="s">
        <v>26</v>
      </c>
      <c r="I25" s="38" t="s">
        <v>55</v>
      </c>
      <c r="K25" s="82"/>
      <c r="M25" s="36" t="s">
        <v>25</v>
      </c>
      <c r="N25" s="36" t="s">
        <v>182</v>
      </c>
      <c r="O25" s="38" t="s">
        <v>27</v>
      </c>
    </row>
    <row r="26" spans="1:26" x14ac:dyDescent="0.2">
      <c r="B26" s="47" t="s">
        <v>245</v>
      </c>
      <c r="C26" s="11"/>
      <c r="D26" s="10"/>
      <c r="E26" s="10"/>
      <c r="F26" s="11"/>
      <c r="G26" s="12"/>
      <c r="H26" s="14"/>
      <c r="I26" s="25"/>
      <c r="M26" s="73"/>
      <c r="N26" s="33"/>
      <c r="O26" s="26"/>
    </row>
    <row r="27" spans="1:26" x14ac:dyDescent="0.2">
      <c r="B27" s="9" t="s">
        <v>38</v>
      </c>
      <c r="C27" s="9" t="s">
        <v>38</v>
      </c>
      <c r="D27" s="4" t="s">
        <v>192</v>
      </c>
      <c r="E27" s="4"/>
      <c r="F27" s="9">
        <v>10</v>
      </c>
      <c r="G27" s="34" t="s">
        <v>194</v>
      </c>
      <c r="H27" s="7">
        <f>$E$6</f>
        <v>5000</v>
      </c>
      <c r="I27" s="28">
        <f>ROUNDUP(H27/F27,0)</f>
        <v>500</v>
      </c>
      <c r="M27" s="112">
        <v>198</v>
      </c>
      <c r="N27" s="31">
        <f>M27/F27</f>
        <v>19.8</v>
      </c>
      <c r="O27" s="60">
        <f>H27*N27</f>
        <v>99000</v>
      </c>
    </row>
    <row r="28" spans="1:26" x14ac:dyDescent="0.2">
      <c r="B28" s="57" t="s">
        <v>244</v>
      </c>
      <c r="C28" s="11"/>
      <c r="D28" s="10"/>
      <c r="E28" s="10"/>
      <c r="F28" s="11"/>
      <c r="G28" s="12"/>
      <c r="H28" s="14"/>
      <c r="I28" s="25"/>
      <c r="M28" s="73"/>
      <c r="N28" s="33"/>
      <c r="O28" s="26"/>
    </row>
    <row r="29" spans="1:26" x14ac:dyDescent="0.2">
      <c r="B29" s="9" t="s">
        <v>38</v>
      </c>
      <c r="C29" s="9" t="s">
        <v>38</v>
      </c>
      <c r="D29" s="3" t="s">
        <v>193</v>
      </c>
      <c r="E29" s="3"/>
      <c r="F29" s="9">
        <v>12</v>
      </c>
      <c r="G29" s="34" t="s">
        <v>194</v>
      </c>
      <c r="H29" s="7">
        <f>I27*12</f>
        <v>6000</v>
      </c>
      <c r="I29" s="28">
        <f>I27</f>
        <v>500</v>
      </c>
      <c r="M29" s="113" t="s">
        <v>165</v>
      </c>
      <c r="N29" s="31" t="s">
        <v>165</v>
      </c>
      <c r="O29" s="72" t="s">
        <v>171</v>
      </c>
    </row>
    <row r="30" spans="1:26" x14ac:dyDescent="0.2">
      <c r="B30" s="11"/>
      <c r="C30" s="11"/>
      <c r="D30" s="10"/>
      <c r="E30" s="10"/>
      <c r="F30" s="11"/>
      <c r="G30" s="12"/>
      <c r="H30" s="14"/>
      <c r="I30" s="25"/>
      <c r="M30" s="73"/>
      <c r="N30" s="33"/>
      <c r="O30" s="26"/>
    </row>
    <row r="31" spans="1:26" x14ac:dyDescent="0.2">
      <c r="A31" s="42"/>
      <c r="B31" s="16"/>
    </row>
    <row r="32" spans="1:26" s="87" customFormat="1" x14ac:dyDescent="0.2">
      <c r="A32" s="84" t="s">
        <v>197</v>
      </c>
      <c r="B32" s="85"/>
      <c r="C32" s="86"/>
      <c r="D32" s="86"/>
      <c r="E32" s="86"/>
      <c r="F32" s="86"/>
      <c r="G32" s="86"/>
      <c r="H32" s="86"/>
      <c r="I32" s="86"/>
      <c r="J32" s="86"/>
      <c r="K32" s="81"/>
      <c r="L32" s="86"/>
      <c r="M32" s="86"/>
      <c r="N32" s="86"/>
      <c r="O32" s="86"/>
      <c r="P32" s="86"/>
      <c r="Q32" s="86"/>
      <c r="R32" s="86"/>
      <c r="S32" s="86"/>
      <c r="T32" s="86"/>
      <c r="U32" s="86"/>
      <c r="V32" s="86"/>
      <c r="W32" s="86"/>
      <c r="X32" s="86"/>
      <c r="Y32" s="86"/>
      <c r="Z32" s="86"/>
    </row>
    <row r="33" spans="1:26" s="39" customFormat="1" x14ac:dyDescent="0.2">
      <c r="A33" s="42"/>
      <c r="B33" s="83" t="s">
        <v>248</v>
      </c>
      <c r="C33"/>
      <c r="D33"/>
      <c r="E33"/>
      <c r="F33"/>
      <c r="G33"/>
      <c r="H33"/>
      <c r="I33"/>
      <c r="J33"/>
      <c r="K33" s="81"/>
      <c r="L33"/>
      <c r="M33"/>
      <c r="N33"/>
      <c r="O33"/>
      <c r="P33"/>
      <c r="Q33"/>
      <c r="R33"/>
      <c r="S33"/>
      <c r="T33"/>
      <c r="U33"/>
      <c r="V33"/>
      <c r="W33"/>
      <c r="X33"/>
      <c r="Y33"/>
      <c r="Z33"/>
    </row>
    <row r="34" spans="1:26" s="39" customFormat="1" x14ac:dyDescent="0.2">
      <c r="A34" s="42"/>
      <c r="B34" s="83" t="s">
        <v>254</v>
      </c>
      <c r="C34"/>
      <c r="D34"/>
      <c r="E34"/>
      <c r="F34"/>
      <c r="G34"/>
      <c r="H34"/>
      <c r="I34"/>
      <c r="J34"/>
      <c r="K34" s="81"/>
      <c r="L34"/>
      <c r="M34"/>
      <c r="N34"/>
      <c r="O34"/>
      <c r="P34"/>
      <c r="Q34"/>
      <c r="R34"/>
      <c r="S34"/>
      <c r="T34"/>
      <c r="U34"/>
      <c r="V34"/>
      <c r="W34"/>
      <c r="X34"/>
      <c r="Y34"/>
      <c r="Z34"/>
    </row>
    <row r="35" spans="1:26" s="39" customFormat="1" x14ac:dyDescent="0.2">
      <c r="A35" s="42"/>
      <c r="B35" s="80"/>
      <c r="C35" s="17" t="s">
        <v>252</v>
      </c>
      <c r="D35"/>
      <c r="E35"/>
      <c r="F35"/>
      <c r="G35"/>
      <c r="H35"/>
      <c r="I35"/>
      <c r="J35"/>
      <c r="K35" s="81"/>
      <c r="L35"/>
      <c r="M35"/>
      <c r="N35"/>
      <c r="O35"/>
      <c r="P35"/>
      <c r="Q35"/>
      <c r="R35"/>
      <c r="S35"/>
      <c r="T35"/>
      <c r="U35"/>
      <c r="V35"/>
      <c r="W35"/>
      <c r="X35"/>
      <c r="Y35"/>
      <c r="Z35"/>
    </row>
    <row r="36" spans="1:26" x14ac:dyDescent="0.2">
      <c r="A36" s="42"/>
      <c r="B36" s="16"/>
    </row>
    <row r="37" spans="1:26" s="39" customFormat="1" ht="32.1" customHeight="1" x14ac:dyDescent="0.2">
      <c r="B37" s="36" t="s">
        <v>138</v>
      </c>
      <c r="C37" s="36" t="s">
        <v>81</v>
      </c>
      <c r="D37" s="36" t="s">
        <v>53</v>
      </c>
      <c r="E37" s="36" t="s">
        <v>166</v>
      </c>
      <c r="F37" s="36"/>
      <c r="G37" s="36" t="s">
        <v>58</v>
      </c>
      <c r="H37" s="37" t="s">
        <v>184</v>
      </c>
      <c r="I37" s="38" t="s">
        <v>55</v>
      </c>
      <c r="K37" s="82"/>
      <c r="M37" s="36" t="s">
        <v>25</v>
      </c>
      <c r="N37" s="38" t="s">
        <v>27</v>
      </c>
    </row>
    <row r="38" spans="1:26" x14ac:dyDescent="0.2">
      <c r="B38" s="57" t="s">
        <v>242</v>
      </c>
      <c r="C38" s="11"/>
      <c r="D38" s="10"/>
      <c r="E38" s="10"/>
      <c r="F38" s="11"/>
      <c r="G38" s="12"/>
      <c r="H38" s="24"/>
      <c r="I38" s="25"/>
      <c r="M38" s="66"/>
      <c r="N38" s="27"/>
    </row>
    <row r="39" spans="1:26" ht="16.5" x14ac:dyDescent="0.2">
      <c r="B39" s="9" t="s">
        <v>282</v>
      </c>
      <c r="C39" s="9" t="s">
        <v>54</v>
      </c>
      <c r="D39" s="3" t="s">
        <v>266</v>
      </c>
      <c r="E39" s="3" t="s">
        <v>281</v>
      </c>
      <c r="F39" s="9"/>
      <c r="G39" s="2" t="s">
        <v>52</v>
      </c>
      <c r="H39" s="23">
        <v>0</v>
      </c>
      <c r="I39" s="28">
        <f t="shared" ref="I39" si="0">H39</f>
        <v>0</v>
      </c>
      <c r="M39" s="68">
        <f>IFERROR(VLOOKUP($D39,'Unit costs '!$C$3:$E$55,3,FALSE),"")</f>
        <v>8945</v>
      </c>
      <c r="N39" s="117">
        <f t="shared" ref="N39:N45" si="1">M39*I39</f>
        <v>0</v>
      </c>
    </row>
    <row r="40" spans="1:26" ht="16.5" x14ac:dyDescent="0.2">
      <c r="B40" s="9" t="s">
        <v>282</v>
      </c>
      <c r="C40" s="9" t="s">
        <v>54</v>
      </c>
      <c r="D40" s="3" t="s">
        <v>267</v>
      </c>
      <c r="E40" s="3" t="s">
        <v>280</v>
      </c>
      <c r="F40" s="9"/>
      <c r="G40" s="2" t="s">
        <v>52</v>
      </c>
      <c r="H40" s="23">
        <v>0</v>
      </c>
      <c r="I40" s="28">
        <f t="shared" ref="I40:I45" si="2">H40</f>
        <v>0</v>
      </c>
      <c r="M40" s="68">
        <f>IFERROR(VLOOKUP($D40,'Unit costs '!$C$3:$E$55,3,FALSE),"")</f>
        <v>11780</v>
      </c>
      <c r="N40" s="117">
        <f t="shared" si="1"/>
        <v>0</v>
      </c>
    </row>
    <row r="41" spans="1:26" ht="16.5" x14ac:dyDescent="0.2">
      <c r="B41" s="9" t="s">
        <v>282</v>
      </c>
      <c r="C41" s="9" t="s">
        <v>54</v>
      </c>
      <c r="D41" s="3" t="s">
        <v>268</v>
      </c>
      <c r="E41" s="3" t="s">
        <v>279</v>
      </c>
      <c r="F41" s="9"/>
      <c r="G41" s="2" t="s">
        <v>52</v>
      </c>
      <c r="H41" s="23">
        <v>0</v>
      </c>
      <c r="I41" s="28">
        <f t="shared" si="2"/>
        <v>0</v>
      </c>
      <c r="M41" s="68">
        <f>IFERROR(VLOOKUP($D41,'Unit costs '!$C$3:$E$55,3,FALSE),"")</f>
        <v>12280</v>
      </c>
      <c r="N41" s="117">
        <f t="shared" si="1"/>
        <v>0</v>
      </c>
    </row>
    <row r="42" spans="1:26" ht="16.5" x14ac:dyDescent="0.2">
      <c r="B42" s="9" t="s">
        <v>282</v>
      </c>
      <c r="C42" s="9" t="s">
        <v>54</v>
      </c>
      <c r="D42" s="3" t="s">
        <v>270</v>
      </c>
      <c r="E42" s="3" t="s">
        <v>278</v>
      </c>
      <c r="F42" s="9"/>
      <c r="G42" s="2" t="s">
        <v>52</v>
      </c>
      <c r="H42" s="23">
        <v>0</v>
      </c>
      <c r="I42" s="28">
        <f t="shared" si="2"/>
        <v>0</v>
      </c>
      <c r="M42" s="68">
        <f>IFERROR(VLOOKUP($D42,'Unit costs '!$C$3:$E$55,3,FALSE),"")</f>
        <v>17000</v>
      </c>
      <c r="N42" s="117">
        <f t="shared" si="1"/>
        <v>0</v>
      </c>
    </row>
    <row r="43" spans="1:26" ht="16.5" x14ac:dyDescent="0.2">
      <c r="B43" s="9" t="s">
        <v>282</v>
      </c>
      <c r="C43" s="9" t="s">
        <v>54</v>
      </c>
      <c r="D43" s="3" t="s">
        <v>272</v>
      </c>
      <c r="E43" s="3" t="s">
        <v>273</v>
      </c>
      <c r="F43" s="9"/>
      <c r="G43" s="2" t="s">
        <v>52</v>
      </c>
      <c r="H43" s="23">
        <v>0</v>
      </c>
      <c r="I43" s="28">
        <f t="shared" si="2"/>
        <v>0</v>
      </c>
      <c r="M43" s="68">
        <f>IFERROR(VLOOKUP($D43,'Unit costs '!$C$3:$E$55,3,FALSE),"")</f>
        <v>17500</v>
      </c>
      <c r="N43" s="117">
        <f t="shared" si="1"/>
        <v>0</v>
      </c>
    </row>
    <row r="44" spans="1:26" ht="16.5" x14ac:dyDescent="0.2">
      <c r="B44" s="9" t="s">
        <v>282</v>
      </c>
      <c r="C44" s="9" t="s">
        <v>54</v>
      </c>
      <c r="D44" s="3" t="s">
        <v>274</v>
      </c>
      <c r="E44" s="3" t="s">
        <v>275</v>
      </c>
      <c r="F44" s="9"/>
      <c r="G44" s="2" t="s">
        <v>52</v>
      </c>
      <c r="H44" s="23">
        <v>0</v>
      </c>
      <c r="I44" s="28">
        <f t="shared" si="2"/>
        <v>0</v>
      </c>
      <c r="M44" s="68">
        <f>IFERROR(VLOOKUP($D44,'Unit costs '!$C$3:$E$55,3,FALSE),"")</f>
        <v>63850</v>
      </c>
      <c r="N44" s="117">
        <f t="shared" si="1"/>
        <v>0</v>
      </c>
    </row>
    <row r="45" spans="1:26" ht="16.5" x14ac:dyDescent="0.2">
      <c r="B45" s="9" t="s">
        <v>282</v>
      </c>
      <c r="C45" s="9" t="s">
        <v>54</v>
      </c>
      <c r="D45" s="3" t="s">
        <v>276</v>
      </c>
      <c r="E45" s="3" t="s">
        <v>277</v>
      </c>
      <c r="F45" s="9"/>
      <c r="G45" s="2" t="s">
        <v>52</v>
      </c>
      <c r="H45" s="23">
        <v>0</v>
      </c>
      <c r="I45" s="28">
        <f t="shared" si="2"/>
        <v>0</v>
      </c>
      <c r="M45" s="68">
        <f>IFERROR(VLOOKUP($D45,'Unit costs '!$C$3:$E$55,3,FALSE),"")</f>
        <v>64350</v>
      </c>
      <c r="N45" s="117">
        <f t="shared" si="1"/>
        <v>0</v>
      </c>
    </row>
    <row r="46" spans="1:26" x14ac:dyDescent="0.2">
      <c r="B46" s="11"/>
      <c r="C46" s="11"/>
      <c r="D46" s="10"/>
      <c r="E46" s="10"/>
      <c r="F46" s="11"/>
      <c r="G46" s="12"/>
      <c r="H46" s="15"/>
      <c r="I46" s="25"/>
      <c r="M46" s="73"/>
      <c r="N46" s="26"/>
    </row>
    <row r="47" spans="1:26" x14ac:dyDescent="0.2">
      <c r="B47" s="41" t="s">
        <v>127</v>
      </c>
    </row>
    <row r="48" spans="1:26" ht="17.25" x14ac:dyDescent="0.2">
      <c r="B48" s="79" t="s">
        <v>283</v>
      </c>
    </row>
  </sheetData>
  <mergeCells count="7">
    <mergeCell ref="M9:N9"/>
    <mergeCell ref="B2:I2"/>
    <mergeCell ref="M2:O2"/>
    <mergeCell ref="M5:N5"/>
    <mergeCell ref="M6:N6"/>
    <mergeCell ref="M7:N7"/>
    <mergeCell ref="M8:N8"/>
  </mergeCells>
  <conditionalFormatting sqref="B29:C29 B18:C19 B16:C16 B36:C45">
    <cfRule type="containsText" dxfId="37" priority="37" operator="containsText" text="Yes">
      <formula>NOT(ISERROR(SEARCH("Yes",B16)))</formula>
    </cfRule>
    <cfRule type="containsText" dxfId="36" priority="38" operator="containsText" text="No">
      <formula>NOT(ISERROR(SEARCH("No",B16)))</formula>
    </cfRule>
  </conditionalFormatting>
  <conditionalFormatting sqref="C27">
    <cfRule type="containsText" dxfId="35" priority="19" operator="containsText" text="Yes">
      <formula>NOT(ISERROR(SEARCH("Yes",C27)))</formula>
    </cfRule>
    <cfRule type="containsText" dxfId="34" priority="20" operator="containsText" text="No">
      <formula>NOT(ISERROR(SEARCH("No",C27)))</formula>
    </cfRule>
  </conditionalFormatting>
  <conditionalFormatting sqref="B27">
    <cfRule type="containsText" dxfId="33" priority="17" operator="containsText" text="Yes">
      <formula>NOT(ISERROR(SEARCH("Yes",B27)))</formula>
    </cfRule>
    <cfRule type="containsText" dxfId="32" priority="18" operator="containsText" text="No">
      <formula>NOT(ISERROR(SEARCH("No",B27)))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DFBB3-827B-9447-AAD8-F40E561F4916}">
  <dimension ref="A2:Z62"/>
  <sheetViews>
    <sheetView showGridLines="0" zoomScale="90" zoomScaleNormal="90" workbookViewId="0">
      <selection activeCell="A14" sqref="A14:XFD14"/>
    </sheetView>
  </sheetViews>
  <sheetFormatPr defaultColWidth="10.76171875" defaultRowHeight="15" x14ac:dyDescent="0.2"/>
  <cols>
    <col min="1" max="1" width="4.16796875" customWidth="1"/>
    <col min="2" max="3" width="13.046875" customWidth="1"/>
    <col min="4" max="4" width="37.80078125" customWidth="1"/>
    <col min="5" max="5" width="19.1015625" customWidth="1"/>
    <col min="6" max="6" width="16.27734375" customWidth="1"/>
    <col min="7" max="9" width="23.67578125" customWidth="1"/>
    <col min="10" max="10" width="4.83984375" customWidth="1"/>
    <col min="11" max="11" width="4.83984375" style="81" customWidth="1"/>
    <col min="12" max="12" width="4.83984375" customWidth="1"/>
    <col min="13" max="13" width="16.6796875" customWidth="1"/>
    <col min="14" max="14" width="15.46875" customWidth="1"/>
    <col min="15" max="15" width="15.33203125" customWidth="1"/>
    <col min="16" max="16" width="16.6796875" customWidth="1"/>
  </cols>
  <sheetData>
    <row r="2" spans="1:26" ht="21" x14ac:dyDescent="0.3">
      <c r="B2" s="126" t="s">
        <v>249</v>
      </c>
      <c r="C2" s="126"/>
      <c r="D2" s="126"/>
      <c r="E2" s="126"/>
      <c r="F2" s="126"/>
      <c r="G2" s="126"/>
      <c r="H2" s="126"/>
      <c r="I2" s="126"/>
      <c r="M2" s="126" t="s">
        <v>296</v>
      </c>
      <c r="N2" s="126"/>
      <c r="O2" s="126"/>
    </row>
    <row r="3" spans="1:26" x14ac:dyDescent="0.2">
      <c r="B3" s="16"/>
      <c r="M3" s="41" t="s">
        <v>291</v>
      </c>
    </row>
    <row r="4" spans="1:26" ht="15.75" thickBot="1" x14ac:dyDescent="0.25">
      <c r="B4" s="16"/>
    </row>
    <row r="5" spans="1:26" ht="15.95" customHeight="1" x14ac:dyDescent="0.2">
      <c r="D5" s="61" t="s">
        <v>74</v>
      </c>
      <c r="E5" s="109" t="s">
        <v>265</v>
      </c>
      <c r="M5" s="127"/>
      <c r="N5" s="128"/>
      <c r="O5" s="109" t="s">
        <v>185</v>
      </c>
    </row>
    <row r="6" spans="1:26" x14ac:dyDescent="0.2">
      <c r="D6" s="62" t="s">
        <v>264</v>
      </c>
      <c r="E6" s="63">
        <v>5000</v>
      </c>
      <c r="M6" s="122" t="s">
        <v>289</v>
      </c>
      <c r="N6" s="123"/>
      <c r="O6" s="110">
        <f>SUM(O27:O40)</f>
        <v>76050</v>
      </c>
    </row>
    <row r="7" spans="1:26" ht="15.75" thickBot="1" x14ac:dyDescent="0.25">
      <c r="D7" s="64" t="s">
        <v>73</v>
      </c>
      <c r="E7" s="65">
        <f>ROUNDDOWN(E6*94/96,0)</f>
        <v>4895</v>
      </c>
      <c r="M7" s="122" t="s">
        <v>186</v>
      </c>
      <c r="N7" s="123"/>
      <c r="O7" s="110">
        <f>SUM(O16:O16)</f>
        <v>7832</v>
      </c>
    </row>
    <row r="8" spans="1:26" x14ac:dyDescent="0.2">
      <c r="M8" s="122" t="s">
        <v>290</v>
      </c>
      <c r="N8" s="123"/>
      <c r="O8" s="110">
        <f>SUM(O18:O19)</f>
        <v>56.9</v>
      </c>
    </row>
    <row r="9" spans="1:26" ht="15.75" thickBot="1" x14ac:dyDescent="0.25">
      <c r="M9" s="124" t="s">
        <v>183</v>
      </c>
      <c r="N9" s="125"/>
      <c r="O9" s="111">
        <f>SUM(N49:N57)</f>
        <v>0</v>
      </c>
    </row>
    <row r="10" spans="1:26" x14ac:dyDescent="0.2">
      <c r="B10" s="16"/>
    </row>
    <row r="11" spans="1:26" s="86" customFormat="1" x14ac:dyDescent="0.2">
      <c r="A11" s="84" t="s">
        <v>247</v>
      </c>
      <c r="B11" s="85"/>
      <c r="J11" s="87"/>
      <c r="K11" s="82"/>
      <c r="L11" s="87"/>
      <c r="M11" s="87"/>
      <c r="Q11" s="87"/>
      <c r="R11" s="87"/>
      <c r="S11" s="87"/>
      <c r="T11" s="87"/>
      <c r="U11" s="87"/>
      <c r="V11" s="87"/>
      <c r="W11" s="87"/>
      <c r="X11" s="87"/>
      <c r="Y11" s="87"/>
      <c r="Z11" s="87"/>
    </row>
    <row r="12" spans="1:26" s="39" customFormat="1" x14ac:dyDescent="0.2">
      <c r="A12" s="42"/>
      <c r="B12" s="83" t="s">
        <v>251</v>
      </c>
      <c r="C12"/>
      <c r="D12"/>
      <c r="E12"/>
      <c r="F12"/>
      <c r="G12"/>
      <c r="H12"/>
      <c r="I12"/>
      <c r="J12"/>
      <c r="K12" s="81"/>
      <c r="L12"/>
      <c r="M12"/>
      <c r="N12"/>
      <c r="O12"/>
      <c r="P12"/>
      <c r="Q12"/>
      <c r="R12"/>
      <c r="S12"/>
      <c r="T12"/>
      <c r="U12"/>
      <c r="V12"/>
      <c r="W12"/>
      <c r="X12"/>
      <c r="Y12"/>
      <c r="Z12"/>
    </row>
    <row r="13" spans="1:26" x14ac:dyDescent="0.2">
      <c r="D13" s="21"/>
      <c r="E13" s="21"/>
      <c r="F13" s="21"/>
    </row>
    <row r="14" spans="1:26" s="39" customFormat="1" ht="27.75" x14ac:dyDescent="0.2">
      <c r="B14" s="36" t="s">
        <v>138</v>
      </c>
      <c r="C14" s="36" t="s">
        <v>81</v>
      </c>
      <c r="D14" s="36" t="s">
        <v>53</v>
      </c>
      <c r="E14" s="36" t="s">
        <v>166</v>
      </c>
      <c r="F14" s="36" t="s">
        <v>41</v>
      </c>
      <c r="G14" s="36" t="s">
        <v>58</v>
      </c>
      <c r="H14" s="36" t="s">
        <v>26</v>
      </c>
      <c r="I14" s="38" t="s">
        <v>55</v>
      </c>
      <c r="K14" s="82"/>
      <c r="M14" s="36" t="s">
        <v>25</v>
      </c>
      <c r="N14" s="40" t="s">
        <v>182</v>
      </c>
      <c r="O14" s="38" t="s">
        <v>27</v>
      </c>
    </row>
    <row r="15" spans="1:26" x14ac:dyDescent="0.2">
      <c r="B15" s="57" t="s">
        <v>243</v>
      </c>
      <c r="C15" s="11"/>
      <c r="D15" s="10"/>
      <c r="E15" s="10"/>
      <c r="F15" s="11"/>
      <c r="G15" s="12"/>
      <c r="H15" s="14"/>
      <c r="I15" s="43"/>
      <c r="M15" s="66"/>
      <c r="N15" s="30"/>
      <c r="O15" s="44"/>
    </row>
    <row r="16" spans="1:26" x14ac:dyDescent="0.2">
      <c r="B16" s="9" t="s">
        <v>38</v>
      </c>
      <c r="C16" s="9" t="s">
        <v>54</v>
      </c>
      <c r="D16" s="45" t="s">
        <v>76</v>
      </c>
      <c r="E16" s="19"/>
      <c r="F16" s="9">
        <v>1</v>
      </c>
      <c r="G16" s="2" t="s">
        <v>179</v>
      </c>
      <c r="H16" s="1">
        <f>E7</f>
        <v>4895</v>
      </c>
      <c r="I16" s="28">
        <f>ROUNDUP(H16/F16,0)</f>
        <v>4895</v>
      </c>
      <c r="M16" s="68">
        <f>IFERROR(VLOOKUP($D16,'Unit costs '!$C$3:$E$55,3,FALSE),"")</f>
        <v>1.6</v>
      </c>
      <c r="N16" s="29">
        <f>M16/F16</f>
        <v>1.6</v>
      </c>
      <c r="O16" s="60">
        <f>I16*N16</f>
        <v>7832</v>
      </c>
    </row>
    <row r="17" spans="1:26" x14ac:dyDescent="0.2">
      <c r="B17" s="11"/>
      <c r="C17" s="11"/>
      <c r="D17" s="10"/>
      <c r="E17" s="10"/>
      <c r="F17" s="11"/>
      <c r="G17" s="12"/>
      <c r="H17" s="14"/>
      <c r="I17" s="25"/>
      <c r="M17" s="66"/>
      <c r="N17" s="30"/>
      <c r="O17" s="27"/>
    </row>
    <row r="18" spans="1:26" x14ac:dyDescent="0.2">
      <c r="B18" s="9" t="s">
        <v>38</v>
      </c>
      <c r="C18" s="9" t="s">
        <v>54</v>
      </c>
      <c r="D18" s="3" t="s">
        <v>36</v>
      </c>
      <c r="E18" s="3"/>
      <c r="F18" s="9">
        <f>IFERROR(VLOOKUP($D18,'Unit costs '!$C$3:$E$55,2,FALSE),"")</f>
        <v>50</v>
      </c>
      <c r="G18" s="2" t="s">
        <v>56</v>
      </c>
      <c r="H18" s="1">
        <f>ROUNDUP($E$7/96,0)</f>
        <v>51</v>
      </c>
      <c r="I18" s="28">
        <f>ROUNDUP(H18/F18,0)</f>
        <v>2</v>
      </c>
      <c r="M18" s="68">
        <f>IFERROR(VLOOKUP($D18,'Unit costs '!$C$3:$E$55,3,FALSE),"")</f>
        <v>2.95</v>
      </c>
      <c r="N18" s="29">
        <f>M18/F18/96</f>
        <v>6.1458333333333341E-4</v>
      </c>
      <c r="O18" s="60">
        <f>I18*M18</f>
        <v>5.9</v>
      </c>
    </row>
    <row r="19" spans="1:26" x14ac:dyDescent="0.2">
      <c r="B19" s="9" t="s">
        <v>38</v>
      </c>
      <c r="C19" s="9" t="s">
        <v>54</v>
      </c>
      <c r="D19" s="3" t="s">
        <v>37</v>
      </c>
      <c r="E19" s="3"/>
      <c r="F19" s="9">
        <f>IFERROR(VLOOKUP($D19,'Unit costs '!$C$3:$E$55,2,FALSE),"")</f>
        <v>30</v>
      </c>
      <c r="G19" s="2" t="s">
        <v>56</v>
      </c>
      <c r="H19" s="1">
        <f>ROUNDUP($E$7/96,0)</f>
        <v>51</v>
      </c>
      <c r="I19" s="28">
        <f>ROUNDUP(H19/F19,0)</f>
        <v>2</v>
      </c>
      <c r="M19" s="68">
        <f>IFERROR(VLOOKUP($D19,'Unit costs '!$C$3:$E$55,3,FALSE),"")</f>
        <v>25.5</v>
      </c>
      <c r="N19" s="29">
        <f>M19/F19/96</f>
        <v>8.8541666666666664E-3</v>
      </c>
      <c r="O19" s="60">
        <f>I19*M19</f>
        <v>51</v>
      </c>
    </row>
    <row r="20" spans="1:26" x14ac:dyDescent="0.2">
      <c r="B20" s="57" t="s">
        <v>8</v>
      </c>
      <c r="C20" s="11"/>
      <c r="D20" s="10"/>
      <c r="E20" s="10"/>
      <c r="F20" s="11"/>
      <c r="G20" s="12"/>
      <c r="H20" s="14"/>
      <c r="I20" s="25"/>
      <c r="M20" s="66"/>
      <c r="N20" s="30"/>
      <c r="O20" s="27"/>
    </row>
    <row r="21" spans="1:26" x14ac:dyDescent="0.2">
      <c r="A21" s="42"/>
      <c r="B21" s="16"/>
    </row>
    <row r="22" spans="1:26" s="86" customFormat="1" x14ac:dyDescent="0.2">
      <c r="A22" s="84" t="s">
        <v>196</v>
      </c>
      <c r="B22" s="85"/>
      <c r="K22" s="81"/>
    </row>
    <row r="23" spans="1:26" s="39" customFormat="1" x14ac:dyDescent="0.2">
      <c r="A23" s="42"/>
      <c r="B23" s="83" t="s">
        <v>250</v>
      </c>
      <c r="C23"/>
      <c r="D23"/>
      <c r="E23"/>
      <c r="F23"/>
      <c r="G23"/>
      <c r="H23"/>
      <c r="I23"/>
      <c r="J23"/>
      <c r="K23" s="81"/>
      <c r="L23"/>
      <c r="M23"/>
      <c r="N23"/>
      <c r="O23"/>
      <c r="P23"/>
      <c r="Q23"/>
      <c r="R23"/>
      <c r="S23"/>
      <c r="T23"/>
      <c r="U23"/>
      <c r="V23"/>
      <c r="W23"/>
      <c r="X23"/>
      <c r="Y23"/>
      <c r="Z23"/>
    </row>
    <row r="24" spans="1:26" x14ac:dyDescent="0.2">
      <c r="A24" s="42"/>
      <c r="B24" s="16"/>
    </row>
    <row r="25" spans="1:26" s="39" customFormat="1" ht="35.1" customHeight="1" x14ac:dyDescent="0.2">
      <c r="B25" s="36" t="s">
        <v>138</v>
      </c>
      <c r="C25" s="36" t="s">
        <v>81</v>
      </c>
      <c r="D25" s="36" t="s">
        <v>114</v>
      </c>
      <c r="E25" s="36" t="s">
        <v>113</v>
      </c>
      <c r="F25" s="40" t="s">
        <v>116</v>
      </c>
      <c r="G25" s="36" t="s">
        <v>115</v>
      </c>
      <c r="H25" s="36" t="s">
        <v>26</v>
      </c>
      <c r="I25" s="38" t="s">
        <v>55</v>
      </c>
      <c r="K25" s="82"/>
      <c r="M25" s="36" t="s">
        <v>25</v>
      </c>
      <c r="N25" s="40" t="s">
        <v>182</v>
      </c>
      <c r="O25" s="38" t="s">
        <v>27</v>
      </c>
    </row>
    <row r="26" spans="1:26" x14ac:dyDescent="0.2">
      <c r="B26" s="47" t="s">
        <v>245</v>
      </c>
      <c r="C26" s="11"/>
      <c r="D26" s="10"/>
      <c r="E26" s="10"/>
      <c r="F26" s="11"/>
      <c r="G26" s="12"/>
      <c r="H26" s="14"/>
      <c r="I26" s="25"/>
      <c r="M26" s="66"/>
      <c r="N26" s="30"/>
      <c r="O26" s="26"/>
    </row>
    <row r="27" spans="1:26" ht="17.25" x14ac:dyDescent="0.2">
      <c r="B27" s="9" t="s">
        <v>38</v>
      </c>
      <c r="C27" s="9" t="s">
        <v>38</v>
      </c>
      <c r="D27" s="3" t="s">
        <v>255</v>
      </c>
      <c r="E27" s="5">
        <v>9175431190</v>
      </c>
      <c r="F27" s="9">
        <v>192</v>
      </c>
      <c r="G27" s="35">
        <v>192</v>
      </c>
      <c r="H27" s="1">
        <f t="shared" ref="H27:H33" si="0">$E$6</f>
        <v>5000</v>
      </c>
      <c r="I27" s="28">
        <f t="shared" ref="I27:I33" si="1">ROUNDUP((($E$6)+(ROUNDUP($E$6/94,0)*2))/F27,0)</f>
        <v>27</v>
      </c>
      <c r="M27" s="68" t="s">
        <v>72</v>
      </c>
      <c r="N27" s="29">
        <f>'Unit costs '!$E$4</f>
        <v>15.21</v>
      </c>
      <c r="O27" s="60">
        <f>H27*N27</f>
        <v>76050</v>
      </c>
    </row>
    <row r="28" spans="1:26" x14ac:dyDescent="0.2">
      <c r="B28" s="9" t="s">
        <v>38</v>
      </c>
      <c r="C28" s="9" t="s">
        <v>38</v>
      </c>
      <c r="D28" s="3" t="s">
        <v>117</v>
      </c>
      <c r="E28" s="5">
        <v>9175440190</v>
      </c>
      <c r="F28" s="9">
        <f>16*96</f>
        <v>1536</v>
      </c>
      <c r="G28" s="35">
        <v>16</v>
      </c>
      <c r="H28" s="1">
        <f t="shared" si="0"/>
        <v>5000</v>
      </c>
      <c r="I28" s="28">
        <f t="shared" si="1"/>
        <v>4</v>
      </c>
      <c r="M28" s="68" t="s">
        <v>171</v>
      </c>
      <c r="N28" s="29" t="s">
        <v>171</v>
      </c>
      <c r="O28" s="72" t="s">
        <v>171</v>
      </c>
    </row>
    <row r="29" spans="1:26" x14ac:dyDescent="0.2">
      <c r="B29" s="9" t="s">
        <v>38</v>
      </c>
      <c r="C29" s="9" t="s">
        <v>38</v>
      </c>
      <c r="D29" s="3" t="s">
        <v>118</v>
      </c>
      <c r="E29" s="5">
        <v>7002238190</v>
      </c>
      <c r="F29" s="9">
        <f>16*96</f>
        <v>1536</v>
      </c>
      <c r="G29" s="35">
        <v>16</v>
      </c>
      <c r="H29" s="1">
        <f t="shared" si="0"/>
        <v>5000</v>
      </c>
      <c r="I29" s="28">
        <f t="shared" si="1"/>
        <v>4</v>
      </c>
      <c r="M29" s="68" t="s">
        <v>171</v>
      </c>
      <c r="N29" s="29" t="s">
        <v>171</v>
      </c>
      <c r="O29" s="72" t="s">
        <v>171</v>
      </c>
    </row>
    <row r="30" spans="1:26" x14ac:dyDescent="0.2">
      <c r="B30" s="9" t="s">
        <v>38</v>
      </c>
      <c r="C30" s="9" t="s">
        <v>38</v>
      </c>
      <c r="D30" s="3" t="s">
        <v>122</v>
      </c>
      <c r="E30" s="5">
        <v>6997503190</v>
      </c>
      <c r="F30" s="9">
        <f>288</f>
        <v>288</v>
      </c>
      <c r="G30" s="35">
        <v>288</v>
      </c>
      <c r="H30" s="1">
        <f t="shared" si="0"/>
        <v>5000</v>
      </c>
      <c r="I30" s="28">
        <f t="shared" si="1"/>
        <v>18</v>
      </c>
      <c r="M30" s="68" t="s">
        <v>171</v>
      </c>
      <c r="N30" s="29" t="s">
        <v>171</v>
      </c>
      <c r="O30" s="72" t="s">
        <v>171</v>
      </c>
    </row>
    <row r="31" spans="1:26" x14ac:dyDescent="0.2">
      <c r="B31" s="9" t="s">
        <v>38</v>
      </c>
      <c r="C31" s="9" t="s">
        <v>38</v>
      </c>
      <c r="D31" s="3" t="s">
        <v>123</v>
      </c>
      <c r="E31" s="5">
        <v>6997511190</v>
      </c>
      <c r="F31" s="9">
        <v>1152</v>
      </c>
      <c r="G31" s="35">
        <f>288*4</f>
        <v>1152</v>
      </c>
      <c r="H31" s="1">
        <f t="shared" si="0"/>
        <v>5000</v>
      </c>
      <c r="I31" s="28">
        <f t="shared" si="1"/>
        <v>5</v>
      </c>
      <c r="M31" s="68" t="s">
        <v>171</v>
      </c>
      <c r="N31" s="29" t="s">
        <v>171</v>
      </c>
      <c r="O31" s="72" t="s">
        <v>171</v>
      </c>
    </row>
    <row r="32" spans="1:26" x14ac:dyDescent="0.2">
      <c r="B32" s="9" t="s">
        <v>38</v>
      </c>
      <c r="C32" s="9" t="s">
        <v>38</v>
      </c>
      <c r="D32" s="3" t="s">
        <v>124</v>
      </c>
      <c r="E32" s="5">
        <v>6997538190</v>
      </c>
      <c r="F32" s="9">
        <v>1152</v>
      </c>
      <c r="G32" s="35">
        <f>288*4</f>
        <v>1152</v>
      </c>
      <c r="H32" s="1">
        <f t="shared" si="0"/>
        <v>5000</v>
      </c>
      <c r="I32" s="28">
        <f t="shared" si="1"/>
        <v>5</v>
      </c>
      <c r="M32" s="68" t="s">
        <v>171</v>
      </c>
      <c r="N32" s="29" t="s">
        <v>171</v>
      </c>
      <c r="O32" s="72" t="s">
        <v>171</v>
      </c>
    </row>
    <row r="33" spans="1:23" x14ac:dyDescent="0.2">
      <c r="B33" s="9" t="s">
        <v>38</v>
      </c>
      <c r="C33" s="9" t="s">
        <v>38</v>
      </c>
      <c r="D33" s="3" t="s">
        <v>125</v>
      </c>
      <c r="E33" s="5">
        <v>6997546190</v>
      </c>
      <c r="F33" s="9">
        <f>96*5</f>
        <v>480</v>
      </c>
      <c r="G33" s="35">
        <v>480</v>
      </c>
      <c r="H33" s="1">
        <f t="shared" si="0"/>
        <v>5000</v>
      </c>
      <c r="I33" s="28">
        <f t="shared" si="1"/>
        <v>11</v>
      </c>
      <c r="M33" s="68" t="s">
        <v>171</v>
      </c>
      <c r="N33" s="29" t="s">
        <v>171</v>
      </c>
      <c r="O33" s="72" t="s">
        <v>171</v>
      </c>
    </row>
    <row r="34" spans="1:23" x14ac:dyDescent="0.2">
      <c r="B34" s="57" t="s">
        <v>244</v>
      </c>
      <c r="C34" s="11"/>
      <c r="D34" s="10"/>
      <c r="E34" s="10"/>
      <c r="F34" s="11"/>
      <c r="G34" s="12"/>
      <c r="H34" s="14"/>
      <c r="I34" s="25"/>
      <c r="M34" s="66"/>
      <c r="N34" s="30"/>
      <c r="O34" s="26"/>
    </row>
    <row r="35" spans="1:23" x14ac:dyDescent="0.2">
      <c r="B35" s="9" t="s">
        <v>38</v>
      </c>
      <c r="C35" s="9" t="s">
        <v>38</v>
      </c>
      <c r="D35" s="3" t="s">
        <v>119</v>
      </c>
      <c r="E35" s="5">
        <v>5534917001</v>
      </c>
      <c r="F35" s="9">
        <f>32*96/2</f>
        <v>1536</v>
      </c>
      <c r="G35" s="35">
        <v>32</v>
      </c>
      <c r="H35" s="1">
        <f>$E$6</f>
        <v>5000</v>
      </c>
      <c r="I35" s="28">
        <f>ROUNDUP((($E$6)+(ROUNDUP($E$6/94,0)*2))/F35,0)</f>
        <v>4</v>
      </c>
      <c r="M35" s="68" t="s">
        <v>171</v>
      </c>
      <c r="N35" s="29" t="s">
        <v>171</v>
      </c>
      <c r="O35" s="72" t="s">
        <v>171</v>
      </c>
    </row>
    <row r="36" spans="1:23" x14ac:dyDescent="0.2">
      <c r="B36" s="9" t="s">
        <v>38</v>
      </c>
      <c r="C36" s="9" t="s">
        <v>38</v>
      </c>
      <c r="D36" s="3" t="s">
        <v>120</v>
      </c>
      <c r="E36" s="5">
        <v>5534925001</v>
      </c>
      <c r="F36" s="9">
        <f>16*96/2</f>
        <v>768</v>
      </c>
      <c r="G36" s="35">
        <f>16*96</f>
        <v>1536</v>
      </c>
      <c r="H36" s="1">
        <f>$E$6</f>
        <v>5000</v>
      </c>
      <c r="I36" s="28">
        <f>ROUNDUP((($E$6)+(ROUNDUP($E$6/94,0)*2))/F36,0)</f>
        <v>7</v>
      </c>
      <c r="M36" s="68" t="s">
        <v>171</v>
      </c>
      <c r="N36" s="29" t="s">
        <v>171</v>
      </c>
      <c r="O36" s="72" t="s">
        <v>171</v>
      </c>
    </row>
    <row r="37" spans="1:23" x14ac:dyDescent="0.2">
      <c r="B37" s="9" t="s">
        <v>38</v>
      </c>
      <c r="C37" s="9" t="s">
        <v>38</v>
      </c>
      <c r="D37" s="3" t="s">
        <v>121</v>
      </c>
      <c r="E37" s="5">
        <v>5534941001</v>
      </c>
      <c r="F37" s="9">
        <f>32*96</f>
        <v>3072</v>
      </c>
      <c r="G37" s="35">
        <v>32</v>
      </c>
      <c r="H37" s="1">
        <f>$E$6</f>
        <v>5000</v>
      </c>
      <c r="I37" s="28">
        <f>ROUNDUP((($E$6)+(ROUNDUP($E$6/94,0)*2))/F37,0)</f>
        <v>2</v>
      </c>
      <c r="M37" s="68" t="s">
        <v>171</v>
      </c>
      <c r="N37" s="29" t="s">
        <v>171</v>
      </c>
      <c r="O37" s="72" t="s">
        <v>171</v>
      </c>
    </row>
    <row r="38" spans="1:23" x14ac:dyDescent="0.2">
      <c r="B38" s="9" t="s">
        <v>38</v>
      </c>
      <c r="C38" s="9" t="s">
        <v>38</v>
      </c>
      <c r="D38" s="3" t="s">
        <v>126</v>
      </c>
      <c r="E38" s="5">
        <v>8030073001</v>
      </c>
      <c r="F38" s="9">
        <f>(96*4)*20</f>
        <v>7680</v>
      </c>
      <c r="G38" s="35">
        <v>20</v>
      </c>
      <c r="H38" s="1">
        <f>$E$6</f>
        <v>5000</v>
      </c>
      <c r="I38" s="28">
        <f>ROUNDUP((($E$6)+(ROUNDUP($E$6/94,0)*2))/F38,0)</f>
        <v>1</v>
      </c>
      <c r="M38" s="68" t="s">
        <v>171</v>
      </c>
      <c r="N38" s="29" t="s">
        <v>171</v>
      </c>
      <c r="O38" s="72" t="s">
        <v>171</v>
      </c>
    </row>
    <row r="39" spans="1:23" ht="17.25" x14ac:dyDescent="0.2">
      <c r="B39" s="9" t="s">
        <v>54</v>
      </c>
      <c r="C39" s="9" t="s">
        <v>38</v>
      </c>
      <c r="D39" s="3" t="s">
        <v>257</v>
      </c>
      <c r="E39" s="5">
        <v>6438776001</v>
      </c>
      <c r="F39" s="9">
        <v>1500</v>
      </c>
      <c r="G39" s="35">
        <v>1500</v>
      </c>
      <c r="H39" s="1">
        <f>$E$6</f>
        <v>5000</v>
      </c>
      <c r="I39" s="28">
        <f>ROUNDUP($E$6/F39,0)</f>
        <v>4</v>
      </c>
      <c r="M39" s="68" t="s">
        <v>171</v>
      </c>
      <c r="N39" s="29" t="s">
        <v>171</v>
      </c>
      <c r="O39" s="72" t="s">
        <v>171</v>
      </c>
    </row>
    <row r="40" spans="1:23" x14ac:dyDescent="0.2">
      <c r="B40" s="11"/>
      <c r="C40" s="11"/>
      <c r="D40" s="10"/>
      <c r="E40" s="10"/>
      <c r="F40" s="11"/>
      <c r="G40" s="12"/>
      <c r="H40" s="14"/>
      <c r="I40" s="25"/>
      <c r="M40" s="66"/>
      <c r="N40" s="30"/>
      <c r="O40" s="27"/>
    </row>
    <row r="41" spans="1:23" x14ac:dyDescent="0.2">
      <c r="A41" s="42"/>
      <c r="B41" s="16"/>
    </row>
    <row r="42" spans="1:23" s="87" customFormat="1" x14ac:dyDescent="0.2">
      <c r="A42" s="84" t="s">
        <v>197</v>
      </c>
      <c r="B42" s="85"/>
      <c r="C42" s="86"/>
      <c r="D42" s="86"/>
      <c r="E42" s="86"/>
      <c r="F42" s="86"/>
      <c r="G42" s="86"/>
      <c r="H42" s="86"/>
      <c r="I42" s="86"/>
      <c r="J42" s="86"/>
      <c r="K42" s="81"/>
      <c r="L42" s="86"/>
      <c r="M42" s="86"/>
      <c r="N42" s="86"/>
      <c r="O42" s="86"/>
      <c r="P42" s="86"/>
      <c r="Q42" s="86"/>
      <c r="R42" s="86"/>
      <c r="S42" s="86"/>
      <c r="T42" s="86"/>
      <c r="U42" s="86"/>
      <c r="V42" s="86"/>
      <c r="W42" s="86"/>
    </row>
    <row r="43" spans="1:23" s="39" customFormat="1" x14ac:dyDescent="0.2">
      <c r="A43" s="42"/>
      <c r="B43" s="83" t="s">
        <v>248</v>
      </c>
      <c r="C43"/>
      <c r="D43"/>
      <c r="E43"/>
      <c r="F43"/>
      <c r="G43"/>
      <c r="H43"/>
      <c r="I43"/>
      <c r="J43"/>
      <c r="K43" s="81"/>
      <c r="L43"/>
      <c r="M43"/>
      <c r="N43"/>
      <c r="O43"/>
      <c r="P43"/>
      <c r="Q43"/>
      <c r="R43"/>
      <c r="S43"/>
      <c r="T43"/>
      <c r="U43"/>
      <c r="V43"/>
      <c r="W43"/>
    </row>
    <row r="44" spans="1:23" s="39" customFormat="1" x14ac:dyDescent="0.2">
      <c r="A44" s="42"/>
      <c r="B44" s="83" t="s">
        <v>253</v>
      </c>
      <c r="C44"/>
      <c r="D44"/>
      <c r="E44"/>
      <c r="F44"/>
      <c r="G44"/>
      <c r="H44"/>
      <c r="I44"/>
      <c r="J44"/>
      <c r="K44" s="81"/>
      <c r="L44"/>
      <c r="M44"/>
      <c r="N44"/>
      <c r="O44"/>
      <c r="P44"/>
      <c r="Q44"/>
      <c r="R44"/>
      <c r="S44"/>
      <c r="T44"/>
      <c r="U44"/>
      <c r="V44"/>
      <c r="W44"/>
    </row>
    <row r="45" spans="1:23" s="39" customFormat="1" x14ac:dyDescent="0.2">
      <c r="A45" s="42"/>
      <c r="B45" s="80"/>
      <c r="C45" s="17" t="s">
        <v>252</v>
      </c>
      <c r="D45"/>
      <c r="E45"/>
      <c r="F45"/>
      <c r="G45"/>
      <c r="H45"/>
      <c r="I45"/>
      <c r="J45"/>
      <c r="K45" s="81"/>
      <c r="L45"/>
      <c r="M45"/>
      <c r="N45"/>
      <c r="O45"/>
      <c r="P45"/>
      <c r="Q45"/>
      <c r="R45"/>
      <c r="S45"/>
      <c r="T45"/>
      <c r="U45"/>
      <c r="V45"/>
      <c r="W45"/>
    </row>
    <row r="46" spans="1:23" x14ac:dyDescent="0.2">
      <c r="A46" s="42"/>
      <c r="B46" s="16"/>
    </row>
    <row r="47" spans="1:23" s="39" customFormat="1" x14ac:dyDescent="0.2">
      <c r="B47" s="36" t="s">
        <v>138</v>
      </c>
      <c r="C47" s="36" t="s">
        <v>81</v>
      </c>
      <c r="D47" s="36" t="s">
        <v>53</v>
      </c>
      <c r="E47" s="36" t="s">
        <v>166</v>
      </c>
      <c r="F47" s="36"/>
      <c r="G47" s="36" t="s">
        <v>58</v>
      </c>
      <c r="H47" s="37" t="s">
        <v>184</v>
      </c>
      <c r="I47" s="38" t="s">
        <v>55</v>
      </c>
      <c r="K47" s="82"/>
      <c r="M47" s="36" t="s">
        <v>25</v>
      </c>
      <c r="N47" s="38" t="s">
        <v>27</v>
      </c>
    </row>
    <row r="48" spans="1:23" x14ac:dyDescent="0.2">
      <c r="B48" s="57" t="s">
        <v>242</v>
      </c>
      <c r="C48" s="11"/>
      <c r="D48" s="10"/>
      <c r="E48" s="10"/>
      <c r="F48" s="11"/>
      <c r="G48" s="12"/>
      <c r="H48" s="24"/>
      <c r="I48" s="25"/>
      <c r="M48" s="66"/>
      <c r="N48" s="27"/>
    </row>
    <row r="49" spans="2:14" ht="17.25" x14ac:dyDescent="0.2">
      <c r="B49" s="9" t="s">
        <v>38</v>
      </c>
      <c r="C49" s="9" t="s">
        <v>54</v>
      </c>
      <c r="D49" s="3" t="s">
        <v>292</v>
      </c>
      <c r="E49" s="3"/>
      <c r="F49" s="9"/>
      <c r="G49" s="2" t="s">
        <v>52</v>
      </c>
      <c r="H49" s="23">
        <v>0</v>
      </c>
      <c r="I49" s="28">
        <f>H49</f>
        <v>0</v>
      </c>
      <c r="M49" s="68" t="str">
        <f>IFERROR(VLOOKUP($D49,'Unit costs '!$C$3:$E$55,3,FALSE),"")</f>
        <v/>
      </c>
      <c r="N49" s="60" t="str">
        <f>IFERROR(I49*M49,"")</f>
        <v/>
      </c>
    </row>
    <row r="50" spans="2:14" x14ac:dyDescent="0.2">
      <c r="B50" s="57" t="s">
        <v>241</v>
      </c>
      <c r="C50" s="11"/>
      <c r="D50" s="10"/>
      <c r="E50" s="10"/>
      <c r="F50" s="11"/>
      <c r="G50" s="12"/>
      <c r="H50" s="24"/>
      <c r="I50" s="25"/>
      <c r="M50" s="66"/>
      <c r="N50" s="27"/>
    </row>
    <row r="51" spans="2:14" x14ac:dyDescent="0.2">
      <c r="B51" s="9" t="s">
        <v>38</v>
      </c>
      <c r="C51" s="9" t="s">
        <v>54</v>
      </c>
      <c r="D51" s="3" t="s">
        <v>14</v>
      </c>
      <c r="E51" s="3"/>
      <c r="F51" s="9"/>
      <c r="G51" s="2" t="s">
        <v>52</v>
      </c>
      <c r="H51" s="23">
        <v>0</v>
      </c>
      <c r="I51" s="28">
        <f t="shared" ref="I51:I57" si="2">H51</f>
        <v>0</v>
      </c>
      <c r="M51" s="68">
        <f>IFERROR(VLOOKUP($D51,'Unit costs '!$C$3:$E$55,3,FALSE),"")</f>
        <v>256.82</v>
      </c>
      <c r="N51" s="60">
        <f t="shared" ref="N51:N57" si="3">IFERROR(I51*M51,"")</f>
        <v>0</v>
      </c>
    </row>
    <row r="52" spans="2:14" x14ac:dyDescent="0.2">
      <c r="B52" s="9" t="s">
        <v>38</v>
      </c>
      <c r="C52" s="9" t="s">
        <v>54</v>
      </c>
      <c r="D52" s="3" t="s">
        <v>15</v>
      </c>
      <c r="E52" s="3"/>
      <c r="F52" s="9"/>
      <c r="G52" s="2" t="s">
        <v>52</v>
      </c>
      <c r="H52" s="23">
        <v>0</v>
      </c>
      <c r="I52" s="28">
        <f t="shared" si="2"/>
        <v>0</v>
      </c>
      <c r="M52" s="68">
        <f>IFERROR(VLOOKUP($D52,'Unit costs '!$C$3:$E$55,3,FALSE),"")</f>
        <v>2026.94</v>
      </c>
      <c r="N52" s="60">
        <f t="shared" si="3"/>
        <v>0</v>
      </c>
    </row>
    <row r="53" spans="2:14" x14ac:dyDescent="0.2">
      <c r="B53" s="9" t="s">
        <v>38</v>
      </c>
      <c r="C53" s="9" t="s">
        <v>54</v>
      </c>
      <c r="D53" s="3" t="s">
        <v>16</v>
      </c>
      <c r="E53" s="3"/>
      <c r="F53" s="9"/>
      <c r="G53" s="2" t="s">
        <v>52</v>
      </c>
      <c r="H53" s="23">
        <v>0</v>
      </c>
      <c r="I53" s="28">
        <f t="shared" si="2"/>
        <v>0</v>
      </c>
      <c r="M53" s="68">
        <f>IFERROR(VLOOKUP($D53,'Unit costs '!$C$3:$E$55,3,FALSE),"")</f>
        <v>226.94</v>
      </c>
      <c r="N53" s="60">
        <f t="shared" si="3"/>
        <v>0</v>
      </c>
    </row>
    <row r="54" spans="2:14" x14ac:dyDescent="0.2">
      <c r="B54" s="9" t="s">
        <v>38</v>
      </c>
      <c r="C54" s="9" t="s">
        <v>54</v>
      </c>
      <c r="D54" s="3" t="s">
        <v>17</v>
      </c>
      <c r="E54" s="3"/>
      <c r="F54" s="9"/>
      <c r="G54" s="2" t="s">
        <v>52</v>
      </c>
      <c r="H54" s="23">
        <v>0</v>
      </c>
      <c r="I54" s="28">
        <f t="shared" si="2"/>
        <v>0</v>
      </c>
      <c r="M54" s="68">
        <f>IFERROR(VLOOKUP($D54,'Unit costs '!$C$3:$E$55,3,FALSE),"")</f>
        <v>242</v>
      </c>
      <c r="N54" s="60">
        <f t="shared" si="3"/>
        <v>0</v>
      </c>
    </row>
    <row r="55" spans="2:14" x14ac:dyDescent="0.2">
      <c r="B55" s="9" t="s">
        <v>38</v>
      </c>
      <c r="C55" s="9" t="s">
        <v>54</v>
      </c>
      <c r="D55" s="3" t="s">
        <v>18</v>
      </c>
      <c r="E55" s="3"/>
      <c r="F55" s="9"/>
      <c r="G55" s="2" t="s">
        <v>52</v>
      </c>
      <c r="H55" s="23">
        <v>0</v>
      </c>
      <c r="I55" s="28">
        <f t="shared" si="2"/>
        <v>0</v>
      </c>
      <c r="M55" s="68">
        <f>IFERROR(VLOOKUP($D55,'Unit costs '!$C$3:$E$55,3,FALSE),"")</f>
        <v>3.61</v>
      </c>
      <c r="N55" s="60">
        <f t="shared" si="3"/>
        <v>0</v>
      </c>
    </row>
    <row r="56" spans="2:14" x14ac:dyDescent="0.2">
      <c r="B56" s="9" t="s">
        <v>38</v>
      </c>
      <c r="C56" s="9" t="s">
        <v>54</v>
      </c>
      <c r="D56" s="3" t="s">
        <v>59</v>
      </c>
      <c r="E56" s="3"/>
      <c r="F56" s="9"/>
      <c r="G56" s="2" t="s">
        <v>52</v>
      </c>
      <c r="H56" s="23">
        <v>0</v>
      </c>
      <c r="I56" s="28">
        <f t="shared" si="2"/>
        <v>0</v>
      </c>
      <c r="M56" s="68">
        <f>IFERROR(VLOOKUP($D56,'Unit costs '!$C$3:$E$55,3,FALSE),"")</f>
        <v>176</v>
      </c>
      <c r="N56" s="60">
        <f t="shared" si="3"/>
        <v>0</v>
      </c>
    </row>
    <row r="57" spans="2:14" x14ac:dyDescent="0.2">
      <c r="B57" s="9" t="s">
        <v>38</v>
      </c>
      <c r="C57" s="9" t="s">
        <v>54</v>
      </c>
      <c r="D57" s="3" t="s">
        <v>20</v>
      </c>
      <c r="E57" s="3"/>
      <c r="F57" s="9"/>
      <c r="G57" s="2" t="s">
        <v>52</v>
      </c>
      <c r="H57" s="23">
        <v>0</v>
      </c>
      <c r="I57" s="28">
        <f t="shared" si="2"/>
        <v>0</v>
      </c>
      <c r="M57" s="121" t="str">
        <f>IFERROR(VLOOKUP($D57,'Unit costs '!$C$3:$E$55,3,FALSE),"")</f>
        <v>variable</v>
      </c>
      <c r="N57" s="60" t="str">
        <f t="shared" si="3"/>
        <v/>
      </c>
    </row>
    <row r="58" spans="2:14" x14ac:dyDescent="0.2">
      <c r="B58" s="11"/>
      <c r="C58" s="11"/>
      <c r="D58" s="10"/>
      <c r="E58" s="10"/>
      <c r="F58" s="11"/>
      <c r="G58" s="12"/>
      <c r="H58" s="15"/>
      <c r="I58" s="25"/>
      <c r="M58" s="66"/>
      <c r="N58" s="27"/>
    </row>
    <row r="59" spans="2:14" x14ac:dyDescent="0.2">
      <c r="B59" s="22" t="s">
        <v>127</v>
      </c>
    </row>
    <row r="60" spans="2:14" ht="15.75" x14ac:dyDescent="0.2">
      <c r="B60" s="22" t="s">
        <v>256</v>
      </c>
      <c r="D60" s="22"/>
      <c r="E60" s="20"/>
      <c r="F60" s="20"/>
      <c r="G60" s="20"/>
    </row>
    <row r="61" spans="2:14" ht="15.75" x14ac:dyDescent="0.2">
      <c r="B61" s="22" t="s">
        <v>301</v>
      </c>
      <c r="D61" s="22"/>
      <c r="E61" s="20"/>
      <c r="F61" s="20"/>
      <c r="G61" s="20"/>
    </row>
    <row r="62" spans="2:14" x14ac:dyDescent="0.2">
      <c r="B62" s="22"/>
      <c r="D62" s="21"/>
      <c r="E62" s="21"/>
      <c r="F62" s="21"/>
      <c r="G62" s="21"/>
    </row>
  </sheetData>
  <mergeCells count="7">
    <mergeCell ref="M9:N9"/>
    <mergeCell ref="B2:I2"/>
    <mergeCell ref="M2:O2"/>
    <mergeCell ref="M5:N5"/>
    <mergeCell ref="M6:N6"/>
    <mergeCell ref="M7:N7"/>
    <mergeCell ref="M8:N8"/>
  </mergeCells>
  <conditionalFormatting sqref="B27:C33 B35:C39 B18:C19 B49:C49 B51:C57 B16:C16">
    <cfRule type="containsText" dxfId="31" priority="49" operator="containsText" text="Yes">
      <formula>NOT(ISERROR(SEARCH("Yes",B16)))</formula>
    </cfRule>
    <cfRule type="containsText" dxfId="30" priority="50" operator="containsText" text="No">
      <formula>NOT(ISERROR(SEARCH("No",B16)))</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text="Yes" id="{D0401003-06FD-EB48-A4FE-F5619BA234A6}">
            <xm:f>NOT(ISERROR(SEARCH("Yes",Cepheid!B53)))</xm:f>
            <x14:dxf>
              <font>
                <color rgb="FF006100"/>
              </font>
              <fill>
                <patternFill>
                  <bgColor rgb="FFC6EFCE"/>
                </patternFill>
              </fill>
            </x14:dxf>
          </x14:cfRule>
          <x14:cfRule type="containsText" priority="2" operator="containsText" text="No" id="{D1D817B4-5E67-4C4E-A97A-E80A2229418C}">
            <xm:f>NOT(ISERROR(SEARCH("No",Cepheid!B53)))</xm:f>
            <x14:dxf>
              <font>
                <color rgb="FF9C0006"/>
              </font>
              <fill>
                <patternFill>
                  <bgColor rgb="FFFFC7CE"/>
                </patternFill>
              </fill>
            </x14:dxf>
          </x14:cfRule>
          <xm:sqref>B46:C46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AFDD-88AA-9545-8130-0920AC0D2081}">
  <dimension ref="A2:V77"/>
  <sheetViews>
    <sheetView showGridLines="0" zoomScale="90" zoomScaleNormal="90" workbookViewId="0">
      <selection activeCell="D18" sqref="D18"/>
    </sheetView>
  </sheetViews>
  <sheetFormatPr defaultColWidth="10.76171875" defaultRowHeight="15" x14ac:dyDescent="0.2"/>
  <cols>
    <col min="1" max="1" width="4.3046875" customWidth="1"/>
    <col min="2" max="3" width="13.046875" customWidth="1"/>
    <col min="4" max="4" width="49.63671875" customWidth="1"/>
    <col min="5" max="5" width="27.44140625" customWidth="1"/>
    <col min="6" max="6" width="15.46875" customWidth="1"/>
    <col min="7" max="7" width="50.04296875" customWidth="1"/>
    <col min="8" max="8" width="22.8671875" customWidth="1"/>
    <col min="9" max="9" width="18.16015625" customWidth="1"/>
    <col min="10" max="10" width="4.03515625" customWidth="1"/>
    <col min="11" max="11" width="4.03515625" style="81" customWidth="1"/>
    <col min="12" max="12" width="4.03515625" customWidth="1"/>
    <col min="13" max="13" width="20.71484375" customWidth="1"/>
    <col min="14" max="14" width="20.984375" customWidth="1"/>
    <col min="15" max="15" width="20.4453125" customWidth="1"/>
  </cols>
  <sheetData>
    <row r="2" spans="1:22" ht="21" x14ac:dyDescent="0.3">
      <c r="B2" s="126" t="s">
        <v>249</v>
      </c>
      <c r="C2" s="126"/>
      <c r="D2" s="126"/>
      <c r="E2" s="126"/>
      <c r="F2" s="126"/>
      <c r="G2" s="126"/>
      <c r="H2" s="126"/>
      <c r="M2" s="126" t="s">
        <v>296</v>
      </c>
      <c r="N2" s="126"/>
      <c r="O2" s="126"/>
    </row>
    <row r="3" spans="1:22" ht="15.75" thickBot="1" x14ac:dyDescent="0.25">
      <c r="B3" s="16"/>
    </row>
    <row r="4" spans="1:22" ht="15.95" customHeight="1" x14ac:dyDescent="0.2">
      <c r="D4" s="61" t="s">
        <v>74</v>
      </c>
      <c r="E4" s="109" t="s">
        <v>265</v>
      </c>
      <c r="M4" s="127"/>
      <c r="N4" s="128"/>
      <c r="O4" s="109" t="s">
        <v>185</v>
      </c>
    </row>
    <row r="5" spans="1:22" x14ac:dyDescent="0.2">
      <c r="D5" s="62" t="s">
        <v>304</v>
      </c>
      <c r="E5" s="63">
        <v>2500</v>
      </c>
      <c r="M5" s="122" t="s">
        <v>289</v>
      </c>
      <c r="N5" s="123"/>
      <c r="O5" s="110">
        <f>SUM(O33:O48)</f>
        <v>60808.25</v>
      </c>
    </row>
    <row r="6" spans="1:22" x14ac:dyDescent="0.2">
      <c r="D6" s="62" t="s">
        <v>303</v>
      </c>
      <c r="E6" s="63">
        <v>2500</v>
      </c>
      <c r="M6" s="122" t="s">
        <v>186</v>
      </c>
      <c r="N6" s="123"/>
      <c r="O6" s="110">
        <f>SUM(O15:O15)</f>
        <v>7832</v>
      </c>
    </row>
    <row r="7" spans="1:22" ht="15.75" thickBot="1" x14ac:dyDescent="0.25">
      <c r="D7" s="64" t="s">
        <v>73</v>
      </c>
      <c r="E7" s="65">
        <f>ROUNDDOWN((E5+E6)*94/96,0)</f>
        <v>4895</v>
      </c>
      <c r="M7" s="122" t="s">
        <v>290</v>
      </c>
      <c r="N7" s="123"/>
      <c r="O7" s="110">
        <f>SUM(O21:O25,O17:O19)</f>
        <v>11310</v>
      </c>
    </row>
    <row r="8" spans="1:22" ht="15.75" thickBot="1" x14ac:dyDescent="0.25">
      <c r="B8" s="16"/>
      <c r="M8" s="124" t="s">
        <v>183</v>
      </c>
      <c r="N8" s="125"/>
      <c r="O8" s="111">
        <f>SUM(N57:N68)</f>
        <v>0</v>
      </c>
    </row>
    <row r="9" spans="1:22" x14ac:dyDescent="0.2">
      <c r="A9" s="42"/>
      <c r="B9" s="16"/>
    </row>
    <row r="10" spans="1:22" s="86" customFormat="1" x14ac:dyDescent="0.2">
      <c r="A10" s="84" t="s">
        <v>247</v>
      </c>
      <c r="B10" s="85"/>
      <c r="I10" s="87"/>
      <c r="K10" s="82"/>
      <c r="M10" s="87"/>
      <c r="N10" s="87"/>
      <c r="O10" s="87"/>
      <c r="P10" s="87"/>
      <c r="Q10" s="87"/>
      <c r="R10" s="87"/>
      <c r="S10" s="87"/>
      <c r="T10" s="87"/>
      <c r="U10" s="87"/>
      <c r="V10" s="87"/>
    </row>
    <row r="11" spans="1:22" s="39" customFormat="1" x14ac:dyDescent="0.2">
      <c r="A11" s="42"/>
      <c r="B11" s="83" t="s">
        <v>251</v>
      </c>
      <c r="C11"/>
      <c r="D11"/>
      <c r="E11"/>
      <c r="F11"/>
      <c r="G11"/>
      <c r="H11"/>
      <c r="I11"/>
      <c r="J11"/>
      <c r="K11" s="81"/>
      <c r="L11"/>
      <c r="M11"/>
      <c r="N11"/>
      <c r="O11"/>
      <c r="P11"/>
      <c r="Q11"/>
      <c r="R11"/>
      <c r="S11"/>
      <c r="T11"/>
      <c r="U11"/>
      <c r="V11"/>
    </row>
    <row r="12" spans="1:22" x14ac:dyDescent="0.2">
      <c r="A12" s="42"/>
      <c r="B12" s="16"/>
      <c r="I12" s="39"/>
      <c r="K12" s="82"/>
      <c r="M12" s="39"/>
      <c r="N12" s="39"/>
      <c r="O12" s="39"/>
      <c r="P12" s="39"/>
      <c r="Q12" s="39"/>
      <c r="R12" s="39"/>
      <c r="S12" s="39"/>
      <c r="T12" s="39"/>
      <c r="U12" s="39"/>
      <c r="V12" s="39"/>
    </row>
    <row r="13" spans="1:22" s="39" customFormat="1" ht="32.1" customHeight="1" x14ac:dyDescent="0.2">
      <c r="B13" s="36" t="s">
        <v>138</v>
      </c>
      <c r="C13" s="36" t="s">
        <v>81</v>
      </c>
      <c r="D13" s="36" t="s">
        <v>53</v>
      </c>
      <c r="E13" s="36" t="s">
        <v>166</v>
      </c>
      <c r="F13" s="36" t="s">
        <v>41</v>
      </c>
      <c r="G13" s="36" t="s">
        <v>58</v>
      </c>
      <c r="H13" s="36" t="s">
        <v>26</v>
      </c>
      <c r="I13" s="38" t="s">
        <v>55</v>
      </c>
      <c r="K13" s="82"/>
      <c r="M13" s="36" t="s">
        <v>25</v>
      </c>
      <c r="N13" s="36" t="s">
        <v>182</v>
      </c>
      <c r="O13" s="38" t="s">
        <v>27</v>
      </c>
    </row>
    <row r="14" spans="1:22" ht="25.5" x14ac:dyDescent="0.2">
      <c r="B14" s="49" t="s">
        <v>243</v>
      </c>
      <c r="C14" s="11"/>
      <c r="D14" s="10"/>
      <c r="E14" s="10"/>
      <c r="F14" s="11"/>
      <c r="G14" s="12"/>
      <c r="H14" s="14"/>
      <c r="I14" s="25"/>
      <c r="M14" s="66"/>
      <c r="N14" s="30"/>
      <c r="O14" s="27"/>
    </row>
    <row r="15" spans="1:22" x14ac:dyDescent="0.2">
      <c r="B15" s="9" t="s">
        <v>38</v>
      </c>
      <c r="C15" s="9" t="s">
        <v>54</v>
      </c>
      <c r="D15" s="45" t="s">
        <v>76</v>
      </c>
      <c r="E15" s="19"/>
      <c r="F15" s="9">
        <v>1</v>
      </c>
      <c r="G15" s="2" t="s">
        <v>179</v>
      </c>
      <c r="H15" s="1">
        <f>SUM($E$7)</f>
        <v>4895</v>
      </c>
      <c r="I15" s="28">
        <f>ROUNDUP(H15/F15,0)</f>
        <v>4895</v>
      </c>
      <c r="M15" s="68">
        <f>IFERROR(VLOOKUP($D15,'Unit costs '!$C$3:$E$55,3,FALSE),"")</f>
        <v>1.6</v>
      </c>
      <c r="N15" s="29">
        <f>M15/F15</f>
        <v>1.6</v>
      </c>
      <c r="O15" s="60">
        <f>I15*N15</f>
        <v>7832</v>
      </c>
    </row>
    <row r="16" spans="1:22" x14ac:dyDescent="0.2">
      <c r="B16" s="57" t="s">
        <v>244</v>
      </c>
      <c r="C16" s="11"/>
      <c r="D16" s="10"/>
      <c r="E16" s="10"/>
      <c r="F16" s="11"/>
      <c r="G16" s="12"/>
      <c r="H16" s="14"/>
      <c r="I16" s="25"/>
      <c r="M16" s="66"/>
      <c r="N16" s="30"/>
      <c r="O16" s="27"/>
    </row>
    <row r="17" spans="1:22" x14ac:dyDescent="0.2">
      <c r="B17" s="9" t="s">
        <v>38</v>
      </c>
      <c r="C17" s="9" t="s">
        <v>54</v>
      </c>
      <c r="D17" s="3" t="s">
        <v>214</v>
      </c>
      <c r="E17" s="3"/>
      <c r="F17" s="9" t="s">
        <v>215</v>
      </c>
      <c r="G17" s="2" t="s">
        <v>216</v>
      </c>
      <c r="H17" s="7">
        <f>ROUNDUP(SUM(E5:E6)*(14000/2000),0)</f>
        <v>35000</v>
      </c>
      <c r="I17" s="28">
        <f>ROUNDUP(H17/4800,0)</f>
        <v>8</v>
      </c>
      <c r="M17" s="113">
        <v>363.25</v>
      </c>
      <c r="N17" s="32">
        <v>0.52973958333333304</v>
      </c>
      <c r="O17" s="72">
        <f>IF(B17="Yes",I17*M17,0)</f>
        <v>2906</v>
      </c>
      <c r="P17" s="41"/>
    </row>
    <row r="18" spans="1:22" x14ac:dyDescent="0.2">
      <c r="B18" s="9" t="s">
        <v>38</v>
      </c>
      <c r="C18" s="9" t="s">
        <v>54</v>
      </c>
      <c r="D18" s="3" t="s">
        <v>217</v>
      </c>
      <c r="E18" s="3"/>
      <c r="F18" s="9" t="s">
        <v>218</v>
      </c>
      <c r="G18" s="2" t="s">
        <v>219</v>
      </c>
      <c r="H18" s="7">
        <f>ROUNDUP(SUM(E5:E6)*(8000/2000),0)</f>
        <v>20000</v>
      </c>
      <c r="I18" s="28">
        <f>ROUNDUP(H18/3200,0)</f>
        <v>7</v>
      </c>
      <c r="M18" s="113">
        <v>288.8</v>
      </c>
      <c r="N18" s="32">
        <v>0.36099999999999999</v>
      </c>
      <c r="O18" s="72">
        <f>IF(B18="Yes",I18*M18,0)</f>
        <v>2021.6000000000001</v>
      </c>
      <c r="P18" s="41"/>
    </row>
    <row r="19" spans="1:22" x14ac:dyDescent="0.2">
      <c r="B19" s="9" t="s">
        <v>38</v>
      </c>
      <c r="C19" s="9" t="s">
        <v>54</v>
      </c>
      <c r="D19" s="3" t="s">
        <v>220</v>
      </c>
      <c r="E19" s="3"/>
      <c r="F19" s="9" t="s">
        <v>215</v>
      </c>
      <c r="G19" s="2" t="s">
        <v>221</v>
      </c>
      <c r="H19" s="7">
        <f>ROUNDUP(SUM(E5:E6)*(8000/2000),0)</f>
        <v>20000</v>
      </c>
      <c r="I19" s="28">
        <f>ROUNDUP(H19/4800,0)</f>
        <v>5</v>
      </c>
      <c r="M19" s="113">
        <v>364.5</v>
      </c>
      <c r="N19" s="32">
        <v>0.30375000000000002</v>
      </c>
      <c r="O19" s="72">
        <f>IF(B19="Yes",I19*M19,0)</f>
        <v>1822.5</v>
      </c>
      <c r="P19" s="41"/>
    </row>
    <row r="20" spans="1:22" x14ac:dyDescent="0.2">
      <c r="B20" s="57" t="s">
        <v>8</v>
      </c>
      <c r="C20" s="11"/>
      <c r="D20" s="10"/>
      <c r="E20" s="10"/>
      <c r="F20" s="11"/>
      <c r="G20" s="12"/>
      <c r="H20" s="14"/>
      <c r="I20" s="25"/>
      <c r="M20" s="66"/>
      <c r="N20" s="30"/>
      <c r="O20" s="27"/>
    </row>
    <row r="21" spans="1:22" x14ac:dyDescent="0.2">
      <c r="B21" s="9" t="s">
        <v>38</v>
      </c>
      <c r="C21" s="9" t="s">
        <v>54</v>
      </c>
      <c r="D21" s="3" t="s">
        <v>36</v>
      </c>
      <c r="E21" s="3"/>
      <c r="F21" s="9">
        <f>IFERROR(VLOOKUP($D21,'Unit costs '!$C$3:$E$55,2,FALSE),"")</f>
        <v>50</v>
      </c>
      <c r="G21" s="2" t="s">
        <v>56</v>
      </c>
      <c r="H21" s="1">
        <f>ROUNDUP(SUM(E5:E6)/96,0)</f>
        <v>53</v>
      </c>
      <c r="I21" s="28">
        <f>ROUNDUP(H21/F21,0)</f>
        <v>2</v>
      </c>
      <c r="M21" s="68">
        <f>IFERROR(VLOOKUP($D21,'Unit costs '!$C$3:$E$55,3,FALSE),"")</f>
        <v>2.95</v>
      </c>
      <c r="N21" s="29">
        <f>M21/F21/96</f>
        <v>6.1458333333333341E-4</v>
      </c>
      <c r="O21" s="60">
        <f>I21*M21</f>
        <v>5.9</v>
      </c>
    </row>
    <row r="22" spans="1:22" x14ac:dyDescent="0.2">
      <c r="B22" s="9" t="s">
        <v>38</v>
      </c>
      <c r="C22" s="9" t="s">
        <v>54</v>
      </c>
      <c r="D22" s="3" t="s">
        <v>37</v>
      </c>
      <c r="E22" s="3"/>
      <c r="F22" s="9">
        <f>IFERROR(VLOOKUP($D22,'Unit costs '!$C$3:$E$55,2,FALSE),"")</f>
        <v>30</v>
      </c>
      <c r="G22" s="2" t="s">
        <v>56</v>
      </c>
      <c r="H22" s="1">
        <f>ROUNDUP(SUM(E5:E6)/96,0)</f>
        <v>53</v>
      </c>
      <c r="I22" s="28">
        <f>ROUNDUP(H22/F22,0)</f>
        <v>2</v>
      </c>
      <c r="M22" s="68">
        <f>IFERROR(VLOOKUP($D22,'Unit costs '!$C$3:$E$55,3,FALSE),"")</f>
        <v>25.5</v>
      </c>
      <c r="N22" s="29">
        <f>M22/F22/96</f>
        <v>8.8541666666666664E-3</v>
      </c>
      <c r="O22" s="60">
        <f>I22*M22</f>
        <v>51</v>
      </c>
    </row>
    <row r="23" spans="1:22" x14ac:dyDescent="0.2">
      <c r="B23" s="9" t="s">
        <v>38</v>
      </c>
      <c r="C23" s="9" t="s">
        <v>54</v>
      </c>
      <c r="D23" t="s">
        <v>83</v>
      </c>
      <c r="E23" t="s">
        <v>232</v>
      </c>
      <c r="F23" s="1" t="s">
        <v>233</v>
      </c>
      <c r="G23" s="2" t="s">
        <v>181</v>
      </c>
      <c r="H23" s="1">
        <f>ROUNDUP(SUM(E5:E6)/96,0)</f>
        <v>53</v>
      </c>
      <c r="I23" s="28">
        <f>ROUNDUP(H23/(500/120),0)</f>
        <v>13</v>
      </c>
      <c r="M23" s="68">
        <f>IFERROR(VLOOKUP($D23,'Unit costs '!$C$3:$E$55,3,FALSE),"")</f>
        <v>317</v>
      </c>
      <c r="N23" s="29">
        <f>M23/500/120</f>
        <v>5.2833333333333335E-3</v>
      </c>
      <c r="O23" s="60">
        <f>I23*M23</f>
        <v>4121</v>
      </c>
    </row>
    <row r="24" spans="1:22" x14ac:dyDescent="0.2">
      <c r="B24" s="9" t="s">
        <v>38</v>
      </c>
      <c r="C24" s="9" t="s">
        <v>54</v>
      </c>
      <c r="D24" t="s">
        <v>235</v>
      </c>
      <c r="E24" t="s">
        <v>238</v>
      </c>
      <c r="F24" s="1" t="s">
        <v>237</v>
      </c>
      <c r="G24" s="2" t="s">
        <v>234</v>
      </c>
      <c r="H24" s="1">
        <f>ROUNDUP(SUM(E5:E6)/1000,0)</f>
        <v>5</v>
      </c>
      <c r="I24" s="28">
        <f>H24/1</f>
        <v>5</v>
      </c>
      <c r="M24" s="68">
        <f>IFERROR(VLOOKUP($D24,'Unit costs '!$C$3:$E$55,3,FALSE),"")</f>
        <v>76.400000000000006</v>
      </c>
      <c r="N24" s="29">
        <f>M24/1000</f>
        <v>7.640000000000001E-2</v>
      </c>
      <c r="O24" s="60">
        <f>I24*M24</f>
        <v>382</v>
      </c>
    </row>
    <row r="25" spans="1:22" x14ac:dyDescent="0.2">
      <c r="B25" s="9" t="s">
        <v>38</v>
      </c>
      <c r="C25" s="9" t="s">
        <v>54</v>
      </c>
      <c r="D25" t="s">
        <v>84</v>
      </c>
      <c r="F25" s="1"/>
      <c r="G25" s="2" t="s">
        <v>56</v>
      </c>
      <c r="H25" s="1">
        <f>ROUNDUP(SUM(E5:E6)/96,0)</f>
        <v>53</v>
      </c>
      <c r="I25" s="28"/>
      <c r="M25" s="68">
        <f>IFERROR(VLOOKUP($D25,'Unit costs '!$C$3:$E$55,3,FALSE),"")</f>
        <v>0</v>
      </c>
      <c r="N25" s="29"/>
      <c r="O25" s="60">
        <f>I25*M25</f>
        <v>0</v>
      </c>
    </row>
    <row r="26" spans="1:22" x14ac:dyDescent="0.2">
      <c r="B26" s="11"/>
      <c r="C26" s="11"/>
      <c r="D26" s="10"/>
      <c r="E26" s="10"/>
      <c r="F26" s="11"/>
      <c r="G26" s="12"/>
      <c r="H26" s="14"/>
      <c r="I26" s="25"/>
      <c r="M26" s="77"/>
      <c r="N26" s="13"/>
      <c r="O26" s="26"/>
    </row>
    <row r="27" spans="1:22" x14ac:dyDescent="0.2">
      <c r="A27" s="42"/>
      <c r="B27" s="16"/>
    </row>
    <row r="28" spans="1:22" s="86" customFormat="1" x14ac:dyDescent="0.2">
      <c r="A28" s="84" t="s">
        <v>196</v>
      </c>
      <c r="B28" s="85"/>
      <c r="K28" s="81"/>
    </row>
    <row r="29" spans="1:22" s="39" customFormat="1" x14ac:dyDescent="0.2">
      <c r="A29" s="42"/>
      <c r="B29" s="83" t="s">
        <v>250</v>
      </c>
      <c r="C29"/>
      <c r="D29"/>
      <c r="E29"/>
      <c r="F29"/>
      <c r="G29"/>
      <c r="H29"/>
      <c r="I29"/>
      <c r="J29"/>
      <c r="K29" s="81"/>
      <c r="L29"/>
      <c r="M29"/>
      <c r="N29"/>
      <c r="O29"/>
      <c r="P29"/>
      <c r="Q29"/>
      <c r="R29"/>
      <c r="S29"/>
      <c r="T29"/>
      <c r="U29"/>
      <c r="V29"/>
    </row>
    <row r="30" spans="1:22" x14ac:dyDescent="0.2">
      <c r="A30" s="42"/>
      <c r="B30" s="16"/>
    </row>
    <row r="31" spans="1:22" s="39" customFormat="1" ht="32.1" customHeight="1" x14ac:dyDescent="0.2">
      <c r="B31" s="36" t="s">
        <v>138</v>
      </c>
      <c r="C31" s="36" t="s">
        <v>81</v>
      </c>
      <c r="D31" s="36" t="s">
        <v>53</v>
      </c>
      <c r="E31" s="36" t="s">
        <v>166</v>
      </c>
      <c r="F31" s="36" t="s">
        <v>41</v>
      </c>
      <c r="G31" s="36" t="s">
        <v>58</v>
      </c>
      <c r="H31" s="36" t="s">
        <v>26</v>
      </c>
      <c r="I31" s="38" t="s">
        <v>55</v>
      </c>
      <c r="K31" s="82"/>
      <c r="M31" s="36" t="s">
        <v>25</v>
      </c>
      <c r="N31" s="36" t="s">
        <v>182</v>
      </c>
      <c r="O31" s="38" t="s">
        <v>27</v>
      </c>
    </row>
    <row r="32" spans="1:22" x14ac:dyDescent="0.2">
      <c r="B32" s="47" t="s">
        <v>245</v>
      </c>
      <c r="C32" s="11"/>
      <c r="D32" s="10"/>
      <c r="E32" s="10"/>
      <c r="F32" s="11"/>
      <c r="G32" s="12"/>
      <c r="H32" s="14"/>
      <c r="I32" s="25"/>
      <c r="M32" s="73"/>
      <c r="N32" s="33"/>
      <c r="O32" s="26"/>
    </row>
    <row r="33" spans="2:16" x14ac:dyDescent="0.2">
      <c r="B33" s="9" t="s">
        <v>38</v>
      </c>
      <c r="C33" s="9" t="s">
        <v>38</v>
      </c>
      <c r="D33" s="4" t="s">
        <v>177</v>
      </c>
      <c r="E33" s="4" t="s">
        <v>128</v>
      </c>
      <c r="F33" s="9">
        <v>1000</v>
      </c>
      <c r="G33" s="2" t="s">
        <v>24</v>
      </c>
      <c r="H33" s="7">
        <f>SUM($E$5:$E$6)</f>
        <v>5000</v>
      </c>
      <c r="I33" s="28">
        <f>ROUNDUP(H33/F33,0)</f>
        <v>5</v>
      </c>
      <c r="M33" s="112">
        <f>12*F33</f>
        <v>12000</v>
      </c>
      <c r="N33" s="31">
        <f>M33/F33</f>
        <v>12</v>
      </c>
      <c r="O33" s="60">
        <f>H33*N33</f>
        <v>60000</v>
      </c>
    </row>
    <row r="34" spans="2:16" x14ac:dyDescent="0.2">
      <c r="B34" s="9" t="s">
        <v>38</v>
      </c>
      <c r="C34" s="9" t="s">
        <v>38</v>
      </c>
      <c r="D34" s="4" t="s">
        <v>173</v>
      </c>
      <c r="E34" s="4" t="s">
        <v>129</v>
      </c>
      <c r="F34" s="9">
        <v>1000</v>
      </c>
      <c r="G34" s="2" t="s">
        <v>24</v>
      </c>
      <c r="H34" s="7">
        <f t="shared" ref="H34:H37" si="0">SUM($E$5:$E$6)</f>
        <v>5000</v>
      </c>
      <c r="I34" s="28">
        <f>ROUNDUP(H34/F34,0)</f>
        <v>5</v>
      </c>
      <c r="M34" s="113" t="s">
        <v>171</v>
      </c>
      <c r="N34" s="31" t="s">
        <v>171</v>
      </c>
      <c r="O34" s="72" t="s">
        <v>171</v>
      </c>
    </row>
    <row r="35" spans="2:16" x14ac:dyDescent="0.2">
      <c r="B35" s="9" t="s">
        <v>38</v>
      </c>
      <c r="C35" s="9" t="s">
        <v>38</v>
      </c>
      <c r="D35" s="4" t="s">
        <v>174</v>
      </c>
      <c r="E35" s="4" t="s">
        <v>130</v>
      </c>
      <c r="F35" s="9">
        <v>1000</v>
      </c>
      <c r="G35" s="2" t="s">
        <v>24</v>
      </c>
      <c r="H35" s="7">
        <f t="shared" si="0"/>
        <v>5000</v>
      </c>
      <c r="I35" s="28">
        <f>ROUNDUP(H35/F35,0)</f>
        <v>5</v>
      </c>
      <c r="M35" s="113" t="s">
        <v>171</v>
      </c>
      <c r="N35" s="31" t="s">
        <v>165</v>
      </c>
      <c r="O35" s="72" t="s">
        <v>171</v>
      </c>
    </row>
    <row r="36" spans="2:16" x14ac:dyDescent="0.2">
      <c r="B36" s="9" t="s">
        <v>38</v>
      </c>
      <c r="C36" s="9" t="s">
        <v>38</v>
      </c>
      <c r="D36" s="4" t="s">
        <v>175</v>
      </c>
      <c r="E36" s="4" t="s">
        <v>131</v>
      </c>
      <c r="F36" s="9">
        <v>1000</v>
      </c>
      <c r="G36" s="2" t="s">
        <v>24</v>
      </c>
      <c r="H36" s="7">
        <f t="shared" si="0"/>
        <v>5000</v>
      </c>
      <c r="I36" s="28">
        <f>ROUNDUP(H36/F36,0)</f>
        <v>5</v>
      </c>
      <c r="M36" s="113" t="s">
        <v>171</v>
      </c>
      <c r="N36" s="31" t="s">
        <v>165</v>
      </c>
      <c r="O36" s="72" t="s">
        <v>171</v>
      </c>
    </row>
    <row r="37" spans="2:16" x14ac:dyDescent="0.2">
      <c r="B37" s="9" t="s">
        <v>38</v>
      </c>
      <c r="C37" s="9" t="s">
        <v>38</v>
      </c>
      <c r="D37" s="4" t="s">
        <v>176</v>
      </c>
      <c r="E37" s="4" t="s">
        <v>132</v>
      </c>
      <c r="F37" s="9">
        <v>1000</v>
      </c>
      <c r="G37" s="2" t="s">
        <v>24</v>
      </c>
      <c r="H37" s="7">
        <f t="shared" si="0"/>
        <v>5000</v>
      </c>
      <c r="I37" s="28">
        <f>ROUNDUP(H37/F37,0)</f>
        <v>5</v>
      </c>
      <c r="M37" s="113" t="s">
        <v>171</v>
      </c>
      <c r="N37" s="31" t="s">
        <v>165</v>
      </c>
      <c r="O37" s="72" t="s">
        <v>171</v>
      </c>
    </row>
    <row r="38" spans="2:16" s="48" customFormat="1" ht="25.5" x14ac:dyDescent="0.2">
      <c r="B38" s="49" t="s">
        <v>244</v>
      </c>
      <c r="C38" s="50"/>
      <c r="D38" s="51"/>
      <c r="E38" s="51"/>
      <c r="F38" s="50"/>
      <c r="G38" s="52"/>
      <c r="H38" s="54"/>
      <c r="I38" s="55"/>
      <c r="K38" s="116"/>
      <c r="M38" s="115"/>
      <c r="N38" s="53"/>
      <c r="O38" s="56"/>
    </row>
    <row r="39" spans="2:16" x14ac:dyDescent="0.2">
      <c r="B39" s="9" t="s">
        <v>38</v>
      </c>
      <c r="C39" s="9" t="s">
        <v>38</v>
      </c>
      <c r="D39" s="3" t="s">
        <v>201</v>
      </c>
      <c r="E39" s="3" t="s">
        <v>200</v>
      </c>
      <c r="F39" s="9" t="s">
        <v>202</v>
      </c>
      <c r="G39" s="2" t="s">
        <v>203</v>
      </c>
      <c r="H39" s="7">
        <f>SUM(E5:E6)/96</f>
        <v>52.083333333333336</v>
      </c>
      <c r="I39" s="28">
        <f>ROUNDUP(H39/50,0)</f>
        <v>2</v>
      </c>
      <c r="M39" s="113">
        <v>248</v>
      </c>
      <c r="N39" s="32">
        <f>M39/4800</f>
        <v>5.1666666666666666E-2</v>
      </c>
      <c r="O39" s="72">
        <f t="shared" ref="O39:O45" si="1">IF(B39="Yes",I39*M39,0)</f>
        <v>496</v>
      </c>
    </row>
    <row r="40" spans="2:16" ht="16.5" x14ac:dyDescent="0.2">
      <c r="B40" s="9" t="s">
        <v>297</v>
      </c>
      <c r="C40" s="9" t="s">
        <v>38</v>
      </c>
      <c r="D40" s="3" t="s">
        <v>205</v>
      </c>
      <c r="E40" s="3" t="s">
        <v>204</v>
      </c>
      <c r="F40" s="9" t="s">
        <v>206</v>
      </c>
      <c r="G40" s="2" t="s">
        <v>207</v>
      </c>
      <c r="H40" s="7">
        <f>E5*(43/2000)</f>
        <v>53.749999999999993</v>
      </c>
      <c r="I40" s="28">
        <f>ROUNDUP(H40/10,0)</f>
        <v>6</v>
      </c>
      <c r="M40" s="113">
        <v>46.5</v>
      </c>
      <c r="N40" s="32">
        <f>M40/2880</f>
        <v>1.6145833333333335E-2</v>
      </c>
      <c r="O40" s="72">
        <f t="shared" si="1"/>
        <v>0</v>
      </c>
    </row>
    <row r="41" spans="2:16" ht="16.5" x14ac:dyDescent="0.2">
      <c r="B41" s="9" t="s">
        <v>298</v>
      </c>
      <c r="C41" s="9" t="s">
        <v>38</v>
      </c>
      <c r="D41" s="3" t="s">
        <v>226</v>
      </c>
      <c r="E41" s="3">
        <v>4346907</v>
      </c>
      <c r="F41" s="9" t="s">
        <v>206</v>
      </c>
      <c r="G41" s="2" t="s">
        <v>207</v>
      </c>
      <c r="H41" s="7">
        <f>E6*(43/2000)</f>
        <v>53.749999999999993</v>
      </c>
      <c r="I41" s="28">
        <f>ROUNDUP(H41/10,0)</f>
        <v>6</v>
      </c>
      <c r="M41" s="113">
        <v>36.5</v>
      </c>
      <c r="N41" s="32">
        <f>M41/2880</f>
        <v>1.2673611111111111E-2</v>
      </c>
      <c r="O41" s="72">
        <f t="shared" si="1"/>
        <v>0</v>
      </c>
    </row>
    <row r="42" spans="2:16" x14ac:dyDescent="0.2">
      <c r="B42" s="9" t="s">
        <v>38</v>
      </c>
      <c r="C42" s="9" t="s">
        <v>38</v>
      </c>
      <c r="D42" s="3" t="s">
        <v>208</v>
      </c>
      <c r="E42" s="3">
        <v>4306311</v>
      </c>
      <c r="F42" s="9" t="s">
        <v>209</v>
      </c>
      <c r="G42" s="2" t="s">
        <v>210</v>
      </c>
      <c r="H42" s="7">
        <f>ROUNDUP(SUM(E5:E6)*(21/2000),0)</f>
        <v>53</v>
      </c>
      <c r="I42" s="28">
        <f>ROUNDUP(H42/100,0)</f>
        <v>1</v>
      </c>
      <c r="M42" s="113">
        <v>111.5</v>
      </c>
      <c r="N42" s="32">
        <f>M42/4800</f>
        <v>2.3229166666666665E-2</v>
      </c>
      <c r="O42" s="72">
        <f t="shared" si="1"/>
        <v>111.5</v>
      </c>
    </row>
    <row r="43" spans="2:16" x14ac:dyDescent="0.2">
      <c r="B43" s="9" t="s">
        <v>38</v>
      </c>
      <c r="C43" s="9" t="s">
        <v>38</v>
      </c>
      <c r="D43" s="3" t="s">
        <v>211</v>
      </c>
      <c r="E43" s="3">
        <v>4311971</v>
      </c>
      <c r="F43" s="9" t="s">
        <v>212</v>
      </c>
      <c r="G43" s="2" t="s">
        <v>213</v>
      </c>
      <c r="H43" s="7">
        <f>ROUNDUP(SUM(E5:E6)*(22/2000),0)</f>
        <v>55</v>
      </c>
      <c r="I43" s="28">
        <f>ROUNDUP(H43/100,0)</f>
        <v>1</v>
      </c>
      <c r="M43" s="113">
        <v>200.75</v>
      </c>
      <c r="N43" s="32">
        <f>M43/9600</f>
        <v>2.0911458333333334E-2</v>
      </c>
      <c r="O43" s="72">
        <f t="shared" si="1"/>
        <v>200.75</v>
      </c>
      <c r="P43" s="18"/>
    </row>
    <row r="44" spans="2:16" ht="16.5" x14ac:dyDescent="0.2">
      <c r="B44" s="9" t="s">
        <v>263</v>
      </c>
      <c r="C44" s="9" t="s">
        <v>54</v>
      </c>
      <c r="D44" s="3" t="s">
        <v>222</v>
      </c>
      <c r="E44" s="3">
        <v>3434</v>
      </c>
      <c r="F44" s="9" t="s">
        <v>223</v>
      </c>
      <c r="G44" s="2" t="s">
        <v>224</v>
      </c>
      <c r="H44" s="7">
        <f>ROUNDUP(SUM(E5:E6)*(21/2000),0)</f>
        <v>53</v>
      </c>
      <c r="I44" s="28">
        <f>ROUNDUP(H44/5000,0)</f>
        <v>1</v>
      </c>
      <c r="M44" s="113">
        <v>147.6</v>
      </c>
      <c r="N44" s="32">
        <v>2.9519999999999998E-2</v>
      </c>
      <c r="O44" s="72">
        <f t="shared" si="1"/>
        <v>0</v>
      </c>
    </row>
    <row r="45" spans="2:16" ht="16.5" x14ac:dyDescent="0.2">
      <c r="B45" s="9" t="s">
        <v>263</v>
      </c>
      <c r="C45" s="9" t="s">
        <v>54</v>
      </c>
      <c r="D45" s="3" t="s">
        <v>225</v>
      </c>
      <c r="E45" s="3">
        <v>3448</v>
      </c>
      <c r="F45" s="9" t="s">
        <v>223</v>
      </c>
      <c r="G45" s="2" t="s">
        <v>224</v>
      </c>
      <c r="H45" s="7">
        <f>ROUNDUP(SUM(E5:E6)*(21/2000),0)</f>
        <v>53</v>
      </c>
      <c r="I45" s="28">
        <f>ROUNDUP(H45/5000,0)</f>
        <v>1</v>
      </c>
      <c r="M45" s="113">
        <v>118.80000000000001</v>
      </c>
      <c r="N45" s="32">
        <v>2.3760000000000003E-2</v>
      </c>
      <c r="O45" s="72">
        <f t="shared" si="1"/>
        <v>0</v>
      </c>
    </row>
    <row r="46" spans="2:16" s="48" customFormat="1" ht="14.25" x14ac:dyDescent="0.2">
      <c r="B46" s="50" t="s">
        <v>187</v>
      </c>
      <c r="C46" s="50"/>
      <c r="D46" s="51"/>
      <c r="E46" s="51"/>
      <c r="F46" s="50"/>
      <c r="G46" s="52"/>
      <c r="H46" s="54"/>
      <c r="I46" s="55"/>
      <c r="K46" s="116"/>
      <c r="M46" s="115"/>
      <c r="N46" s="53"/>
      <c r="O46" s="56"/>
    </row>
    <row r="47" spans="2:16" x14ac:dyDescent="0.2">
      <c r="B47" s="9" t="s">
        <v>38</v>
      </c>
      <c r="C47" s="9" t="s">
        <v>38</v>
      </c>
      <c r="D47" s="3" t="s">
        <v>178</v>
      </c>
      <c r="E47" s="3" t="s">
        <v>133</v>
      </c>
      <c r="F47" s="9">
        <v>480</v>
      </c>
      <c r="G47" s="2" t="s">
        <v>190</v>
      </c>
      <c r="H47" s="7">
        <f>SUM(E5:E6)</f>
        <v>5000</v>
      </c>
      <c r="I47" s="28">
        <f>ROUNDUP(H47/F47,0)</f>
        <v>11</v>
      </c>
      <c r="M47" s="113" t="s">
        <v>165</v>
      </c>
      <c r="N47" s="31" t="s">
        <v>165</v>
      </c>
      <c r="O47" s="72" t="s">
        <v>171</v>
      </c>
    </row>
    <row r="48" spans="2:16" x14ac:dyDescent="0.2">
      <c r="B48" s="11"/>
      <c r="C48" s="11"/>
      <c r="D48" s="10"/>
      <c r="E48" s="10"/>
      <c r="F48" s="11"/>
      <c r="G48" s="12"/>
      <c r="H48" s="14"/>
      <c r="I48" s="25"/>
      <c r="M48" s="77"/>
      <c r="N48" s="13"/>
      <c r="O48" s="26"/>
    </row>
    <row r="49" spans="1:22" x14ac:dyDescent="0.2">
      <c r="A49" s="42"/>
      <c r="B49" s="16"/>
    </row>
    <row r="50" spans="1:22" s="87" customFormat="1" x14ac:dyDescent="0.2">
      <c r="A50" s="84" t="s">
        <v>197</v>
      </c>
      <c r="B50" s="85"/>
      <c r="C50" s="86"/>
      <c r="D50" s="86"/>
      <c r="E50" s="86"/>
      <c r="F50" s="86"/>
      <c r="G50" s="86"/>
      <c r="H50" s="86"/>
      <c r="I50" s="86"/>
      <c r="J50" s="86"/>
      <c r="K50" s="81"/>
      <c r="L50" s="86"/>
      <c r="M50" s="86"/>
      <c r="N50" s="86"/>
      <c r="O50" s="86"/>
      <c r="P50" s="86"/>
      <c r="Q50" s="86"/>
      <c r="R50" s="86"/>
      <c r="S50" s="86"/>
      <c r="T50" s="86"/>
      <c r="U50" s="86"/>
      <c r="V50" s="86"/>
    </row>
    <row r="51" spans="1:22" s="39" customFormat="1" x14ac:dyDescent="0.2">
      <c r="A51" s="42"/>
      <c r="B51" s="83" t="s">
        <v>248</v>
      </c>
      <c r="C51"/>
      <c r="D51"/>
      <c r="E51"/>
      <c r="F51"/>
      <c r="G51"/>
      <c r="H51"/>
      <c r="I51"/>
      <c r="J51"/>
      <c r="K51" s="81"/>
      <c r="L51"/>
      <c r="M51"/>
      <c r="N51"/>
      <c r="O51"/>
      <c r="P51"/>
      <c r="Q51"/>
      <c r="R51"/>
      <c r="S51"/>
      <c r="T51"/>
      <c r="U51"/>
      <c r="V51"/>
    </row>
    <row r="52" spans="1:22" s="39" customFormat="1" x14ac:dyDescent="0.2">
      <c r="A52" s="42"/>
      <c r="B52" s="83" t="s">
        <v>253</v>
      </c>
      <c r="C52"/>
      <c r="D52"/>
      <c r="E52"/>
      <c r="F52"/>
      <c r="G52"/>
      <c r="H52"/>
      <c r="I52"/>
      <c r="J52"/>
      <c r="K52" s="81"/>
      <c r="L52"/>
      <c r="M52"/>
      <c r="N52"/>
      <c r="O52"/>
      <c r="P52"/>
      <c r="Q52"/>
      <c r="R52"/>
      <c r="S52"/>
      <c r="T52"/>
      <c r="U52"/>
      <c r="V52"/>
    </row>
    <row r="53" spans="1:22" s="39" customFormat="1" x14ac:dyDescent="0.2">
      <c r="A53" s="42"/>
      <c r="B53" s="80"/>
      <c r="C53" s="17" t="s">
        <v>252</v>
      </c>
      <c r="D53"/>
      <c r="E53"/>
      <c r="F53"/>
      <c r="G53"/>
      <c r="H53"/>
      <c r="I53"/>
      <c r="J53"/>
      <c r="K53" s="81"/>
      <c r="L53"/>
      <c r="M53"/>
      <c r="N53"/>
      <c r="O53"/>
      <c r="P53"/>
      <c r="Q53"/>
      <c r="R53"/>
      <c r="S53"/>
      <c r="T53"/>
      <c r="U53"/>
      <c r="V53"/>
    </row>
    <row r="54" spans="1:22" s="39" customFormat="1" x14ac:dyDescent="0.2">
      <c r="A54" s="42"/>
      <c r="B54" s="16"/>
      <c r="C54"/>
      <c r="D54"/>
      <c r="E54"/>
      <c r="F54"/>
      <c r="G54"/>
      <c r="H54"/>
      <c r="I54"/>
      <c r="J54"/>
      <c r="K54" s="81"/>
      <c r="L54"/>
      <c r="M54"/>
      <c r="N54"/>
      <c r="O54"/>
      <c r="P54"/>
      <c r="Q54"/>
      <c r="R54"/>
      <c r="S54"/>
      <c r="T54"/>
      <c r="U54"/>
      <c r="V54"/>
    </row>
    <row r="55" spans="1:22" s="39" customFormat="1" ht="25.5" x14ac:dyDescent="0.2">
      <c r="B55" s="36" t="s">
        <v>138</v>
      </c>
      <c r="C55" s="36" t="s">
        <v>81</v>
      </c>
      <c r="D55" s="36" t="s">
        <v>53</v>
      </c>
      <c r="E55" s="36" t="s">
        <v>166</v>
      </c>
      <c r="F55" s="36"/>
      <c r="G55" s="36" t="s">
        <v>58</v>
      </c>
      <c r="H55" s="37" t="s">
        <v>184</v>
      </c>
      <c r="I55" s="38" t="s">
        <v>55</v>
      </c>
      <c r="K55" s="82"/>
      <c r="M55" s="36" t="s">
        <v>25</v>
      </c>
      <c r="N55" s="38" t="s">
        <v>27</v>
      </c>
    </row>
    <row r="56" spans="1:22" x14ac:dyDescent="0.2">
      <c r="B56" s="57" t="s">
        <v>242</v>
      </c>
      <c r="C56" s="11"/>
      <c r="D56" s="10"/>
      <c r="E56" s="10"/>
      <c r="F56" s="11"/>
      <c r="G56" s="12"/>
      <c r="H56" s="15"/>
      <c r="I56" s="25"/>
      <c r="M56" s="77"/>
      <c r="N56" s="26"/>
    </row>
    <row r="57" spans="1:22" ht="16.5" x14ac:dyDescent="0.2">
      <c r="B57" s="9" t="s">
        <v>258</v>
      </c>
      <c r="C57" s="9" t="s">
        <v>38</v>
      </c>
      <c r="D57" s="3" t="s">
        <v>77</v>
      </c>
      <c r="E57" s="3" t="s">
        <v>227</v>
      </c>
      <c r="F57" s="9"/>
      <c r="G57" s="2" t="s">
        <v>52</v>
      </c>
      <c r="H57" s="23">
        <v>0</v>
      </c>
      <c r="I57" s="28">
        <f>H57</f>
        <v>0</v>
      </c>
      <c r="M57" s="68">
        <f>IFERROR(VLOOKUP($D57,'Unit costs '!$C$3:$E$55,3,FALSE),"")</f>
        <v>383</v>
      </c>
      <c r="N57" s="60">
        <f>I57*M57</f>
        <v>0</v>
      </c>
      <c r="O57" s="41"/>
    </row>
    <row r="58" spans="1:22" ht="16.5" x14ac:dyDescent="0.2">
      <c r="B58" s="9" t="s">
        <v>259</v>
      </c>
      <c r="C58" s="9" t="s">
        <v>54</v>
      </c>
      <c r="D58" s="3" t="s">
        <v>228</v>
      </c>
      <c r="E58" s="3">
        <v>4379590</v>
      </c>
      <c r="F58" s="9"/>
      <c r="G58" s="2" t="s">
        <v>52</v>
      </c>
      <c r="H58" s="23">
        <v>0</v>
      </c>
      <c r="I58" s="28">
        <f t="shared" ref="I58:I59" si="2">H58</f>
        <v>0</v>
      </c>
      <c r="M58" s="68">
        <f>IFERROR(VLOOKUP($D58,'Unit costs '!$C$3:$E$55,3,FALSE),"")</f>
        <v>75</v>
      </c>
      <c r="N58" s="60">
        <f>I58*M58</f>
        <v>0</v>
      </c>
      <c r="O58" s="41"/>
    </row>
    <row r="59" spans="1:22" ht="16.5" x14ac:dyDescent="0.2">
      <c r="B59" s="9" t="s">
        <v>259</v>
      </c>
      <c r="C59" s="9" t="s">
        <v>54</v>
      </c>
      <c r="D59" s="3" t="s">
        <v>229</v>
      </c>
      <c r="E59" s="3">
        <v>4333183</v>
      </c>
      <c r="F59" s="9"/>
      <c r="G59" s="2" t="s">
        <v>52</v>
      </c>
      <c r="H59" s="23">
        <v>0</v>
      </c>
      <c r="I59" s="28">
        <f t="shared" si="2"/>
        <v>0</v>
      </c>
      <c r="M59" s="68">
        <f>IFERROR(VLOOKUP($D59,'Unit costs '!$C$3:$E$55,3,FALSE),"")</f>
        <v>76</v>
      </c>
      <c r="N59" s="60">
        <f>I59*M59</f>
        <v>0</v>
      </c>
      <c r="O59" s="41"/>
    </row>
    <row r="60" spans="1:22" x14ac:dyDescent="0.2">
      <c r="B60" s="59" t="s">
        <v>241</v>
      </c>
      <c r="C60" s="11"/>
      <c r="D60" s="10"/>
      <c r="E60" s="10"/>
      <c r="F60" s="11"/>
      <c r="G60" s="12"/>
      <c r="H60" s="24"/>
      <c r="I60" s="25"/>
      <c r="M60" s="66"/>
      <c r="N60" s="27"/>
    </row>
    <row r="61" spans="1:22" x14ac:dyDescent="0.2">
      <c r="B61" s="9" t="s">
        <v>38</v>
      </c>
      <c r="C61" s="9" t="s">
        <v>54</v>
      </c>
      <c r="D61" s="3" t="s">
        <v>14</v>
      </c>
      <c r="E61" s="3"/>
      <c r="F61" s="9"/>
      <c r="G61" s="2" t="s">
        <v>52</v>
      </c>
      <c r="H61" s="23">
        <v>0</v>
      </c>
      <c r="I61" s="28">
        <f t="shared" ref="I61:I68" si="3">H61</f>
        <v>0</v>
      </c>
      <c r="M61" s="68">
        <f>IFERROR(VLOOKUP($D61,'Unit costs '!$C$3:$E$55,3,FALSE),"")</f>
        <v>256.82</v>
      </c>
      <c r="N61" s="60">
        <f t="shared" ref="N61:N66" si="4">I61*M61</f>
        <v>0</v>
      </c>
    </row>
    <row r="62" spans="1:22" x14ac:dyDescent="0.2">
      <c r="B62" s="9" t="s">
        <v>38</v>
      </c>
      <c r="C62" s="9" t="s">
        <v>54</v>
      </c>
      <c r="D62" s="3" t="s">
        <v>15</v>
      </c>
      <c r="E62" s="3"/>
      <c r="F62" s="9"/>
      <c r="G62" s="2" t="s">
        <v>52</v>
      </c>
      <c r="H62" s="23">
        <v>0</v>
      </c>
      <c r="I62" s="28">
        <f t="shared" si="3"/>
        <v>0</v>
      </c>
      <c r="M62" s="68">
        <f>IFERROR(VLOOKUP($D62,'Unit costs '!$C$3:$E$55,3,FALSE),"")</f>
        <v>2026.94</v>
      </c>
      <c r="N62" s="60">
        <f t="shared" si="4"/>
        <v>0</v>
      </c>
    </row>
    <row r="63" spans="1:22" x14ac:dyDescent="0.2">
      <c r="B63" s="9" t="s">
        <v>38</v>
      </c>
      <c r="C63" s="9" t="s">
        <v>54</v>
      </c>
      <c r="D63" s="3" t="s">
        <v>16</v>
      </c>
      <c r="E63" s="3"/>
      <c r="F63" s="9"/>
      <c r="G63" s="2" t="s">
        <v>52</v>
      </c>
      <c r="H63" s="23">
        <v>0</v>
      </c>
      <c r="I63" s="28">
        <f t="shared" si="3"/>
        <v>0</v>
      </c>
      <c r="M63" s="68">
        <f>IFERROR(VLOOKUP($D63,'Unit costs '!$C$3:$E$55,3,FALSE),"")</f>
        <v>226.94</v>
      </c>
      <c r="N63" s="60">
        <f t="shared" si="4"/>
        <v>0</v>
      </c>
    </row>
    <row r="64" spans="1:22" x14ac:dyDescent="0.2">
      <c r="B64" s="9" t="s">
        <v>38</v>
      </c>
      <c r="C64" s="9" t="s">
        <v>54</v>
      </c>
      <c r="D64" s="3" t="s">
        <v>17</v>
      </c>
      <c r="E64" s="3"/>
      <c r="F64" s="9"/>
      <c r="G64" s="2" t="s">
        <v>52</v>
      </c>
      <c r="H64" s="23">
        <v>0</v>
      </c>
      <c r="I64" s="28">
        <f t="shared" si="3"/>
        <v>0</v>
      </c>
      <c r="M64" s="68">
        <f>IFERROR(VLOOKUP($D64,'Unit costs '!$C$3:$E$55,3,FALSE),"")</f>
        <v>242</v>
      </c>
      <c r="N64" s="60">
        <f t="shared" si="4"/>
        <v>0</v>
      </c>
    </row>
    <row r="65" spans="2:14" x14ac:dyDescent="0.2">
      <c r="B65" s="9" t="s">
        <v>38</v>
      </c>
      <c r="C65" s="9" t="s">
        <v>54</v>
      </c>
      <c r="D65" s="3" t="s">
        <v>18</v>
      </c>
      <c r="E65" s="3"/>
      <c r="F65" s="9"/>
      <c r="G65" s="2" t="s">
        <v>52</v>
      </c>
      <c r="H65" s="23">
        <v>0</v>
      </c>
      <c r="I65" s="28">
        <f t="shared" si="3"/>
        <v>0</v>
      </c>
      <c r="M65" s="68">
        <f>IFERROR(VLOOKUP($D65,'Unit costs '!$C$3:$E$55,3,FALSE),"")</f>
        <v>3.61</v>
      </c>
      <c r="N65" s="60">
        <f t="shared" si="4"/>
        <v>0</v>
      </c>
    </row>
    <row r="66" spans="2:14" x14ac:dyDescent="0.2">
      <c r="B66" s="9" t="s">
        <v>38</v>
      </c>
      <c r="C66" s="9" t="s">
        <v>54</v>
      </c>
      <c r="D66" s="3" t="s">
        <v>59</v>
      </c>
      <c r="E66" s="3"/>
      <c r="F66" s="9"/>
      <c r="G66" s="2" t="s">
        <v>52</v>
      </c>
      <c r="H66" s="23">
        <v>0</v>
      </c>
      <c r="I66" s="28">
        <f t="shared" si="3"/>
        <v>0</v>
      </c>
      <c r="M66" s="68">
        <f>IFERROR(VLOOKUP($D66,'Unit costs '!$C$3:$E$55,3,FALSE),"")</f>
        <v>176</v>
      </c>
      <c r="N66" s="60">
        <f t="shared" si="4"/>
        <v>0</v>
      </c>
    </row>
    <row r="67" spans="2:14" x14ac:dyDescent="0.2">
      <c r="B67" s="9" t="s">
        <v>38</v>
      </c>
      <c r="C67" s="9" t="s">
        <v>54</v>
      </c>
      <c r="D67" s="3" t="s">
        <v>19</v>
      </c>
      <c r="E67" s="3"/>
      <c r="F67" s="9"/>
      <c r="G67" s="2" t="s">
        <v>52</v>
      </c>
      <c r="H67" s="23">
        <v>0</v>
      </c>
      <c r="I67" s="28">
        <f t="shared" si="3"/>
        <v>0</v>
      </c>
      <c r="M67" s="121" t="str">
        <f>IFERROR(VLOOKUP($D67,'Unit costs '!$C$3:$E$55,3,FALSE),"")</f>
        <v>variable</v>
      </c>
      <c r="N67" s="60" t="str">
        <f>IFERROR(I67*M67,"")</f>
        <v/>
      </c>
    </row>
    <row r="68" spans="2:14" x14ac:dyDescent="0.2">
      <c r="B68" s="9" t="s">
        <v>38</v>
      </c>
      <c r="C68" s="9" t="s">
        <v>54</v>
      </c>
      <c r="D68" s="3" t="s">
        <v>20</v>
      </c>
      <c r="E68" s="3"/>
      <c r="F68" s="9"/>
      <c r="G68" s="2" t="s">
        <v>52</v>
      </c>
      <c r="H68" s="23">
        <v>0</v>
      </c>
      <c r="I68" s="28">
        <f t="shared" si="3"/>
        <v>0</v>
      </c>
      <c r="M68" s="121" t="str">
        <f>IFERROR(VLOOKUP($D68,'Unit costs '!$C$3:$E$55,3,FALSE),"")</f>
        <v>variable</v>
      </c>
      <c r="N68" s="60" t="str">
        <f>IFERROR(I68*M68,"")</f>
        <v/>
      </c>
    </row>
    <row r="69" spans="2:14" x14ac:dyDescent="0.2">
      <c r="B69" s="11"/>
      <c r="C69" s="11"/>
      <c r="D69" s="10"/>
      <c r="E69" s="10"/>
      <c r="F69" s="11"/>
      <c r="G69" s="12"/>
      <c r="H69" s="15"/>
      <c r="I69" s="25"/>
      <c r="M69" s="77"/>
      <c r="N69" s="26"/>
    </row>
    <row r="70" spans="2:14" x14ac:dyDescent="0.2">
      <c r="B70" s="114" t="s">
        <v>127</v>
      </c>
    </row>
    <row r="71" spans="2:14" ht="17.25" x14ac:dyDescent="0.2">
      <c r="B71" s="114" t="s">
        <v>261</v>
      </c>
    </row>
    <row r="72" spans="2:14" ht="17.25" x14ac:dyDescent="0.2">
      <c r="B72" s="79" t="s">
        <v>260</v>
      </c>
    </row>
    <row r="73" spans="2:14" ht="17.25" x14ac:dyDescent="0.2">
      <c r="B73" s="114" t="s">
        <v>262</v>
      </c>
    </row>
    <row r="74" spans="2:14" ht="17.25" x14ac:dyDescent="0.2">
      <c r="B74" s="114" t="s">
        <v>300</v>
      </c>
    </row>
    <row r="75" spans="2:14" ht="17.25" x14ac:dyDescent="0.2">
      <c r="B75" s="114" t="s">
        <v>299</v>
      </c>
    </row>
    <row r="76" spans="2:14" x14ac:dyDescent="0.2">
      <c r="B76" s="114" t="s">
        <v>302</v>
      </c>
    </row>
    <row r="77" spans="2:14" x14ac:dyDescent="0.2">
      <c r="B77" s="114"/>
    </row>
  </sheetData>
  <mergeCells count="7">
    <mergeCell ref="M8:N8"/>
    <mergeCell ref="B2:H2"/>
    <mergeCell ref="M2:O2"/>
    <mergeCell ref="M4:N4"/>
    <mergeCell ref="M5:N5"/>
    <mergeCell ref="M6:N6"/>
    <mergeCell ref="M7:N7"/>
  </mergeCells>
  <conditionalFormatting sqref="C34:C37 B61:C68 B39:C40 B42:C45 B15:C19">
    <cfRule type="containsText" dxfId="27" priority="41" operator="containsText" text="Yes">
      <formula>NOT(ISERROR(SEARCH("Yes",B15)))</formula>
    </cfRule>
    <cfRule type="containsText" dxfId="26" priority="42" operator="containsText" text="No">
      <formula>NOT(ISERROR(SEARCH("No",B15)))</formula>
    </cfRule>
  </conditionalFormatting>
  <conditionalFormatting sqref="C57">
    <cfRule type="containsText" dxfId="25" priority="37" operator="containsText" text="Yes">
      <formula>NOT(ISERROR(SEARCH("Yes",C57)))</formula>
    </cfRule>
    <cfRule type="containsText" dxfId="24" priority="38" operator="containsText" text="No">
      <formula>NOT(ISERROR(SEARCH("No",C57)))</formula>
    </cfRule>
  </conditionalFormatting>
  <conditionalFormatting sqref="C21:C23 C25">
    <cfRule type="containsText" dxfId="23" priority="31" operator="containsText" text="Yes">
      <formula>NOT(ISERROR(SEARCH("Yes",C21)))</formula>
    </cfRule>
    <cfRule type="containsText" dxfId="22" priority="32" operator="containsText" text="No">
      <formula>NOT(ISERROR(SEARCH("No",C21)))</formula>
    </cfRule>
  </conditionalFormatting>
  <conditionalFormatting sqref="B21:B23 B25">
    <cfRule type="containsText" dxfId="21" priority="19" operator="containsText" text="Yes">
      <formula>NOT(ISERROR(SEARCH("Yes",B21)))</formula>
    </cfRule>
    <cfRule type="containsText" dxfId="20" priority="20" operator="containsText" text="No">
      <formula>NOT(ISERROR(SEARCH("No",B21)))</formula>
    </cfRule>
  </conditionalFormatting>
  <conditionalFormatting sqref="B34:B37">
    <cfRule type="containsText" dxfId="19" priority="29" operator="containsText" text="Yes">
      <formula>NOT(ISERROR(SEARCH("Yes",B34)))</formula>
    </cfRule>
    <cfRule type="containsText" dxfId="18" priority="30" operator="containsText" text="No">
      <formula>NOT(ISERROR(SEARCH("No",B34)))</formula>
    </cfRule>
  </conditionalFormatting>
  <conditionalFormatting sqref="B57">
    <cfRule type="containsText" dxfId="17" priority="25" operator="containsText" text="Yes">
      <formula>NOT(ISERROR(SEARCH("Yes",B57)))</formula>
    </cfRule>
    <cfRule type="containsText" dxfId="16" priority="26" operator="containsText" text="No">
      <formula>NOT(ISERROR(SEARCH("No",B57)))</formula>
    </cfRule>
  </conditionalFormatting>
  <conditionalFormatting sqref="C33">
    <cfRule type="containsText" dxfId="15" priority="13" operator="containsText" text="Yes">
      <formula>NOT(ISERROR(SEARCH("Yes",C33)))</formula>
    </cfRule>
    <cfRule type="containsText" dxfId="14" priority="14" operator="containsText" text="No">
      <formula>NOT(ISERROR(SEARCH("No",C33)))</formula>
    </cfRule>
  </conditionalFormatting>
  <conditionalFormatting sqref="B33">
    <cfRule type="containsText" dxfId="13" priority="11" operator="containsText" text="Yes">
      <formula>NOT(ISERROR(SEARCH("Yes",B33)))</formula>
    </cfRule>
    <cfRule type="containsText" dxfId="12" priority="12" operator="containsText" text="No">
      <formula>NOT(ISERROR(SEARCH("No",B33)))</formula>
    </cfRule>
  </conditionalFormatting>
  <conditionalFormatting sqref="C41">
    <cfRule type="containsText" dxfId="11" priority="9" operator="containsText" text="Yes">
      <formula>NOT(ISERROR(SEARCH("Yes",C41)))</formula>
    </cfRule>
    <cfRule type="containsText" dxfId="10" priority="10" operator="containsText" text="No">
      <formula>NOT(ISERROR(SEARCH("No",C41)))</formula>
    </cfRule>
  </conditionalFormatting>
  <conditionalFormatting sqref="C24">
    <cfRule type="containsText" dxfId="9" priority="7" operator="containsText" text="Yes">
      <formula>NOT(ISERROR(SEARCH("Yes",C24)))</formula>
    </cfRule>
    <cfRule type="containsText" dxfId="8" priority="8" operator="containsText" text="No">
      <formula>NOT(ISERROR(SEARCH("No",C24)))</formula>
    </cfRule>
  </conditionalFormatting>
  <conditionalFormatting sqref="B24">
    <cfRule type="containsText" dxfId="7" priority="5" operator="containsText" text="Yes">
      <formula>NOT(ISERROR(SEARCH("Yes",B24)))</formula>
    </cfRule>
    <cfRule type="containsText" dxfId="6" priority="6" operator="containsText" text="No">
      <formula>NOT(ISERROR(SEARCH("No",B24)))</formula>
    </cfRule>
  </conditionalFormatting>
  <conditionalFormatting sqref="B58:C59">
    <cfRule type="containsText" dxfId="5" priority="3" operator="containsText" text="Yes">
      <formula>NOT(ISERROR(SEARCH("Yes",B58)))</formula>
    </cfRule>
    <cfRule type="containsText" dxfId="4" priority="4" operator="containsText" text="No">
      <formula>NOT(ISERROR(SEARCH("No",B58)))</formula>
    </cfRule>
  </conditionalFormatting>
  <conditionalFormatting sqref="B41">
    <cfRule type="containsText" dxfId="3" priority="1" operator="containsText" text="Yes">
      <formula>NOT(ISERROR(SEARCH("Yes",B41)))</formula>
    </cfRule>
    <cfRule type="containsText" dxfId="2" priority="2" operator="containsText" text="No">
      <formula>NOT(ISERROR(SEARCH("No",B41)))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7" operator="containsText" text="Yes" id="{E627A607-68EB-4E4B-ABB6-C86354F78CDB}">
            <xm:f>NOT(ISERROR(SEARCH("Yes",BGI!B42)))</xm:f>
            <x14:dxf>
              <font>
                <color rgb="FF006100"/>
              </font>
              <fill>
                <patternFill>
                  <bgColor rgb="FFC6EFCE"/>
                </patternFill>
              </fill>
            </x14:dxf>
          </x14:cfRule>
          <x14:cfRule type="containsText" priority="18" operator="containsText" text="No" id="{3CD6D985-06E6-2B4B-9B3A-4122DA8DC453}">
            <xm:f>NOT(ISERROR(SEARCH("No",BGI!B42)))</xm:f>
            <x14:dxf>
              <font>
                <color rgb="FF9C0006"/>
              </font>
              <fill>
                <patternFill>
                  <bgColor rgb="FFFFC7CE"/>
                </patternFill>
              </fill>
            </x14:dxf>
          </x14:cfRule>
          <xm:sqref>B47:C47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6</vt:i4>
      </vt:variant>
    </vt:vector>
  </HeadingPairs>
  <TitlesOfParts>
    <vt:vector size="6" baseType="lpstr">
      <vt:lpstr>Unit costs </vt:lpstr>
      <vt:lpstr>Abbott</vt:lpstr>
      <vt:lpstr>BGI</vt:lpstr>
      <vt:lpstr>Cepheid</vt:lpstr>
      <vt:lpstr>Roche</vt:lpstr>
      <vt:lpstr>Thermo Fisher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Kallarakal</dc:creator>
  <cp:lastModifiedBy>Lara Vojnov</cp:lastModifiedBy>
  <dcterms:created xsi:type="dcterms:W3CDTF">2020-03-15T15:41:47Z</dcterms:created>
  <dcterms:modified xsi:type="dcterms:W3CDTF">2020-07-16T16:28:35Z</dcterms:modified>
</cp:coreProperties>
</file>