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hnogymspa-my.sharepoint.com/personal/lzoffoli_technogym_com/Documents/custom_app/pyakern/"/>
    </mc:Choice>
  </mc:AlternateContent>
  <xr:revisionPtr revIDLastSave="25" documentId="8_{168BA38D-5660-4CB7-921B-52AE26ED9382}" xr6:coauthVersionLast="47" xr6:coauthVersionMax="47" xr10:uidLastSave="{5B8ED6DA-3BD3-4E06-9878-EDCE3515C992}"/>
  <bookViews>
    <workbookView minimized="1" xWindow="1485" yWindow="1680" windowWidth="21600" windowHeight="11265" xr2:uid="{CC1815D8-7F85-4DC0-9BE7-055A6ED1BE5A}"/>
  </bookViews>
  <sheets>
    <sheet name="bquxjob_2c5254ce_19053652384" sheetId="1" r:id="rId1"/>
    <sheet name="equation_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T5" i="2"/>
  <c r="S5" i="2"/>
  <c r="R5" i="2"/>
  <c r="U4" i="2"/>
  <c r="T4" i="2"/>
  <c r="S4" i="2"/>
  <c r="R4" i="2"/>
  <c r="Y4" i="2"/>
  <c r="X4" i="2"/>
  <c r="P4" i="2"/>
  <c r="AL4" i="2"/>
  <c r="AK4" i="2"/>
  <c r="AJ4" i="2"/>
  <c r="AG4" i="2"/>
  <c r="AF4" i="2"/>
  <c r="AE4" i="2"/>
  <c r="AD4" i="2"/>
  <c r="AC4" i="2"/>
  <c r="AB4" i="2"/>
  <c r="AA4" i="2"/>
  <c r="Z4" i="2"/>
  <c r="Q4" i="2"/>
  <c r="O4" i="2"/>
  <c r="N4" i="2"/>
  <c r="L4" i="2"/>
  <c r="E4" i="2"/>
  <c r="J4" i="2"/>
  <c r="M4" i="2"/>
  <c r="K4" i="2"/>
  <c r="I4" i="2"/>
  <c r="H4" i="2"/>
  <c r="G4" i="2"/>
  <c r="F4" i="2"/>
  <c r="D4" i="2"/>
  <c r="C4" i="2"/>
  <c r="B4" i="2"/>
  <c r="AF5" i="2" l="1"/>
  <c r="AF7" i="2" s="1"/>
  <c r="P5" i="2"/>
  <c r="AL5" i="2"/>
  <c r="AL7" i="2" s="1"/>
  <c r="AC5" i="2"/>
  <c r="AG5" i="2"/>
  <c r="AK5" i="2"/>
  <c r="AJ5" i="2"/>
  <c r="AE5" i="2"/>
  <c r="AA5" i="2" s="1"/>
  <c r="AB5" i="2"/>
  <c r="N5" i="2"/>
  <c r="Z5" i="2"/>
  <c r="Q5" i="2"/>
  <c r="O5" i="2"/>
  <c r="AH5" i="2" l="1"/>
  <c r="AI5" i="2" s="1"/>
  <c r="AI7" i="2" s="1"/>
  <c r="AD5" i="2"/>
</calcChain>
</file>

<file path=xl/sharedStrings.xml><?xml version="1.0" encoding="utf-8"?>
<sst xmlns="http://schemas.openxmlformats.org/spreadsheetml/2006/main" count="360" uniqueCount="156">
  <si>
    <t>UserId</t>
  </si>
  <si>
    <t>MeasuredOn</t>
  </si>
  <si>
    <t>MeasurementName</t>
  </si>
  <si>
    <t>BiometricName</t>
  </si>
  <si>
    <t>BiometricDescriptorType</t>
  </si>
  <si>
    <t>Value</t>
  </si>
  <si>
    <t>e5757028-ca5b-4cee-bf7a-c954c16bdf52</t>
  </si>
  <si>
    <t>2024-06-13 15:03:58.000000 UTC</t>
  </si>
  <si>
    <t>Technogym Health</t>
  </si>
  <si>
    <t>Right body impedance</t>
  </si>
  <si>
    <t>RightBodyImpedance</t>
  </si>
  <si>
    <t>Left trunk impedance</t>
  </si>
  <si>
    <t>LeftTrunkImpedance</t>
  </si>
  <si>
    <t>Right leg impedance</t>
  </si>
  <si>
    <t>Left arm resistance</t>
  </si>
  <si>
    <t>LeftArmResistance</t>
  </si>
  <si>
    <t>Left Leg Muscle Mass</t>
  </si>
  <si>
    <t>LeftLegMuscleMass</t>
  </si>
  <si>
    <t>Right Leg Muscle Mass</t>
  </si>
  <si>
    <t>RightLegMuscleMass</t>
  </si>
  <si>
    <t>Weight</t>
  </si>
  <si>
    <t>UserWeight</t>
  </si>
  <si>
    <t>Left body reactance</t>
  </si>
  <si>
    <t>Left body impedance</t>
  </si>
  <si>
    <t>Right body phase angle</t>
  </si>
  <si>
    <t>Left arm impedance</t>
  </si>
  <si>
    <t>LeftArmImpedance</t>
  </si>
  <si>
    <t>Left arm reactance</t>
  </si>
  <si>
    <t>LeftArmReactance</t>
  </si>
  <si>
    <t>% Water on fat-free mass</t>
  </si>
  <si>
    <t>FFMHydrated</t>
  </si>
  <si>
    <t>Right trunk impedance</t>
  </si>
  <si>
    <t>RightTrunkImpedance</t>
  </si>
  <si>
    <t>Total Body Water Perc</t>
  </si>
  <si>
    <t>TotalBodyWaterPerc</t>
  </si>
  <si>
    <t>Soft Lean Mass</t>
  </si>
  <si>
    <t>SoftLeanMass</t>
  </si>
  <si>
    <t>Right arm impedance</t>
  </si>
  <si>
    <t>Skeletal Muscle Mass</t>
  </si>
  <si>
    <t>SkeletalMuscleMass</t>
  </si>
  <si>
    <t>Total Body Water</t>
  </si>
  <si>
    <t>TotalBodyWater</t>
  </si>
  <si>
    <t>Basal Metabolic Rate</t>
  </si>
  <si>
    <t>BMR</t>
  </si>
  <si>
    <t>Right arm resistance</t>
  </si>
  <si>
    <t>RightArmResistance</t>
  </si>
  <si>
    <t>Right trunk resistance</t>
  </si>
  <si>
    <t>RightTrunkResistance</t>
  </si>
  <si>
    <t>Left trunk reactance</t>
  </si>
  <si>
    <t>LeftTrunkReactance</t>
  </si>
  <si>
    <t>Left arm phase angle</t>
  </si>
  <si>
    <t>LeftArmPhaseAngle</t>
  </si>
  <si>
    <t>Fat Mass</t>
  </si>
  <si>
    <t>FatMass</t>
  </si>
  <si>
    <t>Lower Body lean soft tissue mass</t>
  </si>
  <si>
    <t>LowerBodySoftLeanMass</t>
  </si>
  <si>
    <t>Right body reactance</t>
  </si>
  <si>
    <t>RightBodyReactance</t>
  </si>
  <si>
    <t>Left trunk resistance</t>
  </si>
  <si>
    <t>Left body resistance</t>
  </si>
  <si>
    <t>LeftBodyResistance</t>
  </si>
  <si>
    <t>Trunk Fat Free Mass</t>
  </si>
  <si>
    <t>TrunkFatFreeMass</t>
  </si>
  <si>
    <t>Right leg resistance</t>
  </si>
  <si>
    <t>RightLegResistance</t>
  </si>
  <si>
    <t>Left trunk phase angle</t>
  </si>
  <si>
    <t>LeftTrunkPhaseAngle</t>
  </si>
  <si>
    <t>Standard Body Weight</t>
  </si>
  <si>
    <t>StandardBodyWeight</t>
  </si>
  <si>
    <t>Upper body lean soft tissue mass</t>
  </si>
  <si>
    <t>UpperBodySoftLeanMass</t>
  </si>
  <si>
    <t>Phase Angle</t>
  </si>
  <si>
    <t>PhaseAngle</t>
  </si>
  <si>
    <t>Right body resistance</t>
  </si>
  <si>
    <t>RightBodyResistance</t>
  </si>
  <si>
    <t>Extra Cellular Water Perc</t>
  </si>
  <si>
    <t>ExtraCellularWaterPerc</t>
  </si>
  <si>
    <t>Right Arm Muscle Mass</t>
  </si>
  <si>
    <t>RightArmMuscleMass</t>
  </si>
  <si>
    <t>Fat mass Perc</t>
  </si>
  <si>
    <t>FatMassPercentace</t>
  </si>
  <si>
    <t>Right arm phase angle</t>
  </si>
  <si>
    <t>RightArmPhaseAngle</t>
  </si>
  <si>
    <t>Left leg impedance</t>
  </si>
  <si>
    <t>LeftLegImpedance</t>
  </si>
  <si>
    <t>Right trunk phase angle</t>
  </si>
  <si>
    <t>RightTrunkPhaseAngle</t>
  </si>
  <si>
    <t>Left Arm Muscle Mass</t>
  </si>
  <si>
    <t>LeftArmMuscleMass</t>
  </si>
  <si>
    <t>Extra Cellular Water</t>
  </si>
  <si>
    <t>ExtraCellularWater</t>
  </si>
  <si>
    <t>Left body phase angle</t>
  </si>
  <si>
    <t>LeftBodyPhaseAngle</t>
  </si>
  <si>
    <t>Left leg reactance</t>
  </si>
  <si>
    <t>LeftLegReactance</t>
  </si>
  <si>
    <t>Left leg phase angle</t>
  </si>
  <si>
    <t>LeftLegPhaseAngle</t>
  </si>
  <si>
    <t>Skeletal Muscle Mass Perc</t>
  </si>
  <si>
    <t>SkeletalMuscleMassPerc</t>
  </si>
  <si>
    <t>Left leg resistance</t>
  </si>
  <si>
    <t>LeftLegResistance</t>
  </si>
  <si>
    <t>Fat Free Mass</t>
  </si>
  <si>
    <t>FatFreeMass</t>
  </si>
  <si>
    <t>Height</t>
  </si>
  <si>
    <t>UserHeight</t>
  </si>
  <si>
    <t>Right arm reactance</t>
  </si>
  <si>
    <t>Intra Cellular Water</t>
  </si>
  <si>
    <t>IntraCellularWater</t>
  </si>
  <si>
    <t>Right leg phase angle</t>
  </si>
  <si>
    <t>RightLegPhaseAngle</t>
  </si>
  <si>
    <t>Right leg reactance</t>
  </si>
  <si>
    <t>BMI</t>
  </si>
  <si>
    <t>Fat Free Mass Index</t>
  </si>
  <si>
    <t>FatFreeMassIndex</t>
  </si>
  <si>
    <t>Free-Fat Mass Index</t>
  </si>
  <si>
    <t>TBWOnFFMPerc</t>
  </si>
  <si>
    <t>Right trunk reactance</t>
  </si>
  <si>
    <t>Leg</t>
  </si>
  <si>
    <t>Arm</t>
  </si>
  <si>
    <t>Left</t>
  </si>
  <si>
    <t>Right</t>
  </si>
  <si>
    <t>Trunk</t>
  </si>
  <si>
    <t>Resistance</t>
  </si>
  <si>
    <t>Reactance</t>
  </si>
  <si>
    <t>LeftBodyImpedance</t>
  </si>
  <si>
    <t>LeftBodyReactance</t>
  </si>
  <si>
    <t>LeftTrunkResistance</t>
  </si>
  <si>
    <t>RightArmImpedance</t>
  </si>
  <si>
    <t>RightArmReactance</t>
  </si>
  <si>
    <t>RightBodyPhaseAngle</t>
  </si>
  <si>
    <t>RightLegImpedance</t>
  </si>
  <si>
    <t>RightLegReactance</t>
  </si>
  <si>
    <t>RightTrunkReactance</t>
  </si>
  <si>
    <t>Body</t>
  </si>
  <si>
    <t>Age</t>
  </si>
  <si>
    <t>ECW</t>
  </si>
  <si>
    <t>Sex</t>
  </si>
  <si>
    <t>F</t>
  </si>
  <si>
    <t>Costante extra?</t>
  </si>
  <si>
    <t>TBW</t>
  </si>
  <si>
    <t>ICW</t>
  </si>
  <si>
    <t>SAVED</t>
  </si>
  <si>
    <t>CALCULATED</t>
  </si>
  <si>
    <t>NOTES</t>
  </si>
  <si>
    <t>FFM</t>
  </si>
  <si>
    <t>FM</t>
  </si>
  <si>
    <t>LST</t>
  </si>
  <si>
    <t>BMC</t>
  </si>
  <si>
    <t>FFM_NEW</t>
  </si>
  <si>
    <t>-</t>
  </si>
  <si>
    <t>FM_NEW</t>
  </si>
  <si>
    <t>PhA</t>
  </si>
  <si>
    <t>SMM</t>
  </si>
  <si>
    <r>
      <t>0.286 + (0.195 * Hcm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/Rz) + (0.385 * Weight) + 5.086*gender (0F. 1M)</t>
    </r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</si>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</sst>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34" borderId="11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8" fillId="0" borderId="0" xfId="0" applyFont="1"/>
    <xf numFmtId="165" fontId="0" fillId="0" borderId="0" xfId="0" applyNumberFormat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E032-A98B-45C0-84F9-25D838915004}">
  <dimension ref="A1:F60"/>
  <sheetViews>
    <sheetView tabSelected="1" topLeftCell="A22" workbookViewId="0">
      <selection activeCell="F52" sqref="F52"/>
    </sheetView>
  </sheetViews>
  <sheetFormatPr defaultRowHeight="15" x14ac:dyDescent="0.25"/>
  <cols>
    <col min="1" max="1" width="36.7109375" bestFit="1" customWidth="1"/>
    <col min="2" max="2" width="29" bestFit="1" customWidth="1"/>
    <col min="3" max="3" width="18.5703125" bestFit="1" customWidth="1"/>
    <col min="4" max="4" width="30.7109375" bestFit="1" customWidth="1"/>
    <col min="5" max="5" width="23.140625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111</v>
      </c>
      <c r="E2" t="s">
        <v>111</v>
      </c>
      <c r="F2">
        <v>20.399999999999999</v>
      </c>
    </row>
    <row r="3" spans="1:6" x14ac:dyDescent="0.25">
      <c r="A3" t="s">
        <v>6</v>
      </c>
      <c r="B3" t="s">
        <v>7</v>
      </c>
      <c r="C3" t="s">
        <v>8</v>
      </c>
      <c r="D3" t="s">
        <v>42</v>
      </c>
      <c r="E3" t="s">
        <v>43</v>
      </c>
      <c r="F3">
        <v>1166.0999999999999</v>
      </c>
    </row>
    <row r="4" spans="1:6" x14ac:dyDescent="0.25">
      <c r="A4" t="s">
        <v>6</v>
      </c>
      <c r="B4" t="s">
        <v>7</v>
      </c>
      <c r="C4" t="s">
        <v>8</v>
      </c>
      <c r="D4" t="s">
        <v>89</v>
      </c>
      <c r="E4" t="s">
        <v>90</v>
      </c>
      <c r="F4">
        <v>15.2</v>
      </c>
    </row>
    <row r="5" spans="1:6" x14ac:dyDescent="0.25">
      <c r="A5" t="s">
        <v>6</v>
      </c>
      <c r="B5" t="s">
        <v>7</v>
      </c>
      <c r="C5" t="s">
        <v>8</v>
      </c>
      <c r="D5" t="s">
        <v>75</v>
      </c>
      <c r="E5" t="s">
        <v>76</v>
      </c>
      <c r="F5">
        <v>48.1</v>
      </c>
    </row>
    <row r="6" spans="1:6" x14ac:dyDescent="0.25">
      <c r="A6" t="s">
        <v>6</v>
      </c>
      <c r="B6" t="s">
        <v>7</v>
      </c>
      <c r="C6" t="s">
        <v>8</v>
      </c>
      <c r="D6" t="s">
        <v>101</v>
      </c>
      <c r="E6" t="s">
        <v>102</v>
      </c>
      <c r="F6">
        <v>43.2</v>
      </c>
    </row>
    <row r="7" spans="1:6" x14ac:dyDescent="0.25">
      <c r="A7" t="s">
        <v>6</v>
      </c>
      <c r="B7" t="s">
        <v>7</v>
      </c>
      <c r="C7" t="s">
        <v>8</v>
      </c>
      <c r="D7" t="s">
        <v>112</v>
      </c>
      <c r="E7" t="s">
        <v>113</v>
      </c>
      <c r="F7">
        <v>15.5</v>
      </c>
    </row>
    <row r="8" spans="1:6" x14ac:dyDescent="0.25">
      <c r="A8" t="s">
        <v>6</v>
      </c>
      <c r="B8" t="s">
        <v>7</v>
      </c>
      <c r="C8" t="s">
        <v>8</v>
      </c>
      <c r="D8" t="s">
        <v>52</v>
      </c>
      <c r="E8" t="s">
        <v>53</v>
      </c>
      <c r="F8">
        <v>13.8</v>
      </c>
    </row>
    <row r="9" spans="1:6" x14ac:dyDescent="0.25">
      <c r="A9" t="s">
        <v>6</v>
      </c>
      <c r="B9" t="s">
        <v>7</v>
      </c>
      <c r="C9" t="s">
        <v>8</v>
      </c>
      <c r="D9" t="s">
        <v>79</v>
      </c>
      <c r="E9" t="s">
        <v>80</v>
      </c>
      <c r="F9">
        <v>24.1</v>
      </c>
    </row>
    <row r="10" spans="1:6" x14ac:dyDescent="0.25">
      <c r="A10" t="s">
        <v>6</v>
      </c>
      <c r="B10" t="s">
        <v>7</v>
      </c>
      <c r="C10" t="s">
        <v>8</v>
      </c>
      <c r="D10" t="s">
        <v>29</v>
      </c>
      <c r="E10" t="s">
        <v>30</v>
      </c>
      <c r="F10">
        <v>0.7</v>
      </c>
    </row>
    <row r="11" spans="1:6" x14ac:dyDescent="0.25">
      <c r="A11" t="s">
        <v>6</v>
      </c>
      <c r="B11" t="s">
        <v>7</v>
      </c>
      <c r="C11" t="s">
        <v>8</v>
      </c>
      <c r="D11" t="s">
        <v>106</v>
      </c>
      <c r="E11" t="s">
        <v>107</v>
      </c>
      <c r="F11">
        <v>16.3</v>
      </c>
    </row>
    <row r="12" spans="1:6" x14ac:dyDescent="0.25">
      <c r="A12" t="s">
        <v>6</v>
      </c>
      <c r="B12" t="s">
        <v>7</v>
      </c>
      <c r="C12" t="s">
        <v>8</v>
      </c>
      <c r="D12" t="s">
        <v>25</v>
      </c>
      <c r="E12" t="s">
        <v>26</v>
      </c>
      <c r="F12">
        <v>310.89999999999998</v>
      </c>
    </row>
    <row r="13" spans="1:6" x14ac:dyDescent="0.25">
      <c r="A13" t="s">
        <v>6</v>
      </c>
      <c r="B13" t="s">
        <v>7</v>
      </c>
      <c r="C13" t="s">
        <v>8</v>
      </c>
      <c r="D13" t="s">
        <v>87</v>
      </c>
      <c r="E13" t="s">
        <v>88</v>
      </c>
      <c r="F13">
        <v>2.2999999999999998</v>
      </c>
    </row>
    <row r="14" spans="1:6" x14ac:dyDescent="0.25">
      <c r="A14" t="s">
        <v>6</v>
      </c>
      <c r="B14" t="s">
        <v>7</v>
      </c>
      <c r="C14" t="s">
        <v>8</v>
      </c>
      <c r="D14" t="s">
        <v>50</v>
      </c>
      <c r="E14" t="s">
        <v>51</v>
      </c>
      <c r="F14">
        <v>4.5</v>
      </c>
    </row>
    <row r="15" spans="1:6" x14ac:dyDescent="0.25">
      <c r="A15" t="s">
        <v>6</v>
      </c>
      <c r="B15" t="s">
        <v>7</v>
      </c>
      <c r="C15" t="s">
        <v>8</v>
      </c>
      <c r="D15" t="s">
        <v>27</v>
      </c>
      <c r="E15" t="s">
        <v>28</v>
      </c>
      <c r="F15">
        <v>24.6</v>
      </c>
    </row>
    <row r="16" spans="1:6" x14ac:dyDescent="0.25">
      <c r="A16" t="s">
        <v>6</v>
      </c>
      <c r="B16" t="s">
        <v>7</v>
      </c>
      <c r="C16" t="s">
        <v>8</v>
      </c>
      <c r="D16" t="s">
        <v>14</v>
      </c>
      <c r="E16" t="s">
        <v>15</v>
      </c>
      <c r="F16">
        <v>309.89999999999998</v>
      </c>
    </row>
    <row r="17" spans="1:6" x14ac:dyDescent="0.25">
      <c r="A17" t="s">
        <v>6</v>
      </c>
      <c r="B17" t="s">
        <v>7</v>
      </c>
      <c r="C17" t="s">
        <v>8</v>
      </c>
      <c r="D17" t="s">
        <v>23</v>
      </c>
      <c r="E17" t="s">
        <v>124</v>
      </c>
      <c r="F17">
        <v>589.20000000000005</v>
      </c>
    </row>
    <row r="18" spans="1:6" x14ac:dyDescent="0.25">
      <c r="A18" t="s">
        <v>6</v>
      </c>
      <c r="B18" t="s">
        <v>7</v>
      </c>
      <c r="C18" t="s">
        <v>8</v>
      </c>
      <c r="D18" t="s">
        <v>91</v>
      </c>
      <c r="E18" t="s">
        <v>92</v>
      </c>
      <c r="F18">
        <v>5.3</v>
      </c>
    </row>
    <row r="19" spans="1:6" x14ac:dyDescent="0.25">
      <c r="A19" t="s">
        <v>6</v>
      </c>
      <c r="B19" t="s">
        <v>7</v>
      </c>
      <c r="C19" t="s">
        <v>8</v>
      </c>
      <c r="D19" t="s">
        <v>22</v>
      </c>
      <c r="E19" t="s">
        <v>125</v>
      </c>
      <c r="F19">
        <v>54.6</v>
      </c>
    </row>
    <row r="20" spans="1:6" x14ac:dyDescent="0.25">
      <c r="A20" t="s">
        <v>6</v>
      </c>
      <c r="B20" t="s">
        <v>7</v>
      </c>
      <c r="C20" t="s">
        <v>8</v>
      </c>
      <c r="D20" t="s">
        <v>59</v>
      </c>
      <c r="E20" t="s">
        <v>60</v>
      </c>
      <c r="F20">
        <v>586.70000000000005</v>
      </c>
    </row>
    <row r="21" spans="1:6" x14ac:dyDescent="0.25">
      <c r="A21" t="s">
        <v>6</v>
      </c>
      <c r="B21" t="s">
        <v>7</v>
      </c>
      <c r="C21" t="s">
        <v>8</v>
      </c>
      <c r="D21" t="s">
        <v>83</v>
      </c>
      <c r="E21" t="s">
        <v>84</v>
      </c>
      <c r="F21">
        <v>260</v>
      </c>
    </row>
    <row r="22" spans="1:6" x14ac:dyDescent="0.25">
      <c r="A22" t="s">
        <v>6</v>
      </c>
      <c r="B22" t="s">
        <v>7</v>
      </c>
      <c r="C22" t="s">
        <v>8</v>
      </c>
      <c r="D22" t="s">
        <v>16</v>
      </c>
      <c r="E22" t="s">
        <v>17</v>
      </c>
      <c r="F22">
        <v>8.4</v>
      </c>
    </row>
    <row r="23" spans="1:6" x14ac:dyDescent="0.25">
      <c r="A23" t="s">
        <v>6</v>
      </c>
      <c r="B23" t="s">
        <v>7</v>
      </c>
      <c r="C23" t="s">
        <v>8</v>
      </c>
      <c r="D23" t="s">
        <v>95</v>
      </c>
      <c r="E23" t="s">
        <v>96</v>
      </c>
      <c r="F23">
        <v>3.4</v>
      </c>
    </row>
    <row r="24" spans="1:6" x14ac:dyDescent="0.25">
      <c r="A24" t="s">
        <v>6</v>
      </c>
      <c r="B24" t="s">
        <v>7</v>
      </c>
      <c r="C24" t="s">
        <v>8</v>
      </c>
      <c r="D24" t="s">
        <v>93</v>
      </c>
      <c r="E24" t="s">
        <v>94</v>
      </c>
      <c r="F24">
        <v>15.2</v>
      </c>
    </row>
    <row r="25" spans="1:6" x14ac:dyDescent="0.25">
      <c r="A25" t="s">
        <v>6</v>
      </c>
      <c r="B25" t="s">
        <v>7</v>
      </c>
      <c r="C25" t="s">
        <v>8</v>
      </c>
      <c r="D25" t="s">
        <v>99</v>
      </c>
      <c r="E25" t="s">
        <v>100</v>
      </c>
      <c r="F25">
        <v>259.60000000000002</v>
      </c>
    </row>
    <row r="26" spans="1:6" x14ac:dyDescent="0.25">
      <c r="A26" t="s">
        <v>6</v>
      </c>
      <c r="B26" t="s">
        <v>7</v>
      </c>
      <c r="C26" t="s">
        <v>8</v>
      </c>
      <c r="D26" t="s">
        <v>11</v>
      </c>
      <c r="E26" t="s">
        <v>12</v>
      </c>
      <c r="F26">
        <v>19.2</v>
      </c>
    </row>
    <row r="27" spans="1:6" x14ac:dyDescent="0.25">
      <c r="A27" t="s">
        <v>6</v>
      </c>
      <c r="B27" t="s">
        <v>7</v>
      </c>
      <c r="C27" t="s">
        <v>8</v>
      </c>
      <c r="D27" t="s">
        <v>65</v>
      </c>
      <c r="E27" t="s">
        <v>66</v>
      </c>
      <c r="F27">
        <v>24</v>
      </c>
    </row>
    <row r="28" spans="1:6" x14ac:dyDescent="0.25">
      <c r="A28" t="s">
        <v>6</v>
      </c>
      <c r="B28" t="s">
        <v>7</v>
      </c>
      <c r="C28" t="s">
        <v>8</v>
      </c>
      <c r="D28" t="s">
        <v>48</v>
      </c>
      <c r="E28" t="s">
        <v>49</v>
      </c>
      <c r="F28">
        <v>7.8</v>
      </c>
    </row>
    <row r="29" spans="1:6" x14ac:dyDescent="0.25">
      <c r="A29" t="s">
        <v>6</v>
      </c>
      <c r="B29" t="s">
        <v>7</v>
      </c>
      <c r="C29" t="s">
        <v>8</v>
      </c>
      <c r="D29" t="s">
        <v>58</v>
      </c>
      <c r="E29" t="s">
        <v>126</v>
      </c>
      <c r="F29">
        <v>17.5</v>
      </c>
    </row>
    <row r="30" spans="1:6" x14ac:dyDescent="0.25">
      <c r="A30" t="s">
        <v>6</v>
      </c>
      <c r="B30" t="s">
        <v>7</v>
      </c>
      <c r="C30" t="s">
        <v>8</v>
      </c>
      <c r="D30" t="s">
        <v>54</v>
      </c>
      <c r="E30" t="s">
        <v>55</v>
      </c>
      <c r="F30">
        <v>15.7</v>
      </c>
    </row>
    <row r="31" spans="1:6" x14ac:dyDescent="0.25">
      <c r="A31" t="s">
        <v>6</v>
      </c>
      <c r="B31" t="s">
        <v>7</v>
      </c>
      <c r="C31" t="s">
        <v>8</v>
      </c>
      <c r="D31" t="s">
        <v>71</v>
      </c>
      <c r="E31" t="s">
        <v>72</v>
      </c>
      <c r="F31">
        <v>5.4</v>
      </c>
    </row>
    <row r="32" spans="1:6" x14ac:dyDescent="0.25">
      <c r="A32" t="s">
        <v>6</v>
      </c>
      <c r="B32" t="s">
        <v>7</v>
      </c>
      <c r="C32" t="s">
        <v>8</v>
      </c>
      <c r="D32" t="s">
        <v>37</v>
      </c>
      <c r="E32" t="s">
        <v>127</v>
      </c>
      <c r="F32">
        <v>315.5</v>
      </c>
    </row>
    <row r="33" spans="1:6" x14ac:dyDescent="0.25">
      <c r="A33" t="s">
        <v>6</v>
      </c>
      <c r="B33" t="s">
        <v>7</v>
      </c>
      <c r="C33" t="s">
        <v>8</v>
      </c>
      <c r="D33" t="s">
        <v>77</v>
      </c>
      <c r="E33" t="s">
        <v>78</v>
      </c>
      <c r="F33">
        <v>2.4</v>
      </c>
    </row>
    <row r="34" spans="1:6" x14ac:dyDescent="0.25">
      <c r="A34" t="s">
        <v>6</v>
      </c>
      <c r="B34" t="s">
        <v>7</v>
      </c>
      <c r="C34" t="s">
        <v>8</v>
      </c>
      <c r="D34" t="s">
        <v>81</v>
      </c>
      <c r="E34" t="s">
        <v>82</v>
      </c>
      <c r="F34">
        <v>4.9000000000000004</v>
      </c>
    </row>
    <row r="35" spans="1:6" x14ac:dyDescent="0.25">
      <c r="A35" t="s">
        <v>6</v>
      </c>
      <c r="B35" t="s">
        <v>7</v>
      </c>
      <c r="C35" t="s">
        <v>8</v>
      </c>
      <c r="D35" t="s">
        <v>105</v>
      </c>
      <c r="E35" t="s">
        <v>128</v>
      </c>
      <c r="F35">
        <v>27.2</v>
      </c>
    </row>
    <row r="36" spans="1:6" x14ac:dyDescent="0.25">
      <c r="A36" t="s">
        <v>6</v>
      </c>
      <c r="B36" t="s">
        <v>7</v>
      </c>
      <c r="C36" t="s">
        <v>8</v>
      </c>
      <c r="D36" t="s">
        <v>44</v>
      </c>
      <c r="E36" t="s">
        <v>45</v>
      </c>
      <c r="F36">
        <v>314.3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>
        <v>588.20000000000005</v>
      </c>
    </row>
    <row r="38" spans="1:6" x14ac:dyDescent="0.25">
      <c r="A38" t="s">
        <v>6</v>
      </c>
      <c r="B38" t="s">
        <v>7</v>
      </c>
      <c r="C38" t="s">
        <v>8</v>
      </c>
      <c r="D38" t="s">
        <v>24</v>
      </c>
      <c r="E38" t="s">
        <v>129</v>
      </c>
      <c r="F38">
        <v>5.4</v>
      </c>
    </row>
    <row r="39" spans="1:6" x14ac:dyDescent="0.25">
      <c r="A39" t="s">
        <v>6</v>
      </c>
      <c r="B39" t="s">
        <v>7</v>
      </c>
      <c r="C39" t="s">
        <v>8</v>
      </c>
      <c r="D39" t="s">
        <v>56</v>
      </c>
      <c r="E39" t="s">
        <v>57</v>
      </c>
      <c r="F39">
        <v>54.9</v>
      </c>
    </row>
    <row r="40" spans="1:6" x14ac:dyDescent="0.25">
      <c r="A40" t="s">
        <v>6</v>
      </c>
      <c r="B40" t="s">
        <v>7</v>
      </c>
      <c r="C40" t="s">
        <v>8</v>
      </c>
      <c r="D40" t="s">
        <v>73</v>
      </c>
      <c r="E40" t="s">
        <v>74</v>
      </c>
      <c r="F40">
        <v>585.6</v>
      </c>
    </row>
    <row r="41" spans="1:6" x14ac:dyDescent="0.25">
      <c r="A41" t="s">
        <v>6</v>
      </c>
      <c r="B41" t="s">
        <v>7</v>
      </c>
      <c r="C41" t="s">
        <v>8</v>
      </c>
      <c r="D41" t="s">
        <v>13</v>
      </c>
      <c r="E41" t="s">
        <v>130</v>
      </c>
      <c r="F41">
        <v>248.2</v>
      </c>
    </row>
    <row r="42" spans="1:6" x14ac:dyDescent="0.25">
      <c r="A42" t="s">
        <v>6</v>
      </c>
      <c r="B42" t="s">
        <v>7</v>
      </c>
      <c r="C42" t="s">
        <v>8</v>
      </c>
      <c r="D42" t="s">
        <v>18</v>
      </c>
      <c r="E42" t="s">
        <v>19</v>
      </c>
      <c r="F42">
        <v>8.6999999999999993</v>
      </c>
    </row>
    <row r="43" spans="1:6" x14ac:dyDescent="0.25">
      <c r="A43" t="s">
        <v>6</v>
      </c>
      <c r="B43" t="s">
        <v>7</v>
      </c>
      <c r="C43" t="s">
        <v>8</v>
      </c>
      <c r="D43" t="s">
        <v>108</v>
      </c>
      <c r="E43" t="s">
        <v>109</v>
      </c>
      <c r="F43">
        <v>3.3</v>
      </c>
    </row>
    <row r="44" spans="1:6" x14ac:dyDescent="0.25">
      <c r="A44" t="s">
        <v>6</v>
      </c>
      <c r="B44" t="s">
        <v>7</v>
      </c>
      <c r="C44" t="s">
        <v>8</v>
      </c>
      <c r="D44" t="s">
        <v>110</v>
      </c>
      <c r="E44" t="s">
        <v>131</v>
      </c>
      <c r="F44">
        <v>14.5</v>
      </c>
    </row>
    <row r="45" spans="1:6" x14ac:dyDescent="0.25">
      <c r="A45" t="s">
        <v>6</v>
      </c>
      <c r="B45" t="s">
        <v>7</v>
      </c>
      <c r="C45" t="s">
        <v>8</v>
      </c>
      <c r="D45" t="s">
        <v>63</v>
      </c>
      <c r="E45" t="s">
        <v>64</v>
      </c>
      <c r="F45">
        <v>247.8</v>
      </c>
    </row>
    <row r="46" spans="1:6" x14ac:dyDescent="0.25">
      <c r="A46" t="s">
        <v>6</v>
      </c>
      <c r="B46" t="s">
        <v>7</v>
      </c>
      <c r="C46" t="s">
        <v>8</v>
      </c>
      <c r="D46" t="s">
        <v>31</v>
      </c>
      <c r="E46" t="s">
        <v>32</v>
      </c>
      <c r="F46">
        <v>20.5</v>
      </c>
    </row>
    <row r="47" spans="1:6" x14ac:dyDescent="0.25">
      <c r="A47" t="s">
        <v>6</v>
      </c>
      <c r="B47" t="s">
        <v>7</v>
      </c>
      <c r="C47" t="s">
        <v>8</v>
      </c>
      <c r="D47" t="s">
        <v>85</v>
      </c>
      <c r="E47" t="s">
        <v>86</v>
      </c>
      <c r="F47">
        <v>22.1</v>
      </c>
    </row>
    <row r="48" spans="1:6" x14ac:dyDescent="0.25">
      <c r="A48" t="s">
        <v>6</v>
      </c>
      <c r="B48" t="s">
        <v>7</v>
      </c>
      <c r="C48" t="s">
        <v>8</v>
      </c>
      <c r="D48" t="s">
        <v>116</v>
      </c>
      <c r="E48" t="s">
        <v>132</v>
      </c>
      <c r="F48">
        <v>7.7</v>
      </c>
    </row>
    <row r="49" spans="1:6" x14ac:dyDescent="0.25">
      <c r="A49" t="s">
        <v>6</v>
      </c>
      <c r="B49" t="s">
        <v>7</v>
      </c>
      <c r="C49" t="s">
        <v>8</v>
      </c>
      <c r="D49" t="s">
        <v>46</v>
      </c>
      <c r="E49" t="s">
        <v>47</v>
      </c>
      <c r="F49">
        <v>19</v>
      </c>
    </row>
    <row r="50" spans="1:6" x14ac:dyDescent="0.25">
      <c r="A50" t="s">
        <v>6</v>
      </c>
      <c r="B50" t="s">
        <v>7</v>
      </c>
      <c r="C50" t="s">
        <v>8</v>
      </c>
      <c r="D50" t="s">
        <v>38</v>
      </c>
      <c r="E50" t="s">
        <v>39</v>
      </c>
      <c r="F50">
        <v>18.7</v>
      </c>
    </row>
    <row r="51" spans="1:6" x14ac:dyDescent="0.25">
      <c r="A51" t="s">
        <v>6</v>
      </c>
      <c r="B51" t="s">
        <v>7</v>
      </c>
      <c r="C51" t="s">
        <v>8</v>
      </c>
      <c r="D51" t="s">
        <v>97</v>
      </c>
      <c r="E51" t="s">
        <v>98</v>
      </c>
      <c r="F51">
        <v>32.9</v>
      </c>
    </row>
    <row r="52" spans="1:6" x14ac:dyDescent="0.25">
      <c r="A52" t="s">
        <v>6</v>
      </c>
      <c r="B52" t="s">
        <v>7</v>
      </c>
      <c r="C52" t="s">
        <v>8</v>
      </c>
      <c r="D52" t="s">
        <v>35</v>
      </c>
      <c r="E52" t="s">
        <v>36</v>
      </c>
      <c r="F52">
        <v>44.3</v>
      </c>
    </row>
    <row r="53" spans="1:6" x14ac:dyDescent="0.25">
      <c r="A53" t="s">
        <v>6</v>
      </c>
      <c r="B53" t="s">
        <v>7</v>
      </c>
      <c r="C53" t="s">
        <v>8</v>
      </c>
      <c r="D53" t="s">
        <v>67</v>
      </c>
      <c r="E53" t="s">
        <v>68</v>
      </c>
      <c r="F53">
        <v>57.1</v>
      </c>
    </row>
    <row r="54" spans="1:6" x14ac:dyDescent="0.25">
      <c r="A54" t="s">
        <v>6</v>
      </c>
      <c r="B54" t="s">
        <v>7</v>
      </c>
      <c r="C54" t="s">
        <v>8</v>
      </c>
      <c r="D54" t="s">
        <v>114</v>
      </c>
      <c r="E54" t="s">
        <v>115</v>
      </c>
      <c r="F54">
        <v>15.5</v>
      </c>
    </row>
    <row r="55" spans="1:6" x14ac:dyDescent="0.25">
      <c r="A55" t="s">
        <v>6</v>
      </c>
      <c r="B55" t="s">
        <v>7</v>
      </c>
      <c r="C55" t="s">
        <v>8</v>
      </c>
      <c r="D55" t="s">
        <v>40</v>
      </c>
      <c r="E55" t="s">
        <v>41</v>
      </c>
      <c r="F55">
        <v>31.5</v>
      </c>
    </row>
    <row r="56" spans="1:6" x14ac:dyDescent="0.25">
      <c r="A56" t="s">
        <v>6</v>
      </c>
      <c r="B56" t="s">
        <v>7</v>
      </c>
      <c r="C56" t="s">
        <v>8</v>
      </c>
      <c r="D56" t="s">
        <v>33</v>
      </c>
      <c r="E56" t="s">
        <v>34</v>
      </c>
      <c r="F56">
        <v>55.3</v>
      </c>
    </row>
    <row r="57" spans="1:6" x14ac:dyDescent="0.25">
      <c r="A57" t="s">
        <v>6</v>
      </c>
      <c r="B57" t="s">
        <v>7</v>
      </c>
      <c r="C57" t="s">
        <v>8</v>
      </c>
      <c r="D57" t="s">
        <v>61</v>
      </c>
      <c r="E57" t="s">
        <v>62</v>
      </c>
      <c r="F57">
        <v>23.3</v>
      </c>
    </row>
    <row r="58" spans="1:6" x14ac:dyDescent="0.25">
      <c r="A58" t="s">
        <v>6</v>
      </c>
      <c r="B58" t="s">
        <v>7</v>
      </c>
      <c r="C58" t="s">
        <v>8</v>
      </c>
      <c r="D58" t="s">
        <v>69</v>
      </c>
      <c r="E58" t="s">
        <v>70</v>
      </c>
      <c r="F58">
        <v>4.5</v>
      </c>
    </row>
    <row r="59" spans="1:6" x14ac:dyDescent="0.25">
      <c r="A59" t="s">
        <v>6</v>
      </c>
      <c r="B59" t="s">
        <v>7</v>
      </c>
      <c r="C59" t="s">
        <v>8</v>
      </c>
      <c r="D59" t="s">
        <v>103</v>
      </c>
      <c r="E59" t="s">
        <v>104</v>
      </c>
      <c r="F59">
        <v>167</v>
      </c>
    </row>
    <row r="60" spans="1:6" x14ac:dyDescent="0.25">
      <c r="A60" t="s">
        <v>6</v>
      </c>
      <c r="B60" t="s">
        <v>7</v>
      </c>
      <c r="C60" t="s">
        <v>8</v>
      </c>
      <c r="D60" t="s">
        <v>20</v>
      </c>
      <c r="E60" t="s">
        <v>21</v>
      </c>
      <c r="F60">
        <v>56.98</v>
      </c>
    </row>
  </sheetData>
  <sortState xmlns:xlrd2="http://schemas.microsoft.com/office/spreadsheetml/2017/richdata2" ref="A2:F60">
    <sortCondition ref="E1:E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B514-8440-4592-9F01-A05209456A41}">
  <dimension ref="A1:AL11"/>
  <sheetViews>
    <sheetView topLeftCell="L1" workbookViewId="0">
      <selection activeCell="AQ5" sqref="AQ5"/>
    </sheetView>
  </sheetViews>
  <sheetFormatPr defaultRowHeight="15" x14ac:dyDescent="0.25"/>
  <cols>
    <col min="1" max="1" width="11.85546875" style="2" customWidth="1"/>
    <col min="2" max="2" width="11" style="1" bestFit="1" customWidth="1"/>
    <col min="3" max="3" width="10.42578125" style="1" bestFit="1" customWidth="1"/>
    <col min="4" max="4" width="11" style="1" bestFit="1" customWidth="1"/>
    <col min="5" max="5" width="10.42578125" style="1" bestFit="1" customWidth="1"/>
    <col min="6" max="6" width="11" style="1" bestFit="1" customWidth="1"/>
    <col min="7" max="7" width="10.42578125" style="1" bestFit="1" customWidth="1"/>
    <col min="8" max="8" width="11" style="1" bestFit="1" customWidth="1"/>
    <col min="9" max="9" width="10.42578125" style="1" bestFit="1" customWidth="1"/>
    <col min="10" max="10" width="11" style="1" bestFit="1" customWidth="1"/>
    <col min="11" max="11" width="10.42578125" style="1" bestFit="1" customWidth="1"/>
    <col min="12" max="12" width="11" style="1" bestFit="1" customWidth="1"/>
    <col min="13" max="13" width="10.42578125" style="1" bestFit="1" customWidth="1"/>
    <col min="14" max="14" width="11" style="1" bestFit="1" customWidth="1"/>
    <col min="15" max="15" width="10.42578125" style="1" bestFit="1" customWidth="1"/>
    <col min="16" max="16" width="11" style="1" bestFit="1" customWidth="1"/>
    <col min="17" max="17" width="10.42578125" style="1" bestFit="1" customWidth="1"/>
    <col min="18" max="21" width="10.42578125" style="1" customWidth="1"/>
    <col min="22" max="22" width="4.28515625" style="1" bestFit="1" customWidth="1"/>
    <col min="23" max="23" width="4.5703125" style="1" bestFit="1" customWidth="1"/>
    <col min="24" max="24" width="7.42578125" style="1" bestFit="1" customWidth="1"/>
    <col min="25" max="25" width="7" style="1" bestFit="1" customWidth="1"/>
    <col min="26" max="26" width="5" style="1" bestFit="1" customWidth="1"/>
    <col min="27" max="27" width="7" style="1" bestFit="1" customWidth="1"/>
    <col min="28" max="28" width="14.5703125" style="1" bestFit="1" customWidth="1"/>
    <col min="29" max="33" width="5" style="1" bestFit="1" customWidth="1"/>
    <col min="34" max="34" width="9.85546875" style="1" bestFit="1" customWidth="1"/>
    <col min="35" max="35" width="8.85546875" style="1" bestFit="1" customWidth="1"/>
    <col min="36" max="36" width="5.42578125" style="1" bestFit="1" customWidth="1"/>
    <col min="37" max="37" width="4.42578125" style="1" bestFit="1" customWidth="1"/>
    <col min="38" max="38" width="5.7109375" style="1" bestFit="1" customWidth="1"/>
    <col min="39" max="16384" width="9.140625" style="1"/>
  </cols>
  <sheetData>
    <row r="1" spans="1:38" x14ac:dyDescent="0.25">
      <c r="B1" s="11" t="s">
        <v>117</v>
      </c>
      <c r="C1" s="11"/>
      <c r="D1" s="11"/>
      <c r="E1" s="11"/>
      <c r="F1" s="11" t="s">
        <v>118</v>
      </c>
      <c r="G1" s="11"/>
      <c r="H1" s="11"/>
      <c r="I1" s="11"/>
      <c r="J1" s="11" t="s">
        <v>121</v>
      </c>
      <c r="K1" s="11"/>
      <c r="L1" s="11"/>
      <c r="M1" s="11"/>
      <c r="N1" s="13" t="s">
        <v>133</v>
      </c>
      <c r="O1" s="14"/>
      <c r="P1" s="14"/>
      <c r="Q1" s="14"/>
      <c r="R1" s="14"/>
      <c r="S1" s="14"/>
      <c r="T1" s="14"/>
      <c r="U1" s="15"/>
      <c r="V1" s="11" t="s">
        <v>136</v>
      </c>
      <c r="W1" s="11" t="s">
        <v>134</v>
      </c>
      <c r="X1" s="11" t="s">
        <v>20</v>
      </c>
      <c r="Y1" s="11" t="s">
        <v>103</v>
      </c>
      <c r="Z1" s="11" t="s">
        <v>111</v>
      </c>
      <c r="AA1" s="11" t="s">
        <v>43</v>
      </c>
      <c r="AB1" s="11" t="s">
        <v>135</v>
      </c>
      <c r="AC1" s="11" t="s">
        <v>139</v>
      </c>
      <c r="AD1" s="11" t="s">
        <v>140</v>
      </c>
      <c r="AE1" s="11" t="s">
        <v>144</v>
      </c>
      <c r="AF1" s="11" t="s">
        <v>145</v>
      </c>
      <c r="AG1" s="11" t="s">
        <v>146</v>
      </c>
      <c r="AH1" s="11" t="s">
        <v>148</v>
      </c>
      <c r="AI1" s="11" t="s">
        <v>150</v>
      </c>
      <c r="AJ1" s="11" t="s">
        <v>147</v>
      </c>
      <c r="AK1" s="11" t="s">
        <v>151</v>
      </c>
      <c r="AL1" s="11" t="s">
        <v>152</v>
      </c>
    </row>
    <row r="2" spans="1:38" x14ac:dyDescent="0.25">
      <c r="B2" s="11" t="s">
        <v>119</v>
      </c>
      <c r="C2" s="11"/>
      <c r="D2" s="11" t="s">
        <v>120</v>
      </c>
      <c r="E2" s="11"/>
      <c r="F2" s="11" t="s">
        <v>119</v>
      </c>
      <c r="G2" s="11"/>
      <c r="H2" s="11" t="s">
        <v>120</v>
      </c>
      <c r="I2" s="11"/>
      <c r="J2" s="11" t="s">
        <v>119</v>
      </c>
      <c r="K2" s="11"/>
      <c r="L2" s="11" t="s">
        <v>120</v>
      </c>
      <c r="M2" s="11"/>
      <c r="N2" s="11" t="s">
        <v>119</v>
      </c>
      <c r="O2" s="11"/>
      <c r="P2" s="11" t="s">
        <v>120</v>
      </c>
      <c r="Q2" s="11"/>
      <c r="R2" s="11" t="s">
        <v>154</v>
      </c>
      <c r="S2" s="11"/>
      <c r="T2" s="11" t="s">
        <v>155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 ht="15.75" thickBot="1" x14ac:dyDescent="0.3">
      <c r="B3" s="3" t="s">
        <v>122</v>
      </c>
      <c r="C3" s="3" t="s">
        <v>123</v>
      </c>
      <c r="D3" s="3" t="s">
        <v>122</v>
      </c>
      <c r="E3" s="3" t="s">
        <v>123</v>
      </c>
      <c r="F3" s="3" t="s">
        <v>122</v>
      </c>
      <c r="G3" s="3" t="s">
        <v>123</v>
      </c>
      <c r="H3" s="3" t="s">
        <v>122</v>
      </c>
      <c r="I3" s="3" t="s">
        <v>123</v>
      </c>
      <c r="J3" s="3" t="s">
        <v>122</v>
      </c>
      <c r="K3" s="3" t="s">
        <v>123</v>
      </c>
      <c r="L3" s="3" t="s">
        <v>122</v>
      </c>
      <c r="M3" s="3" t="s">
        <v>123</v>
      </c>
      <c r="N3" s="3" t="s">
        <v>122</v>
      </c>
      <c r="O3" s="3" t="s">
        <v>123</v>
      </c>
      <c r="P3" s="3" t="s">
        <v>122</v>
      </c>
      <c r="Q3" s="3" t="s">
        <v>123</v>
      </c>
      <c r="R3" s="3" t="s">
        <v>122</v>
      </c>
      <c r="S3" s="3" t="s">
        <v>123</v>
      </c>
      <c r="T3" s="3" t="s">
        <v>122</v>
      </c>
      <c r="U3" s="3" t="s">
        <v>123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x14ac:dyDescent="0.25">
      <c r="A4" s="2" t="s">
        <v>141</v>
      </c>
      <c r="B4" s="4">
        <f>VLOOKUP(B2&amp;B1&amp;B3,bquxjob_2c5254ce_19053652384!$E:$F,2,FALSE)</f>
        <v>259.60000000000002</v>
      </c>
      <c r="C4" s="4">
        <f>VLOOKUP(B2&amp;B1&amp;C3,bquxjob_2c5254ce_19053652384!$E:$F,2,FALSE)</f>
        <v>15.2</v>
      </c>
      <c r="D4" s="4">
        <f>VLOOKUP(D2&amp;B1&amp;D3,bquxjob_2c5254ce_19053652384!$E:$F,2,FALSE)</f>
        <v>247.8</v>
      </c>
      <c r="E4" s="4">
        <f>VLOOKUP(D2&amp;B1&amp;E3,bquxjob_2c5254ce_19053652384!$E:$F,2,FALSE)</f>
        <v>14.5</v>
      </c>
      <c r="F4" s="4">
        <f>VLOOKUP(F2&amp;F1&amp;F3,bquxjob_2c5254ce_19053652384!$E:$F,2,FALSE)</f>
        <v>309.89999999999998</v>
      </c>
      <c r="G4" s="4">
        <f>VLOOKUP(F2&amp;F1&amp;G3,bquxjob_2c5254ce_19053652384!$E:$F,2,FALSE)</f>
        <v>24.6</v>
      </c>
      <c r="H4" s="4">
        <f>VLOOKUP(H2&amp;F1&amp;H3,bquxjob_2c5254ce_19053652384!$E:$F,2,FALSE)</f>
        <v>314.3</v>
      </c>
      <c r="I4" s="4">
        <f>VLOOKUP(H2&amp;F1&amp;I3,bquxjob_2c5254ce_19053652384!$E:$F,2,FALSE)</f>
        <v>27.2</v>
      </c>
      <c r="J4" s="4">
        <f>VLOOKUP(J2&amp;J1&amp;J3,bquxjob_2c5254ce_19053652384!$E:$F,2,FALSE)</f>
        <v>17.5</v>
      </c>
      <c r="K4" s="4">
        <f>VLOOKUP(J2&amp;J1&amp;K3,bquxjob_2c5254ce_19053652384!$E:$F,2,FALSE)</f>
        <v>7.8</v>
      </c>
      <c r="L4" s="4">
        <f>VLOOKUP(L2&amp;J1&amp;L3,bquxjob_2c5254ce_19053652384!$E:$F,2,FALSE)</f>
        <v>19</v>
      </c>
      <c r="M4" s="4">
        <f>VLOOKUP(L2&amp;J1&amp;M3,bquxjob_2c5254ce_19053652384!$E:$F,2,FALSE)</f>
        <v>7.7</v>
      </c>
      <c r="N4" s="4">
        <f>VLOOKUP(N2&amp;N1&amp;N3,bquxjob_2c5254ce_19053652384!$E:$F,2,FALSE)</f>
        <v>586.70000000000005</v>
      </c>
      <c r="O4" s="4">
        <f>VLOOKUP(N2&amp;N1&amp;O3,bquxjob_2c5254ce_19053652384!$E:$F,2,FALSE)</f>
        <v>54.6</v>
      </c>
      <c r="P4" s="4">
        <f>VLOOKUP(P2&amp;N1&amp;P3,bquxjob_2c5254ce_19053652384!$E:$F,2,FALSE)</f>
        <v>585.6</v>
      </c>
      <c r="Q4" s="4">
        <f>VLOOKUP(P2&amp;N1&amp;Q3,bquxjob_2c5254ce_19053652384!$E:$F,2,FALSE)</f>
        <v>54.9</v>
      </c>
      <c r="R4" s="4" t="e">
        <f>VLOOKUP(R2&amp;N1&amp;R3,bquxjob_2c5254ce_19053652384!$E:$F,2,FALSE)</f>
        <v>#N/A</v>
      </c>
      <c r="S4" s="4" t="e">
        <f>VLOOKUP(R2&amp;N1&amp;S3,bquxjob_2c5254ce_19053652384!$E:$F,2,FALSE)</f>
        <v>#N/A</v>
      </c>
      <c r="T4" s="4" t="e">
        <f>VLOOKUP(T2&amp;N1&amp;T3,bquxjob_2c5254ce_19053652384!$E:$F,2,FALSE)</f>
        <v>#N/A</v>
      </c>
      <c r="U4" s="4" t="e">
        <f>VLOOKUP(T2&amp;N1&amp;U3,bquxjob_2c5254ce_19053652384!$E:$F,2,FALSE)</f>
        <v>#N/A</v>
      </c>
      <c r="V4" s="4" t="s">
        <v>137</v>
      </c>
      <c r="W4" s="5">
        <v>78</v>
      </c>
      <c r="X4" s="6">
        <f>VLOOKUP("User"&amp;X1,bquxjob_2c5254ce_19053652384!$E:$F,2,FALSE)</f>
        <v>56.98</v>
      </c>
      <c r="Y4" s="6">
        <f>VLOOKUP("User"&amp;Y1,bquxjob_2c5254ce_19053652384!$E:$F,2,FALSE)</f>
        <v>167</v>
      </c>
      <c r="Z4" s="6">
        <f>VLOOKUP(Z1,bquxjob_2c5254ce_19053652384!$E:$F,2,FALSE)</f>
        <v>20.399999999999999</v>
      </c>
      <c r="AA4" s="6">
        <f>VLOOKUP(AA1,bquxjob_2c5254ce_19053652384!$E:$F,2,FALSE)</f>
        <v>1166.0999999999999</v>
      </c>
      <c r="AB4" s="6">
        <f>VLOOKUP("ExtraCellularWater",bquxjob_2c5254ce_19053652384!$E:$F,2,FALSE)</f>
        <v>15.2</v>
      </c>
      <c r="AC4" s="6">
        <f>VLOOKUP("TotalBodyWater",bquxjob_2c5254ce_19053652384!$E:$F,2,FALSE)</f>
        <v>31.5</v>
      </c>
      <c r="AD4" s="6">
        <f>VLOOKUP("IntraCellularWater",bquxjob_2c5254ce_19053652384!$E:$F,2,FALSE)</f>
        <v>16.3</v>
      </c>
      <c r="AE4" s="6">
        <f>VLOOKUP("FatFreeMass",bquxjob_2c5254ce_19053652384!$E:$F,2,FALSE)</f>
        <v>43.2</v>
      </c>
      <c r="AF4" s="6">
        <f>VLOOKUP("FatMass",bquxjob_2c5254ce_19053652384!$E:$F,2,FALSE)</f>
        <v>13.8</v>
      </c>
      <c r="AG4" s="6">
        <f>VLOOKUP("SoftLeanMass",bquxjob_2c5254ce_19053652384!$E:$F,2,FALSE)</f>
        <v>44.3</v>
      </c>
      <c r="AH4" s="6" t="s">
        <v>149</v>
      </c>
      <c r="AI4" s="6" t="s">
        <v>149</v>
      </c>
      <c r="AJ4" s="6" t="e">
        <f>VLOOKUP("BoneMineralContent",bquxjob_2c5254ce_19053652384!$E:$F,2,FALSE)</f>
        <v>#N/A</v>
      </c>
      <c r="AK4" s="6">
        <f>VLOOKUP("PhaseAngle",bquxjob_2c5254ce_19053652384!$E:$F,2,FALSE)</f>
        <v>5.4</v>
      </c>
      <c r="AL4" s="6">
        <f>VLOOKUP("SkeletalMuscleMass",bquxjob_2c5254ce_19053652384!$E:$F,2,FALSE)</f>
        <v>18.7</v>
      </c>
    </row>
    <row r="5" spans="1:38" x14ac:dyDescent="0.25">
      <c r="A5" s="2" t="s">
        <v>142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">
        <f>J4+F4+B4</f>
        <v>587</v>
      </c>
      <c r="O5" s="4">
        <f>K4+G4+C4</f>
        <v>47.599999999999994</v>
      </c>
      <c r="P5" s="4">
        <f>L4+H4+D4</f>
        <v>581.1</v>
      </c>
      <c r="Q5" s="4">
        <f>M4+I4+E4</f>
        <v>49.4</v>
      </c>
      <c r="R5" s="4">
        <f>F4+H4+J4+L4</f>
        <v>660.7</v>
      </c>
      <c r="S5" s="4">
        <f>G4+I4+K4+M4</f>
        <v>67.3</v>
      </c>
      <c r="T5" s="4">
        <f>B4+D4</f>
        <v>507.40000000000003</v>
      </c>
      <c r="U5" s="4">
        <f>C4+E4</f>
        <v>29.7</v>
      </c>
      <c r="V5" s="4"/>
      <c r="W5" s="4"/>
      <c r="X5" s="6"/>
      <c r="Y5" s="6"/>
      <c r="Z5" s="4">
        <f>X4/(Y4/100)^2</f>
        <v>20.430994298827493</v>
      </c>
      <c r="AA5" s="4">
        <f>238.85*(0.05192 *AE5 + 0.04036 *AF5 + 0.869*IF(V4="F",0,1) - 0.01181 *W4 + 2.992)</f>
        <v>1163.5134328694794</v>
      </c>
      <c r="AB5" s="4">
        <f>-5.22 + (0.2*Y4^2/P4) + (0.005*Y4^2/Q4)+1.9+1.86*IF(V4="F",1,0)  +0.08*X4</f>
        <v>15.163313479052825</v>
      </c>
      <c r="AC5" s="4">
        <f>IF(V4="M",1.2 + 0.45*Y4^2/P4 + 0.18*X4,3.75 + 0.45*Y4^2/P4 + 0.11*X4)</f>
        <v>31.448896311475409</v>
      </c>
      <c r="AD5" s="4">
        <f>AC5-AB5</f>
        <v>16.285582832422584</v>
      </c>
      <c r="AE5" s="4">
        <f>-2.261 + (0.327*Y4^2/P4) +0.525*X4 + 5.462* IF(V4="F",0,1)</f>
        <v>43.226763319672131</v>
      </c>
      <c r="AF5" s="4">
        <f>X4-AE4</f>
        <v>13.779999999999994</v>
      </c>
      <c r="AG5" s="4">
        <f>9.016+0.399*Y4^2/N4 -91.962*(J4+L4)/2/(((F4+H4)/2 +(B4+D4)/2)/2)+1.229*IF(V4="F",0,1)+0.461+0.273*Y4^2/P4+ 0.006*Y4^2/L4</f>
        <v>44.319687996695208</v>
      </c>
      <c r="AH5" s="4">
        <f>AG5+AJ5</f>
        <v>46.837877766393532</v>
      </c>
      <c r="AI5" s="4">
        <f>X4-AH5</f>
        <v>10.142122233606464</v>
      </c>
      <c r="AJ5" s="7">
        <f>0.89328*EXP(-0.47127*LOG(P4,EXP(1))+2.65176*LOG(Y4,EXP(1))-9.62779)-0.12978*IF(V4="F",1,0)+0.35966</f>
        <v>2.5181897696983215</v>
      </c>
      <c r="AK5" s="4">
        <f>DEGREES(ATAN(Q4/P4))</f>
        <v>5.3558250428551899</v>
      </c>
      <c r="AL5" s="4">
        <f>5.102 + 0.401*Y4^2/P4 + 3.825*IF(V4="F",0,1) -0.071*W4</f>
        <v>18.661488046448088</v>
      </c>
    </row>
    <row r="6" spans="1:38" x14ac:dyDescent="0.25">
      <c r="A6" s="2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 t="s">
        <v>138</v>
      </c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x14ac:dyDescent="0.25">
      <c r="AF7" s="8">
        <f>AF5/$X$4</f>
        <v>0.24183924183924174</v>
      </c>
      <c r="AI7" s="8">
        <f>AI5/$X$4</f>
        <v>0.17799442319421666</v>
      </c>
      <c r="AL7" s="10">
        <f>AL5/AL4</f>
        <v>0.9979405372432133</v>
      </c>
    </row>
    <row r="11" spans="1:38" ht="18" x14ac:dyDescent="0.25">
      <c r="AC11" s="9" t="s">
        <v>153</v>
      </c>
    </row>
  </sheetData>
  <mergeCells count="31">
    <mergeCell ref="R2:S2"/>
    <mergeCell ref="T2:U2"/>
    <mergeCell ref="N1:U1"/>
    <mergeCell ref="B1:E1"/>
    <mergeCell ref="B2:C2"/>
    <mergeCell ref="D2:E2"/>
    <mergeCell ref="F1:I1"/>
    <mergeCell ref="F2:G2"/>
    <mergeCell ref="H2:I2"/>
    <mergeCell ref="J1:M1"/>
    <mergeCell ref="J2:K2"/>
    <mergeCell ref="L2:M2"/>
    <mergeCell ref="N2:O2"/>
    <mergeCell ref="P2:Q2"/>
    <mergeCell ref="AG1:AG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J1:AJ3"/>
    <mergeCell ref="AH1:AH3"/>
    <mergeCell ref="AI1:AI3"/>
    <mergeCell ref="AK1:AK3"/>
    <mergeCell ref="AL1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bquxjob_2c5254ce_19053652384</vt:lpstr>
      <vt:lpstr>equation_check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Zoffoli - Technogym</dc:creator>
  <cp:lastModifiedBy>Luca Zoffoli - Technogym</cp:lastModifiedBy>
  <dcterms:created xsi:type="dcterms:W3CDTF">2024-06-27T13:39:20Z</dcterms:created>
  <dcterms:modified xsi:type="dcterms:W3CDTF">2024-06-27T17:53:05Z</dcterms:modified>
</cp:coreProperties>
</file>