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stavo_assis\Downloads\"/>
    </mc:Choice>
  </mc:AlternateContent>
  <bookViews>
    <workbookView xWindow="0" yWindow="0" windowWidth="20490" windowHeight="7695" activeTab="1"/>
  </bookViews>
  <sheets>
    <sheet name="Exerc 1" sheetId="1" r:id="rId1"/>
    <sheet name="Exerc 2" sheetId="2" r:id="rId2"/>
  </sheets>
  <calcPr calcId="152511"/>
</workbook>
</file>

<file path=xl/calcChain.xml><?xml version="1.0" encoding="utf-8"?>
<calcChain xmlns="http://schemas.openxmlformats.org/spreadsheetml/2006/main">
  <c r="G29" i="2" l="1"/>
  <c r="F27" i="2"/>
  <c r="G33" i="2"/>
  <c r="G31" i="2"/>
  <c r="C32" i="2"/>
  <c r="C31" i="2"/>
  <c r="C30" i="2"/>
  <c r="C29" i="2"/>
  <c r="C28" i="2"/>
  <c r="C27" i="2"/>
  <c r="E23" i="2"/>
  <c r="F23" i="2"/>
  <c r="G23" i="2"/>
  <c r="E22" i="2"/>
  <c r="F22" i="2"/>
  <c r="G22" i="2"/>
  <c r="E21" i="2"/>
  <c r="F21" i="2"/>
  <c r="G21" i="2"/>
  <c r="F20" i="2"/>
  <c r="G20" i="2"/>
  <c r="E20" i="2"/>
  <c r="D22" i="2"/>
  <c r="D23" i="2"/>
  <c r="D21" i="2"/>
  <c r="D2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" i="2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<sst xmlns="http://schemas.openxmlformats.org/spreadsheetml/2006/main" count="179" uniqueCount="120">
  <si>
    <t>Nome</t>
  </si>
  <si>
    <t>Sexo</t>
  </si>
  <si>
    <t>Altura</t>
  </si>
  <si>
    <t>Gênero Musical preferido</t>
  </si>
  <si>
    <t>Idade</t>
  </si>
  <si>
    <t>Bruno Vinicius Lópes</t>
  </si>
  <si>
    <t>M</t>
  </si>
  <si>
    <t>Punk rock</t>
  </si>
  <si>
    <t>Thiago Keiser Petry</t>
  </si>
  <si>
    <t>Sertanejo</t>
  </si>
  <si>
    <t>Ramon</t>
  </si>
  <si>
    <t>Acústico</t>
  </si>
  <si>
    <t xml:space="preserve">Gabriel F. </t>
  </si>
  <si>
    <t xml:space="preserve">Swingueira </t>
  </si>
  <si>
    <t>Andre</t>
  </si>
  <si>
    <t>Volksmusik</t>
  </si>
  <si>
    <t>Quantidade Homens</t>
  </si>
  <si>
    <t>Gabriel K.</t>
  </si>
  <si>
    <t>EletroFunk</t>
  </si>
  <si>
    <t>Quantidade Mulheres</t>
  </si>
  <si>
    <t>Iago</t>
  </si>
  <si>
    <t>Psytrance</t>
  </si>
  <si>
    <t>Mulheres &lt; 1.70</t>
  </si>
  <si>
    <t>Eduardo Bieger</t>
  </si>
  <si>
    <t>Trap</t>
  </si>
  <si>
    <t>Mulheres &gt;= 1.70</t>
  </si>
  <si>
    <t>Ananda</t>
  </si>
  <si>
    <t>F</t>
  </si>
  <si>
    <t>Homens &lt; 1.75</t>
  </si>
  <si>
    <t>Gustavo A.</t>
  </si>
  <si>
    <t>House</t>
  </si>
  <si>
    <t>Homens &gt;= 1.75</t>
  </si>
  <si>
    <t>Gabriel K. R.</t>
  </si>
  <si>
    <t>Pessoas que curtem ROCK</t>
  </si>
  <si>
    <t>Lyncoln</t>
  </si>
  <si>
    <t>Mega Funk</t>
  </si>
  <si>
    <t>Homens que não curtem Rock</t>
  </si>
  <si>
    <t>Ronaldo</t>
  </si>
  <si>
    <t>Jazz</t>
  </si>
  <si>
    <t>Mulheres que curtem pagode</t>
  </si>
  <si>
    <t>Lucas</t>
  </si>
  <si>
    <t>Eletronica</t>
  </si>
  <si>
    <t>Média de altura dos homens</t>
  </si>
  <si>
    <t>Leandro</t>
  </si>
  <si>
    <t>Padeus</t>
  </si>
  <si>
    <t>Média de altura das mulheres</t>
  </si>
  <si>
    <t>Allan</t>
  </si>
  <si>
    <t>Tech House</t>
  </si>
  <si>
    <t>Sidnei Tavares</t>
  </si>
  <si>
    <t>Rock</t>
  </si>
  <si>
    <t>Alex</t>
  </si>
  <si>
    <t>Nicolas C</t>
  </si>
  <si>
    <t>Bruno P</t>
  </si>
  <si>
    <t>Rap</t>
  </si>
  <si>
    <t>Jean</t>
  </si>
  <si>
    <t>Heavy Metal</t>
  </si>
  <si>
    <t>Peters</t>
  </si>
  <si>
    <t>Alessandro</t>
  </si>
  <si>
    <t>Pop</t>
  </si>
  <si>
    <t>Luiz</t>
  </si>
  <si>
    <t>Patrick</t>
  </si>
  <si>
    <t>Eletrônica</t>
  </si>
  <si>
    <t>Mateus Dos Santos</t>
  </si>
  <si>
    <t>Raul Griebeler</t>
  </si>
  <si>
    <t>Muitos</t>
  </si>
  <si>
    <t>Gustavo Leski</t>
  </si>
  <si>
    <t>Thiago Ronchi</t>
  </si>
  <si>
    <t>Deep House</t>
  </si>
  <si>
    <t>Milena</t>
  </si>
  <si>
    <t>Eduardo C.</t>
  </si>
  <si>
    <t>Fernando Engler</t>
  </si>
  <si>
    <t>Eletrôncia</t>
  </si>
  <si>
    <t>Silvino</t>
  </si>
  <si>
    <t>Anna</t>
  </si>
  <si>
    <t>----</t>
  </si>
  <si>
    <t>DEUS É BOM</t>
  </si>
  <si>
    <t>rock</t>
  </si>
  <si>
    <t>MARCA</t>
  </si>
  <si>
    <t>MODELO</t>
  </si>
  <si>
    <t>POTÊNCIA (cv)</t>
  </si>
  <si>
    <t>PREÇO BÁSICO</t>
  </si>
  <si>
    <t>PREÇO BÁS. C/ DESCONTO DO IPI</t>
  </si>
  <si>
    <t>BMW</t>
  </si>
  <si>
    <t>Dafra</t>
  </si>
  <si>
    <t>Yamaha</t>
  </si>
  <si>
    <t>Honda</t>
  </si>
  <si>
    <t>G 650 Xcountry Std.</t>
  </si>
  <si>
    <t>R 1200 GS Advent.</t>
  </si>
  <si>
    <t>Lase 150 (Scooter)</t>
  </si>
  <si>
    <t>XT 660R</t>
  </si>
  <si>
    <t>Kansasa 150 (custom)</t>
  </si>
  <si>
    <t>CB 600F Hornet</t>
  </si>
  <si>
    <t>Desconto do IPI</t>
  </si>
  <si>
    <t>Parcelas</t>
  </si>
  <si>
    <t>Kasinski</t>
  </si>
  <si>
    <t>Suzuki</t>
  </si>
  <si>
    <t>Comet 650 (Sport)</t>
  </si>
  <si>
    <t>CG Titan KS Mix</t>
  </si>
  <si>
    <t>GSX 1300 Hayabusa</t>
  </si>
  <si>
    <t>Bandit</t>
  </si>
  <si>
    <t>Fazer 250</t>
  </si>
  <si>
    <t>CG 125 Fan FS</t>
  </si>
  <si>
    <t>XTZ 250X</t>
  </si>
  <si>
    <t>XTZ 1250K</t>
  </si>
  <si>
    <t>NXR 150 Bros KS</t>
  </si>
  <si>
    <t>SOMA</t>
  </si>
  <si>
    <t>MÉDIA</t>
  </si>
  <si>
    <t>MÁXIMO</t>
  </si>
  <si>
    <t>MÍNIMO</t>
  </si>
  <si>
    <t>TOTAL</t>
  </si>
  <si>
    <t>MAIOR VALOR</t>
  </si>
  <si>
    <t>MENOR VALOR</t>
  </si>
  <si>
    <t>TOTAIS POR MARCA</t>
  </si>
  <si>
    <t>QUANTIDADE DE MOTOS POR MARCA</t>
  </si>
  <si>
    <t>Valor parcelas SEM DESCONTO</t>
  </si>
  <si>
    <t>Valor parcelas COM DESCONTO</t>
  </si>
  <si>
    <t>Quantidade de Motos desta MARCA:</t>
  </si>
  <si>
    <t>Valor em estoque da marca:</t>
  </si>
  <si>
    <t>Total de motos com menos de 90 cv:</t>
  </si>
  <si>
    <t>Total de motos com potência maior ou igualo a 90cv: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</si>
</sst>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9">
    <xf numFmtId="0" fontId="0" fillId="0" borderId="0" xfId="0" applyFont="1" applyAlignment="1"/>
    <xf numFmtId="0" fontId="1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2" fontId="0" fillId="3" borderId="2" xfId="0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2" fontId="3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0" fillId="6" borderId="2" xfId="0" applyFont="1" applyFill="1" applyBorder="1" applyAlignment="1">
      <alignment horizontal="center" vertical="center"/>
    </xf>
    <xf numFmtId="44" fontId="0" fillId="6" borderId="2" xfId="1" applyFont="1" applyFill="1" applyBorder="1" applyAlignment="1">
      <alignment horizontal="center" vertical="center"/>
    </xf>
    <xf numFmtId="9" fontId="0" fillId="6" borderId="2" xfId="0" applyNumberFormat="1" applyFont="1" applyFill="1" applyBorder="1" applyAlignment="1">
      <alignment horizontal="right" vertical="center"/>
    </xf>
    <xf numFmtId="0" fontId="0" fillId="6" borderId="2" xfId="0" applyFont="1" applyFill="1" applyBorder="1" applyAlignment="1">
      <alignment horizontal="right" vertical="center"/>
    </xf>
    <xf numFmtId="0" fontId="0" fillId="4" borderId="0" xfId="0" applyFont="1" applyFill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/>
    </xf>
    <xf numFmtId="0" fontId="4" fillId="8" borderId="2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 applyProtection="1">
      <alignment horizontal="center" vertical="center" wrapText="1"/>
      <protection locked="0"/>
    </xf>
    <xf numFmtId="0" fontId="3" fillId="4" borderId="0" xfId="0" applyFont="1" applyFill="1" applyBorder="1" applyAlignment="1" applyProtection="1">
      <alignment horizontal="center" vertical="center"/>
      <protection locked="0"/>
    </xf>
    <xf numFmtId="44" fontId="0" fillId="6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44" fontId="1" fillId="6" borderId="3" xfId="1" applyFont="1" applyFill="1" applyBorder="1" applyAlignment="1">
      <alignment vertical="center"/>
    </xf>
    <xf numFmtId="44" fontId="1" fillId="6" borderId="5" xfId="1" applyFont="1" applyFill="1" applyBorder="1" applyAlignment="1">
      <alignment vertical="center"/>
    </xf>
    <xf numFmtId="44" fontId="1" fillId="6" borderId="4" xfId="1" applyFont="1" applyFill="1" applyBorder="1" applyAlignment="1">
      <alignment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998"/>
  <sheetViews>
    <sheetView zoomScaleNormal="100" workbookViewId="0">
      <selection activeCell="G15" sqref="G15"/>
    </sheetView>
  </sheetViews>
  <sheetFormatPr defaultColWidth="14.42578125" defaultRowHeight="15.75" customHeight="1" x14ac:dyDescent="0.2"/>
  <cols>
    <col min="1" max="1" width="20.5703125" style="3" customWidth="1"/>
    <col min="2" max="2" width="14.42578125" style="4"/>
    <col min="3" max="3" width="11.5703125" style="4" customWidth="1"/>
    <col min="4" max="4" width="24.42578125" style="4" bestFit="1" customWidth="1"/>
    <col min="5" max="6" width="14.42578125" style="4"/>
    <col min="7" max="7" width="28.7109375" style="4" bestFit="1" customWidth="1"/>
    <col min="8" max="8" width="26.85546875" style="4" customWidth="1"/>
    <col min="9" max="9" width="14.42578125" style="4"/>
    <col min="10" max="10" width="33.140625" style="4" customWidth="1"/>
    <col min="11" max="16384" width="14.42578125" style="4"/>
  </cols>
  <sheetData>
    <row r="1" spans="1:10" ht="31.5" customHeight="1" x14ac:dyDescent="0.2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9"/>
      <c r="G1" s="10"/>
      <c r="H1" s="10"/>
      <c r="I1" s="10"/>
      <c r="J1" s="10"/>
    </row>
    <row r="2" spans="1:10" ht="15.75" customHeight="1" x14ac:dyDescent="0.2">
      <c r="A2" s="1" t="s">
        <v>5</v>
      </c>
      <c r="B2" s="5" t="s">
        <v>6</v>
      </c>
      <c r="C2" s="5">
        <v>1.74</v>
      </c>
      <c r="D2" s="5" t="s">
        <v>7</v>
      </c>
      <c r="E2" s="5">
        <v>17</v>
      </c>
      <c r="F2" s="10"/>
      <c r="G2" s="6" t="s">
        <v>16</v>
      </c>
      <c r="H2" s="7">
        <f>COUNTIF(B:B,"M")</f>
        <v>31</v>
      </c>
      <c r="I2" s="10"/>
      <c r="J2" s="10"/>
    </row>
    <row r="3" spans="1:10" ht="15.75" customHeight="1" x14ac:dyDescent="0.2">
      <c r="A3" s="1" t="s">
        <v>8</v>
      </c>
      <c r="B3" s="5" t="s">
        <v>6</v>
      </c>
      <c r="C3" s="5">
        <v>1.78</v>
      </c>
      <c r="D3" s="5" t="s">
        <v>9</v>
      </c>
      <c r="E3" s="5">
        <v>15</v>
      </c>
      <c r="F3" s="10"/>
      <c r="G3" s="6" t="s">
        <v>19</v>
      </c>
      <c r="H3" s="7">
        <f>COUNTIF(B:B,"F")</f>
        <v>3</v>
      </c>
      <c r="I3" s="10"/>
      <c r="J3" s="10"/>
    </row>
    <row r="4" spans="1:10" ht="15.75" customHeight="1" x14ac:dyDescent="0.2">
      <c r="A4" s="1" t="s">
        <v>10</v>
      </c>
      <c r="B4" s="5" t="s">
        <v>6</v>
      </c>
      <c r="C4" s="5">
        <v>1.83</v>
      </c>
      <c r="D4" s="5" t="s">
        <v>11</v>
      </c>
      <c r="E4" s="5">
        <v>18</v>
      </c>
      <c r="F4" s="10"/>
      <c r="G4" s="6" t="s">
        <v>22</v>
      </c>
      <c r="H4" s="7">
        <f>COUNTIFS(B:B,"F",C:C,"&lt;1,70")</f>
        <v>1</v>
      </c>
      <c r="I4" s="10"/>
      <c r="J4" s="10"/>
    </row>
    <row r="5" spans="1:10" ht="15.75" customHeight="1" x14ac:dyDescent="0.2">
      <c r="A5" s="1" t="s">
        <v>12</v>
      </c>
      <c r="B5" s="5" t="s">
        <v>6</v>
      </c>
      <c r="C5" s="5">
        <v>1.73</v>
      </c>
      <c r="D5" s="5" t="s">
        <v>13</v>
      </c>
      <c r="E5" s="5">
        <v>19</v>
      </c>
      <c r="F5" s="10"/>
      <c r="G5" s="6" t="s">
        <v>25</v>
      </c>
      <c r="H5" s="7">
        <f>COUNTIFS(B:B,"F",C:C,"&gt;=1,70")</f>
        <v>2</v>
      </c>
      <c r="I5" s="10"/>
      <c r="J5" s="10"/>
    </row>
    <row r="6" spans="1:10" ht="15.75" customHeight="1" x14ac:dyDescent="0.2">
      <c r="A6" s="1" t="s">
        <v>14</v>
      </c>
      <c r="B6" s="5" t="s">
        <v>6</v>
      </c>
      <c r="C6" s="5">
        <v>1.8</v>
      </c>
      <c r="D6" s="5" t="s">
        <v>15</v>
      </c>
      <c r="E6" s="5">
        <v>28</v>
      </c>
      <c r="F6" s="10"/>
      <c r="G6" s="6" t="s">
        <v>28</v>
      </c>
      <c r="H6" s="7">
        <f>COUNTIFS(B:B,"M",C:C,"&lt;1,75")</f>
        <v>9</v>
      </c>
      <c r="I6" s="10"/>
      <c r="J6" s="10"/>
    </row>
    <row r="7" spans="1:10" ht="15.75" customHeight="1" x14ac:dyDescent="0.2">
      <c r="A7" s="1" t="s">
        <v>17</v>
      </c>
      <c r="B7" s="5" t="s">
        <v>6</v>
      </c>
      <c r="C7" s="5">
        <v>1.73</v>
      </c>
      <c r="D7" s="5" t="s">
        <v>18</v>
      </c>
      <c r="E7" s="5">
        <v>28</v>
      </c>
      <c r="F7" s="10"/>
      <c r="G7" s="6" t="s">
        <v>31</v>
      </c>
      <c r="H7" s="7">
        <f>COUNTIFS(B:B,"M",C:C,"&gt;=1,75")</f>
        <v>22</v>
      </c>
      <c r="I7" s="10"/>
      <c r="J7" s="10"/>
    </row>
    <row r="8" spans="1:10" ht="15.75" customHeight="1" x14ac:dyDescent="0.2">
      <c r="A8" s="1" t="s">
        <v>20</v>
      </c>
      <c r="B8" s="5" t="s">
        <v>6</v>
      </c>
      <c r="C8" s="5">
        <v>1.75</v>
      </c>
      <c r="D8" s="5" t="s">
        <v>21</v>
      </c>
      <c r="E8" s="5">
        <v>26</v>
      </c>
      <c r="F8" s="10"/>
      <c r="G8" s="6" t="s">
        <v>33</v>
      </c>
      <c r="H8" s="7">
        <f>COUNTIF(D:D,"Rock")</f>
        <v>5</v>
      </c>
      <c r="I8" s="10"/>
      <c r="J8" s="10"/>
    </row>
    <row r="9" spans="1:10" ht="15.75" customHeight="1" x14ac:dyDescent="0.2">
      <c r="A9" s="1" t="s">
        <v>23</v>
      </c>
      <c r="B9" s="5" t="s">
        <v>6</v>
      </c>
      <c r="C9" s="5">
        <v>1.78</v>
      </c>
      <c r="D9" s="5" t="s">
        <v>24</v>
      </c>
      <c r="E9" s="5">
        <v>18</v>
      </c>
      <c r="F9" s="10"/>
      <c r="G9" s="6" t="s">
        <v>36</v>
      </c>
      <c r="H9" s="7">
        <f>COUNTIFS(B:B,"M",D:D,"&lt;&gt;rock")</f>
        <v>27</v>
      </c>
      <c r="I9" s="10"/>
      <c r="J9" s="10"/>
    </row>
    <row r="10" spans="1:10" ht="15.75" customHeight="1" x14ac:dyDescent="0.2">
      <c r="A10" s="1" t="s">
        <v>26</v>
      </c>
      <c r="B10" s="5" t="s">
        <v>27</v>
      </c>
      <c r="C10" s="5">
        <v>1.65</v>
      </c>
      <c r="D10" s="5" t="s">
        <v>76</v>
      </c>
      <c r="E10" s="5">
        <v>19</v>
      </c>
      <c r="F10" s="10"/>
      <c r="G10" s="6" t="s">
        <v>39</v>
      </c>
      <c r="H10" s="7">
        <f>COUNTIFS(B:B,"F",D:D,"pagode")</f>
        <v>0</v>
      </c>
      <c r="I10" s="10"/>
      <c r="J10" s="10"/>
    </row>
    <row r="11" spans="1:10" ht="15.75" customHeight="1" x14ac:dyDescent="0.2">
      <c r="A11" s="1" t="s">
        <v>29</v>
      </c>
      <c r="B11" s="5" t="s">
        <v>6</v>
      </c>
      <c r="C11" s="5">
        <v>1.7</v>
      </c>
      <c r="D11" s="5" t="s">
        <v>30</v>
      </c>
      <c r="E11" s="5">
        <v>24</v>
      </c>
      <c r="F11" s="10"/>
      <c r="G11" s="6" t="s">
        <v>42</v>
      </c>
      <c r="H11" s="8">
        <f>AVERAGEIF(B:B,"M",C:C)</f>
        <v>1.781935483870968</v>
      </c>
      <c r="I11" s="11"/>
      <c r="J11" s="10"/>
    </row>
    <row r="12" spans="1:10" ht="15.75" customHeight="1" x14ac:dyDescent="0.2">
      <c r="A12" s="1" t="s">
        <v>32</v>
      </c>
      <c r="B12" s="5" t="s">
        <v>6</v>
      </c>
      <c r="C12" s="5">
        <v>1.85</v>
      </c>
      <c r="D12" s="5" t="s">
        <v>24</v>
      </c>
      <c r="E12" s="5">
        <v>17</v>
      </c>
      <c r="F12" s="10"/>
      <c r="G12" s="6" t="s">
        <v>45</v>
      </c>
      <c r="H12" s="7">
        <f>AVERAGEIF(B:B,"F",C:C)</f>
        <v>1.71</v>
      </c>
      <c r="I12" s="10"/>
      <c r="J12" s="10"/>
    </row>
    <row r="13" spans="1:10" ht="15.75" customHeight="1" x14ac:dyDescent="0.2">
      <c r="A13" s="1" t="s">
        <v>34</v>
      </c>
      <c r="B13" s="5" t="s">
        <v>6</v>
      </c>
      <c r="C13" s="5">
        <v>1.75</v>
      </c>
      <c r="D13" s="5" t="s">
        <v>35</v>
      </c>
      <c r="E13" s="5">
        <v>23</v>
      </c>
      <c r="F13" s="10"/>
      <c r="G13" s="10"/>
      <c r="H13" s="10"/>
      <c r="I13" s="10"/>
      <c r="J13" s="10"/>
    </row>
    <row r="14" spans="1:10" ht="15.75" customHeight="1" x14ac:dyDescent="0.2">
      <c r="A14" s="1" t="s">
        <v>37</v>
      </c>
      <c r="B14" s="5" t="s">
        <v>6</v>
      </c>
      <c r="C14" s="5">
        <v>1.82</v>
      </c>
      <c r="D14" s="5" t="s">
        <v>38</v>
      </c>
      <c r="E14" s="5">
        <v>40</v>
      </c>
      <c r="F14" s="10"/>
      <c r="G14" s="10"/>
      <c r="H14" s="10"/>
      <c r="I14" s="10"/>
      <c r="J14" s="10"/>
    </row>
    <row r="15" spans="1:10" ht="15.75" customHeight="1" x14ac:dyDescent="0.2">
      <c r="A15" s="1" t="s">
        <v>40</v>
      </c>
      <c r="B15" s="5" t="s">
        <v>6</v>
      </c>
      <c r="C15" s="5">
        <v>1.78</v>
      </c>
      <c r="D15" s="5" t="s">
        <v>41</v>
      </c>
      <c r="E15" s="5">
        <v>20</v>
      </c>
      <c r="F15" s="10"/>
      <c r="G15" s="10"/>
      <c r="H15" s="10"/>
      <c r="I15" s="10"/>
      <c r="J15" s="10"/>
    </row>
    <row r="16" spans="1:10" ht="15.75" customHeight="1" x14ac:dyDescent="0.2">
      <c r="A16" s="1" t="s">
        <v>43</v>
      </c>
      <c r="B16" s="5" t="s">
        <v>6</v>
      </c>
      <c r="C16" s="5">
        <v>1.87</v>
      </c>
      <c r="D16" s="5" t="s">
        <v>44</v>
      </c>
      <c r="E16" s="5">
        <v>17</v>
      </c>
      <c r="F16" s="10"/>
      <c r="G16" s="10"/>
      <c r="H16" s="10"/>
      <c r="I16" s="10"/>
      <c r="J16" s="10"/>
    </row>
    <row r="17" spans="1:10" ht="15.75" customHeight="1" x14ac:dyDescent="0.2">
      <c r="A17" s="1" t="s">
        <v>46</v>
      </c>
      <c r="B17" s="5" t="s">
        <v>6</v>
      </c>
      <c r="C17" s="5">
        <v>1.71</v>
      </c>
      <c r="D17" s="5" t="s">
        <v>47</v>
      </c>
      <c r="E17" s="5">
        <v>30</v>
      </c>
      <c r="F17" s="10"/>
      <c r="G17" s="10"/>
      <c r="H17" s="10"/>
      <c r="I17" s="10"/>
      <c r="J17" s="10"/>
    </row>
    <row r="18" spans="1:10" ht="15.75" customHeight="1" x14ac:dyDescent="0.2">
      <c r="A18" s="1" t="s">
        <v>48</v>
      </c>
      <c r="B18" s="5" t="s">
        <v>6</v>
      </c>
      <c r="C18" s="5">
        <v>1.64</v>
      </c>
      <c r="D18" s="5" t="s">
        <v>49</v>
      </c>
      <c r="E18" s="5">
        <v>19</v>
      </c>
      <c r="F18" s="10"/>
      <c r="G18" s="10"/>
      <c r="H18" s="10"/>
      <c r="I18" s="10"/>
      <c r="J18" s="10"/>
    </row>
    <row r="19" spans="1:10" ht="15.75" customHeight="1" x14ac:dyDescent="0.2">
      <c r="A19" s="1" t="s">
        <v>50</v>
      </c>
      <c r="B19" s="5" t="s">
        <v>6</v>
      </c>
      <c r="C19" s="5">
        <v>1.88</v>
      </c>
      <c r="D19" s="5" t="s">
        <v>41</v>
      </c>
      <c r="E19" s="5">
        <v>38</v>
      </c>
      <c r="F19" s="10"/>
      <c r="G19" s="10"/>
      <c r="H19" s="10"/>
      <c r="I19" s="10"/>
      <c r="J19" s="10"/>
    </row>
    <row r="20" spans="1:10" ht="15.75" customHeight="1" x14ac:dyDescent="0.2">
      <c r="A20" s="1" t="s">
        <v>51</v>
      </c>
      <c r="B20" s="5" t="s">
        <v>6</v>
      </c>
      <c r="C20" s="5">
        <v>1.8</v>
      </c>
      <c r="D20" s="5" t="s">
        <v>49</v>
      </c>
      <c r="E20" s="5">
        <v>16</v>
      </c>
      <c r="F20" s="10"/>
      <c r="G20" s="10"/>
      <c r="H20" s="10"/>
      <c r="I20" s="10"/>
      <c r="J20" s="10"/>
    </row>
    <row r="21" spans="1:10" ht="15.75" customHeight="1" x14ac:dyDescent="0.2">
      <c r="A21" s="1" t="s">
        <v>52</v>
      </c>
      <c r="B21" s="5" t="s">
        <v>6</v>
      </c>
      <c r="C21" s="5">
        <v>1.7</v>
      </c>
      <c r="D21" s="5" t="s">
        <v>53</v>
      </c>
      <c r="E21" s="5">
        <v>17</v>
      </c>
      <c r="F21" s="10"/>
      <c r="G21" s="10"/>
      <c r="H21" s="10"/>
      <c r="I21" s="10"/>
      <c r="J21" s="10"/>
    </row>
    <row r="22" spans="1:10" ht="15.75" customHeight="1" x14ac:dyDescent="0.2">
      <c r="A22" s="1" t="s">
        <v>54</v>
      </c>
      <c r="B22" s="5" t="s">
        <v>6</v>
      </c>
      <c r="C22" s="5">
        <v>1.9</v>
      </c>
      <c r="D22" s="5" t="s">
        <v>55</v>
      </c>
      <c r="E22" s="5">
        <v>24</v>
      </c>
      <c r="F22" s="10"/>
      <c r="G22" s="10"/>
      <c r="H22" s="10"/>
      <c r="I22" s="10"/>
      <c r="J22" s="10"/>
    </row>
    <row r="23" spans="1:10" ht="15.75" customHeight="1" x14ac:dyDescent="0.2">
      <c r="A23" s="1" t="s">
        <v>56</v>
      </c>
      <c r="B23" s="5" t="s">
        <v>6</v>
      </c>
      <c r="C23" s="5">
        <v>1.85</v>
      </c>
      <c r="D23" s="5" t="s">
        <v>53</v>
      </c>
      <c r="E23" s="5">
        <v>18</v>
      </c>
      <c r="F23" s="10"/>
      <c r="G23" s="10"/>
      <c r="H23" s="10"/>
      <c r="I23" s="10"/>
      <c r="J23" s="10"/>
    </row>
    <row r="24" spans="1:10" ht="12.75" x14ac:dyDescent="0.2">
      <c r="A24" s="1" t="s">
        <v>57</v>
      </c>
      <c r="B24" s="5" t="s">
        <v>6</v>
      </c>
      <c r="C24" s="5">
        <v>1.82</v>
      </c>
      <c r="D24" s="5" t="s">
        <v>58</v>
      </c>
      <c r="E24" s="5">
        <v>17</v>
      </c>
      <c r="F24" s="10"/>
      <c r="G24" s="10"/>
      <c r="H24" s="10"/>
      <c r="I24" s="10"/>
      <c r="J24" s="10"/>
    </row>
    <row r="25" spans="1:10" ht="12.75" x14ac:dyDescent="0.2">
      <c r="A25" s="1" t="s">
        <v>59</v>
      </c>
      <c r="B25" s="5" t="s">
        <v>6</v>
      </c>
      <c r="C25" s="5">
        <v>1.83</v>
      </c>
      <c r="D25" s="5" t="s">
        <v>49</v>
      </c>
      <c r="E25" s="5">
        <v>31</v>
      </c>
      <c r="F25" s="10"/>
      <c r="G25" s="10"/>
      <c r="H25" s="10"/>
      <c r="I25" s="10"/>
      <c r="J25" s="10"/>
    </row>
    <row r="26" spans="1:10" ht="12.75" x14ac:dyDescent="0.2">
      <c r="A26" s="1" t="s">
        <v>60</v>
      </c>
      <c r="B26" s="5" t="s">
        <v>6</v>
      </c>
      <c r="C26" s="5">
        <v>1.75</v>
      </c>
      <c r="D26" s="5" t="s">
        <v>61</v>
      </c>
      <c r="E26" s="5">
        <v>18</v>
      </c>
      <c r="F26" s="10"/>
      <c r="G26" s="10"/>
      <c r="H26" s="10"/>
      <c r="I26" s="10"/>
      <c r="J26" s="10"/>
    </row>
    <row r="27" spans="1:10" ht="12.75" x14ac:dyDescent="0.2">
      <c r="A27" s="1" t="s">
        <v>62</v>
      </c>
      <c r="B27" s="5" t="s">
        <v>6</v>
      </c>
      <c r="C27" s="5">
        <v>1.7</v>
      </c>
      <c r="D27" s="5" t="s">
        <v>61</v>
      </c>
      <c r="E27" s="5">
        <v>17</v>
      </c>
      <c r="F27" s="10"/>
      <c r="G27" s="10"/>
      <c r="H27" s="10"/>
      <c r="I27" s="10"/>
      <c r="J27" s="10"/>
    </row>
    <row r="28" spans="1:10" ht="12.75" x14ac:dyDescent="0.2">
      <c r="A28" s="1"/>
      <c r="B28" s="5"/>
      <c r="C28" s="5"/>
      <c r="D28" s="5"/>
      <c r="E28" s="5"/>
      <c r="F28" s="10"/>
      <c r="G28" s="10"/>
      <c r="H28" s="10"/>
      <c r="I28" s="10"/>
      <c r="J28" s="10"/>
    </row>
    <row r="29" spans="1:10" ht="12.75" x14ac:dyDescent="0.2">
      <c r="A29" s="1" t="s">
        <v>63</v>
      </c>
      <c r="B29" s="5" t="s">
        <v>6</v>
      </c>
      <c r="C29" s="5">
        <v>1.8</v>
      </c>
      <c r="D29" s="5" t="s">
        <v>64</v>
      </c>
      <c r="E29" s="5">
        <v>22</v>
      </c>
      <c r="F29" s="10"/>
      <c r="G29" s="10"/>
      <c r="H29" s="10"/>
      <c r="I29" s="10"/>
      <c r="J29" s="10"/>
    </row>
    <row r="30" spans="1:10" ht="12.75" x14ac:dyDescent="0.2">
      <c r="A30" s="1" t="s">
        <v>65</v>
      </c>
      <c r="B30" s="5" t="s">
        <v>6</v>
      </c>
      <c r="C30" s="5">
        <v>1.89</v>
      </c>
      <c r="D30" s="5" t="s">
        <v>61</v>
      </c>
      <c r="E30" s="5">
        <v>19</v>
      </c>
      <c r="F30" s="10"/>
      <c r="G30" s="10"/>
      <c r="H30" s="10"/>
      <c r="I30" s="10"/>
      <c r="J30" s="10"/>
    </row>
    <row r="31" spans="1:10" ht="12.75" x14ac:dyDescent="0.2">
      <c r="A31" s="1" t="s">
        <v>66</v>
      </c>
      <c r="B31" s="5" t="s">
        <v>6</v>
      </c>
      <c r="C31" s="5">
        <v>1.75</v>
      </c>
      <c r="D31" s="5" t="s">
        <v>67</v>
      </c>
      <c r="E31" s="5">
        <v>19</v>
      </c>
      <c r="F31" s="10"/>
      <c r="G31" s="10"/>
      <c r="H31" s="10"/>
      <c r="I31" s="10"/>
      <c r="J31" s="10"/>
    </row>
    <row r="32" spans="1:10" ht="12.75" x14ac:dyDescent="0.2">
      <c r="A32" s="1" t="s">
        <v>68</v>
      </c>
      <c r="B32" s="5" t="s">
        <v>27</v>
      </c>
      <c r="C32" s="5">
        <v>1.75</v>
      </c>
      <c r="D32" s="5" t="s">
        <v>61</v>
      </c>
      <c r="E32" s="5">
        <v>20</v>
      </c>
      <c r="F32" s="10"/>
      <c r="G32" s="10"/>
      <c r="H32" s="10"/>
      <c r="I32" s="10"/>
      <c r="J32" s="10"/>
    </row>
    <row r="33" spans="1:10" ht="12.75" x14ac:dyDescent="0.2">
      <c r="A33" s="1" t="s">
        <v>69</v>
      </c>
      <c r="B33" s="5" t="s">
        <v>6</v>
      </c>
      <c r="C33" s="5">
        <v>1.79</v>
      </c>
      <c r="D33" s="5" t="s">
        <v>49</v>
      </c>
      <c r="E33" s="5">
        <v>27</v>
      </c>
      <c r="F33" s="10"/>
      <c r="G33" s="10"/>
      <c r="H33" s="10"/>
      <c r="I33" s="10"/>
      <c r="J33" s="10"/>
    </row>
    <row r="34" spans="1:10" ht="12.75" x14ac:dyDescent="0.2">
      <c r="A34" s="1" t="s">
        <v>70</v>
      </c>
      <c r="B34" s="5" t="s">
        <v>6</v>
      </c>
      <c r="C34" s="5">
        <v>1.85</v>
      </c>
      <c r="D34" s="5" t="s">
        <v>71</v>
      </c>
      <c r="E34" s="5">
        <v>17</v>
      </c>
      <c r="F34" s="10"/>
      <c r="G34" s="10"/>
      <c r="H34" s="10"/>
      <c r="I34" s="10"/>
      <c r="J34" s="10"/>
    </row>
    <row r="35" spans="1:10" ht="12.75" x14ac:dyDescent="0.2">
      <c r="A35" s="1" t="s">
        <v>72</v>
      </c>
      <c r="B35" s="5" t="s">
        <v>6</v>
      </c>
      <c r="C35" s="5">
        <v>1.67</v>
      </c>
      <c r="D35" s="5" t="s">
        <v>53</v>
      </c>
      <c r="E35" s="5">
        <v>17</v>
      </c>
      <c r="F35" s="10"/>
      <c r="G35" s="10"/>
      <c r="H35" s="10"/>
      <c r="I35" s="10"/>
      <c r="J35" s="10"/>
    </row>
    <row r="36" spans="1:10" ht="12.75" x14ac:dyDescent="0.2">
      <c r="A36" s="1" t="s">
        <v>73</v>
      </c>
      <c r="B36" s="5" t="s">
        <v>27</v>
      </c>
      <c r="C36" s="5">
        <v>1.73</v>
      </c>
      <c r="D36" s="5" t="s">
        <v>74</v>
      </c>
      <c r="E36" s="5">
        <v>19</v>
      </c>
      <c r="F36" s="10"/>
      <c r="G36" s="10"/>
      <c r="H36" s="10"/>
      <c r="I36" s="10"/>
      <c r="J36" s="10"/>
    </row>
    <row r="37" spans="1:10" ht="15.75" customHeight="1" x14ac:dyDescent="0.2">
      <c r="A37" s="12"/>
      <c r="B37" s="10"/>
      <c r="C37" s="10"/>
      <c r="D37" s="10"/>
      <c r="E37" s="10"/>
      <c r="F37" s="10"/>
      <c r="G37" s="10"/>
      <c r="H37" s="10"/>
      <c r="I37" s="10"/>
      <c r="J37" s="10"/>
    </row>
    <row r="38" spans="1:10" ht="15.75" customHeight="1" x14ac:dyDescent="0.2">
      <c r="A38" s="12"/>
      <c r="B38" s="10"/>
      <c r="C38" s="10"/>
      <c r="D38" s="10"/>
      <c r="E38" s="10"/>
      <c r="F38" s="10"/>
      <c r="G38" s="10"/>
      <c r="H38" s="10"/>
      <c r="I38" s="10"/>
      <c r="J38" s="10"/>
    </row>
    <row r="39" spans="1:10" ht="15.75" customHeight="1" x14ac:dyDescent="0.2">
      <c r="A39" s="12"/>
      <c r="B39" s="10"/>
      <c r="C39" s="10"/>
      <c r="D39" s="10"/>
      <c r="E39" s="10"/>
      <c r="F39" s="10"/>
      <c r="G39" s="10"/>
      <c r="H39" s="10"/>
      <c r="I39" s="10"/>
      <c r="J39" s="10"/>
    </row>
    <row r="101998" spans="1:1" ht="12.75" x14ac:dyDescent="0.2">
      <c r="A101998" s="2" t="s">
        <v>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6"/>
  <sheetViews>
    <sheetView tabSelected="1" topLeftCell="A13" zoomScale="85" zoomScaleNormal="85" workbookViewId="0">
      <selection activeCell="K14" sqref="K14"/>
    </sheetView>
  </sheetViews>
  <sheetFormatPr defaultColWidth="14.42578125" defaultRowHeight="15.75" customHeight="1" x14ac:dyDescent="0.2"/>
  <cols>
    <col min="1" max="1" width="14.42578125" style="15"/>
    <col min="2" max="2" width="20" style="3" customWidth="1"/>
    <col min="3" max="3" width="18.85546875" style="15" customWidth="1"/>
    <col min="4" max="4" width="23.42578125" style="15" customWidth="1"/>
    <col min="5" max="5" width="17.42578125" style="15" customWidth="1"/>
    <col min="6" max="6" width="16" style="15" customWidth="1"/>
    <col min="7" max="7" width="16.7109375" style="15" customWidth="1"/>
    <col min="8" max="8" width="16.85546875" style="15" customWidth="1"/>
    <col min="9" max="16384" width="14.42578125" style="15"/>
  </cols>
  <sheetData>
    <row r="1" spans="1:12" ht="15.75" customHeight="1" x14ac:dyDescent="0.2">
      <c r="A1" s="24"/>
      <c r="B1" s="30"/>
      <c r="C1" s="24"/>
      <c r="D1" s="25" t="s">
        <v>92</v>
      </c>
      <c r="E1" s="22">
        <v>7.0000000000000007E-2</v>
      </c>
      <c r="F1" s="24"/>
      <c r="G1" s="24"/>
      <c r="H1" s="24"/>
      <c r="I1" s="24"/>
      <c r="J1" s="24"/>
      <c r="K1" s="24"/>
      <c r="L1" s="24"/>
    </row>
    <row r="2" spans="1:12" ht="15.75" customHeight="1" x14ac:dyDescent="0.2">
      <c r="A2" s="24"/>
      <c r="B2" s="30"/>
      <c r="C2" s="24"/>
      <c r="D2" s="25" t="s">
        <v>93</v>
      </c>
      <c r="E2" s="23">
        <v>12</v>
      </c>
      <c r="F2" s="24"/>
      <c r="G2" s="24"/>
      <c r="H2" s="33"/>
      <c r="I2" s="33"/>
      <c r="J2" s="33"/>
      <c r="K2" s="33"/>
      <c r="L2" s="33"/>
    </row>
    <row r="3" spans="1:12" s="16" customFormat="1" ht="46.5" customHeight="1" x14ac:dyDescent="0.2">
      <c r="A3" s="17" t="s">
        <v>77</v>
      </c>
      <c r="B3" s="17" t="s">
        <v>78</v>
      </c>
      <c r="C3" s="17" t="s">
        <v>79</v>
      </c>
      <c r="D3" s="17" t="s">
        <v>80</v>
      </c>
      <c r="E3" s="17" t="s">
        <v>81</v>
      </c>
      <c r="F3" s="17" t="s">
        <v>114</v>
      </c>
      <c r="G3" s="17" t="s">
        <v>115</v>
      </c>
      <c r="H3" s="34"/>
      <c r="I3" s="34"/>
      <c r="J3" s="34"/>
      <c r="K3" s="34"/>
      <c r="L3" s="34"/>
    </row>
    <row r="4" spans="1:12" ht="15.75" customHeight="1" x14ac:dyDescent="0.2">
      <c r="A4" s="18" t="s">
        <v>82</v>
      </c>
      <c r="B4" s="19" t="s">
        <v>86</v>
      </c>
      <c r="C4" s="20">
        <v>53</v>
      </c>
      <c r="D4" s="21">
        <v>379000</v>
      </c>
      <c r="E4" s="36">
        <f>D4-(D4*$E$1)</f>
        <v>352470</v>
      </c>
      <c r="F4" s="36">
        <f>D4/$E$2</f>
        <v>31583.333333333332</v>
      </c>
      <c r="G4" s="36">
        <f>E4/$E$2</f>
        <v>29372.5</v>
      </c>
      <c r="H4" s="35"/>
      <c r="I4" s="35"/>
      <c r="J4" s="35"/>
      <c r="K4" s="35"/>
      <c r="L4" s="35"/>
    </row>
    <row r="5" spans="1:12" ht="15.75" customHeight="1" x14ac:dyDescent="0.2">
      <c r="A5" s="18" t="s">
        <v>82</v>
      </c>
      <c r="B5" s="19" t="s">
        <v>87</v>
      </c>
      <c r="C5" s="20">
        <v>100</v>
      </c>
      <c r="D5" s="21">
        <v>88900</v>
      </c>
      <c r="E5" s="36">
        <f t="shared" ref="E5:E18" si="0">D5-(D5*$E$1)</f>
        <v>82677</v>
      </c>
      <c r="F5" s="36">
        <f t="shared" ref="F5:F18" si="1">D5/$E$2</f>
        <v>7408.333333333333</v>
      </c>
      <c r="G5" s="36">
        <f t="shared" ref="G5:G18" si="2">E5/$E$2</f>
        <v>6889.75</v>
      </c>
      <c r="H5" s="35"/>
      <c r="I5" s="35"/>
      <c r="J5" s="35"/>
      <c r="K5" s="35"/>
      <c r="L5" s="35"/>
    </row>
    <row r="6" spans="1:12" ht="15.75" customHeight="1" x14ac:dyDescent="0.2">
      <c r="A6" s="18" t="s">
        <v>83</v>
      </c>
      <c r="B6" s="19" t="s">
        <v>88</v>
      </c>
      <c r="C6" s="20">
        <v>11.5</v>
      </c>
      <c r="D6" s="21">
        <v>5490</v>
      </c>
      <c r="E6" s="36">
        <f t="shared" si="0"/>
        <v>5105.7</v>
      </c>
      <c r="F6" s="36">
        <f t="shared" si="1"/>
        <v>457.5</v>
      </c>
      <c r="G6" s="36">
        <f t="shared" si="2"/>
        <v>425.47499999999997</v>
      </c>
      <c r="H6" s="35"/>
      <c r="I6" s="35"/>
      <c r="J6" s="35"/>
      <c r="K6" s="35"/>
      <c r="L6" s="35"/>
    </row>
    <row r="7" spans="1:12" ht="15.75" customHeight="1" x14ac:dyDescent="0.2">
      <c r="A7" s="18" t="s">
        <v>84</v>
      </c>
      <c r="B7" s="19" t="s">
        <v>89</v>
      </c>
      <c r="C7" s="20">
        <v>48</v>
      </c>
      <c r="D7" s="21">
        <v>27273</v>
      </c>
      <c r="E7" s="36">
        <f t="shared" si="0"/>
        <v>25363.89</v>
      </c>
      <c r="F7" s="36">
        <f t="shared" si="1"/>
        <v>2272.75</v>
      </c>
      <c r="G7" s="36">
        <f t="shared" si="2"/>
        <v>2113.6574999999998</v>
      </c>
      <c r="H7" s="35"/>
      <c r="I7" s="35"/>
      <c r="J7" s="35"/>
      <c r="K7" s="35"/>
      <c r="L7" s="35"/>
    </row>
    <row r="8" spans="1:12" ht="15.75" customHeight="1" x14ac:dyDescent="0.2">
      <c r="A8" s="18" t="s">
        <v>83</v>
      </c>
      <c r="B8" s="19" t="s">
        <v>90</v>
      </c>
      <c r="C8" s="20">
        <v>13.1</v>
      </c>
      <c r="D8" s="21">
        <v>5490</v>
      </c>
      <c r="E8" s="36">
        <f t="shared" si="0"/>
        <v>5105.7</v>
      </c>
      <c r="F8" s="36">
        <f t="shared" si="1"/>
        <v>457.5</v>
      </c>
      <c r="G8" s="36">
        <f t="shared" si="2"/>
        <v>425.47499999999997</v>
      </c>
      <c r="H8" s="35"/>
      <c r="I8" s="35"/>
      <c r="J8" s="35"/>
      <c r="K8" s="35"/>
      <c r="L8" s="35"/>
    </row>
    <row r="9" spans="1:12" ht="15.75" customHeight="1" x14ac:dyDescent="0.2">
      <c r="A9" s="18" t="s">
        <v>85</v>
      </c>
      <c r="B9" s="19" t="s">
        <v>91</v>
      </c>
      <c r="C9" s="20">
        <v>96.5</v>
      </c>
      <c r="D9" s="21">
        <v>31980</v>
      </c>
      <c r="E9" s="36">
        <f t="shared" si="0"/>
        <v>29741.4</v>
      </c>
      <c r="F9" s="36">
        <f t="shared" si="1"/>
        <v>2665</v>
      </c>
      <c r="G9" s="36">
        <f t="shared" si="2"/>
        <v>2478.4500000000003</v>
      </c>
      <c r="H9" s="35"/>
      <c r="I9" s="35"/>
      <c r="J9" s="35"/>
      <c r="K9" s="35"/>
      <c r="L9" s="35"/>
    </row>
    <row r="10" spans="1:12" ht="15.75" customHeight="1" x14ac:dyDescent="0.2">
      <c r="A10" s="18" t="s">
        <v>94</v>
      </c>
      <c r="B10" s="19" t="s">
        <v>96</v>
      </c>
      <c r="C10" s="20">
        <v>79.5</v>
      </c>
      <c r="D10" s="21">
        <v>27900</v>
      </c>
      <c r="E10" s="36">
        <f t="shared" si="0"/>
        <v>25947</v>
      </c>
      <c r="F10" s="36">
        <f t="shared" si="1"/>
        <v>2325</v>
      </c>
      <c r="G10" s="36">
        <f t="shared" si="2"/>
        <v>2162.25</v>
      </c>
      <c r="H10" s="35"/>
      <c r="I10" s="35"/>
      <c r="J10" s="35"/>
      <c r="K10" s="35"/>
      <c r="L10" s="35"/>
    </row>
    <row r="11" spans="1:12" ht="15.75" customHeight="1" x14ac:dyDescent="0.2">
      <c r="A11" s="18" t="s">
        <v>85</v>
      </c>
      <c r="B11" s="19" t="s">
        <v>97</v>
      </c>
      <c r="C11" s="20">
        <v>14.3</v>
      </c>
      <c r="D11" s="21">
        <v>6151</v>
      </c>
      <c r="E11" s="36">
        <f t="shared" si="0"/>
        <v>5720.43</v>
      </c>
      <c r="F11" s="36">
        <f t="shared" si="1"/>
        <v>512.58333333333337</v>
      </c>
      <c r="G11" s="36">
        <f t="shared" si="2"/>
        <v>476.70250000000004</v>
      </c>
      <c r="H11" s="35"/>
      <c r="I11" s="35"/>
      <c r="J11" s="35"/>
      <c r="K11" s="35"/>
      <c r="L11" s="35"/>
    </row>
    <row r="12" spans="1:12" ht="15.75" customHeight="1" x14ac:dyDescent="0.2">
      <c r="A12" s="18" t="s">
        <v>95</v>
      </c>
      <c r="B12" s="19" t="s">
        <v>98</v>
      </c>
      <c r="C12" s="20">
        <v>200</v>
      </c>
      <c r="D12" s="21">
        <v>61200</v>
      </c>
      <c r="E12" s="36">
        <f t="shared" si="0"/>
        <v>56916</v>
      </c>
      <c r="F12" s="36">
        <f t="shared" si="1"/>
        <v>5100</v>
      </c>
      <c r="G12" s="36">
        <f t="shared" si="2"/>
        <v>4743</v>
      </c>
      <c r="H12" s="35"/>
      <c r="I12" s="35"/>
      <c r="J12" s="35"/>
      <c r="K12" s="35"/>
      <c r="L12" s="35"/>
    </row>
    <row r="13" spans="1:12" ht="15.75" customHeight="1" x14ac:dyDescent="0.2">
      <c r="A13" s="18" t="s">
        <v>95</v>
      </c>
      <c r="B13" s="19" t="s">
        <v>99</v>
      </c>
      <c r="C13" s="20">
        <v>98</v>
      </c>
      <c r="D13" s="21">
        <v>39033</v>
      </c>
      <c r="E13" s="36">
        <f t="shared" si="0"/>
        <v>36300.69</v>
      </c>
      <c r="F13" s="36">
        <f t="shared" si="1"/>
        <v>3252.75</v>
      </c>
      <c r="G13" s="36">
        <f t="shared" si="2"/>
        <v>3025.0575000000003</v>
      </c>
      <c r="H13" s="35"/>
      <c r="I13" s="35"/>
      <c r="J13" s="35"/>
      <c r="K13" s="35"/>
      <c r="L13" s="35"/>
    </row>
    <row r="14" spans="1:12" ht="15.75" customHeight="1" x14ac:dyDescent="0.2">
      <c r="A14" s="18" t="s">
        <v>84</v>
      </c>
      <c r="B14" s="19" t="s">
        <v>100</v>
      </c>
      <c r="C14" s="20">
        <v>21</v>
      </c>
      <c r="D14" s="21">
        <v>10477</v>
      </c>
      <c r="E14" s="36">
        <f t="shared" si="0"/>
        <v>9743.61</v>
      </c>
      <c r="F14" s="36">
        <f t="shared" si="1"/>
        <v>873.08333333333337</v>
      </c>
      <c r="G14" s="36">
        <f t="shared" si="2"/>
        <v>811.96750000000009</v>
      </c>
      <c r="H14" s="35"/>
      <c r="I14" s="35"/>
      <c r="J14" s="35"/>
      <c r="K14" s="35"/>
      <c r="L14" s="35"/>
    </row>
    <row r="15" spans="1:12" ht="15.75" customHeight="1" x14ac:dyDescent="0.2">
      <c r="A15" s="18" t="s">
        <v>85</v>
      </c>
      <c r="B15" s="19" t="s">
        <v>101</v>
      </c>
      <c r="C15" s="20">
        <v>11.6</v>
      </c>
      <c r="D15" s="21">
        <v>5422</v>
      </c>
      <c r="E15" s="36">
        <f t="shared" si="0"/>
        <v>5042.46</v>
      </c>
      <c r="F15" s="36">
        <f t="shared" si="1"/>
        <v>451.83333333333331</v>
      </c>
      <c r="G15" s="36">
        <f t="shared" si="2"/>
        <v>420.20499999999998</v>
      </c>
      <c r="H15" s="35"/>
      <c r="I15" s="35"/>
      <c r="J15" s="35"/>
      <c r="K15" s="35"/>
      <c r="L15" s="35"/>
    </row>
    <row r="16" spans="1:12" ht="15.75" customHeight="1" x14ac:dyDescent="0.2">
      <c r="A16" s="18" t="s">
        <v>84</v>
      </c>
      <c r="B16" s="19" t="s">
        <v>102</v>
      </c>
      <c r="C16" s="20">
        <v>21</v>
      </c>
      <c r="D16" s="21">
        <v>13266</v>
      </c>
      <c r="E16" s="36">
        <f t="shared" si="0"/>
        <v>12337.38</v>
      </c>
      <c r="F16" s="36">
        <f t="shared" si="1"/>
        <v>1105.5</v>
      </c>
      <c r="G16" s="36">
        <f t="shared" si="2"/>
        <v>1028.115</v>
      </c>
      <c r="H16" s="35"/>
      <c r="I16" s="35"/>
      <c r="J16" s="35"/>
      <c r="K16" s="35"/>
      <c r="L16" s="35"/>
    </row>
    <row r="17" spans="1:12" ht="15.75" customHeight="1" x14ac:dyDescent="0.2">
      <c r="A17" s="18" t="s">
        <v>84</v>
      </c>
      <c r="B17" s="19" t="s">
        <v>103</v>
      </c>
      <c r="C17" s="20">
        <v>10.9</v>
      </c>
      <c r="D17" s="21">
        <v>7589</v>
      </c>
      <c r="E17" s="36">
        <f t="shared" si="0"/>
        <v>7057.77</v>
      </c>
      <c r="F17" s="36">
        <f t="shared" si="1"/>
        <v>632.41666666666663</v>
      </c>
      <c r="G17" s="36">
        <f t="shared" si="2"/>
        <v>588.14750000000004</v>
      </c>
      <c r="H17" s="35"/>
      <c r="I17" s="35"/>
      <c r="J17" s="35"/>
      <c r="K17" s="35"/>
      <c r="L17" s="35"/>
    </row>
    <row r="18" spans="1:12" ht="15.75" customHeight="1" x14ac:dyDescent="0.2">
      <c r="A18" s="18" t="s">
        <v>85</v>
      </c>
      <c r="B18" s="19" t="s">
        <v>104</v>
      </c>
      <c r="C18" s="20">
        <v>14</v>
      </c>
      <c r="D18" s="21">
        <v>7361</v>
      </c>
      <c r="E18" s="36">
        <f t="shared" si="0"/>
        <v>6845.73</v>
      </c>
      <c r="F18" s="36">
        <f t="shared" si="1"/>
        <v>613.41666666666663</v>
      </c>
      <c r="G18" s="36">
        <f t="shared" si="2"/>
        <v>570.47749999999996</v>
      </c>
      <c r="H18" s="35"/>
      <c r="I18" s="35"/>
      <c r="J18" s="35"/>
      <c r="K18" s="35"/>
      <c r="L18" s="35"/>
    </row>
    <row r="19" spans="1:12" ht="15.75" customHeight="1" x14ac:dyDescent="0.2">
      <c r="A19" s="24"/>
      <c r="B19" s="30"/>
      <c r="C19" s="24"/>
      <c r="D19" s="24"/>
      <c r="E19" s="24"/>
      <c r="F19" s="24"/>
      <c r="G19" s="24"/>
      <c r="H19" s="33"/>
      <c r="I19" s="33"/>
      <c r="J19" s="33"/>
      <c r="K19" s="33"/>
      <c r="L19" s="33"/>
    </row>
    <row r="20" spans="1:12" ht="15.75" customHeight="1" x14ac:dyDescent="0.2">
      <c r="A20" s="24"/>
      <c r="B20" s="29" t="s">
        <v>105</v>
      </c>
      <c r="C20" s="28" t="s">
        <v>109</v>
      </c>
      <c r="D20" s="21">
        <f>SUM(D4:D18)</f>
        <v>716532</v>
      </c>
      <c r="E20" s="21">
        <f>SUM(E4:E18)</f>
        <v>666374.76</v>
      </c>
      <c r="F20" s="21">
        <f t="shared" ref="F20:G20" si="3">SUM(F4:F18)</f>
        <v>59711</v>
      </c>
      <c r="G20" s="21">
        <f t="shared" si="3"/>
        <v>55531.229999999996</v>
      </c>
      <c r="H20" s="24"/>
      <c r="I20" s="24"/>
      <c r="J20" s="24"/>
      <c r="K20" s="24"/>
      <c r="L20" s="24"/>
    </row>
    <row r="21" spans="1:12" ht="15.75" customHeight="1" x14ac:dyDescent="0.2">
      <c r="A21" s="24"/>
      <c r="B21" s="29" t="s">
        <v>106</v>
      </c>
      <c r="C21" s="28" t="s">
        <v>106</v>
      </c>
      <c r="D21" s="21">
        <f>AVERAGE(D4:D18)</f>
        <v>47768.800000000003</v>
      </c>
      <c r="E21" s="21">
        <f t="shared" ref="E21:G21" si="4">AVERAGE(E4:E18)</f>
        <v>44424.984000000004</v>
      </c>
      <c r="F21" s="21">
        <f t="shared" si="4"/>
        <v>3980.7333333333331</v>
      </c>
      <c r="G21" s="21">
        <f t="shared" si="4"/>
        <v>3702.0819999999999</v>
      </c>
      <c r="H21" s="24"/>
      <c r="I21" s="24"/>
      <c r="J21" s="24"/>
      <c r="K21" s="24"/>
      <c r="L21" s="24"/>
    </row>
    <row r="22" spans="1:12" ht="15.75" customHeight="1" x14ac:dyDescent="0.2">
      <c r="A22" s="24"/>
      <c r="B22" s="29" t="s">
        <v>107</v>
      </c>
      <c r="C22" s="28" t="s">
        <v>110</v>
      </c>
      <c r="D22" s="21">
        <f>LARGE(D4:D18,1)</f>
        <v>379000</v>
      </c>
      <c r="E22" s="21">
        <f t="shared" ref="E22:G22" si="5">LARGE(E4:E18,1)</f>
        <v>352470</v>
      </c>
      <c r="F22" s="21">
        <f t="shared" si="5"/>
        <v>31583.333333333332</v>
      </c>
      <c r="G22" s="21">
        <f t="shared" si="5"/>
        <v>29372.5</v>
      </c>
      <c r="H22" s="24"/>
      <c r="I22" s="24"/>
      <c r="J22" s="24"/>
      <c r="K22" s="24"/>
      <c r="L22" s="24"/>
    </row>
    <row r="23" spans="1:12" ht="15.75" customHeight="1" x14ac:dyDescent="0.2">
      <c r="A23" s="24"/>
      <c r="B23" s="29" t="s">
        <v>108</v>
      </c>
      <c r="C23" s="28" t="s">
        <v>111</v>
      </c>
      <c r="D23" s="21">
        <f>SMALL(D4:D18,1)</f>
        <v>5422</v>
      </c>
      <c r="E23" s="21">
        <f t="shared" ref="E23:G23" si="6">SMALL(E4:E18,1)</f>
        <v>5042.46</v>
      </c>
      <c r="F23" s="21">
        <f t="shared" si="6"/>
        <v>451.83333333333331</v>
      </c>
      <c r="G23" s="21">
        <f t="shared" si="6"/>
        <v>420.20499999999998</v>
      </c>
      <c r="H23" s="24"/>
      <c r="I23" s="24"/>
      <c r="J23" s="24"/>
      <c r="K23" s="24"/>
      <c r="L23" s="24"/>
    </row>
    <row r="24" spans="1:12" ht="15.75" customHeight="1" x14ac:dyDescent="0.2">
      <c r="A24" s="24"/>
      <c r="B24" s="30"/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14.25" customHeight="1" x14ac:dyDescent="0.2">
      <c r="A25" s="24"/>
      <c r="B25" s="30"/>
      <c r="C25" s="24"/>
      <c r="D25" s="24"/>
      <c r="E25" s="24"/>
      <c r="F25" s="24"/>
      <c r="G25" s="24"/>
      <c r="H25" s="24"/>
      <c r="I25" s="24"/>
      <c r="J25" s="24"/>
      <c r="K25" s="24"/>
      <c r="L25" s="24"/>
    </row>
    <row r="26" spans="1:12" ht="47.25" customHeight="1" x14ac:dyDescent="0.2">
      <c r="A26" s="24"/>
      <c r="B26" s="26" t="s">
        <v>112</v>
      </c>
      <c r="C26" s="26"/>
      <c r="D26" s="27" t="s">
        <v>113</v>
      </c>
      <c r="E26" s="24"/>
      <c r="F26" s="26" t="s">
        <v>116</v>
      </c>
      <c r="G26" s="26"/>
      <c r="H26" s="47" t="s">
        <v>85</v>
      </c>
      <c r="I26" s="24"/>
      <c r="J26" s="24"/>
      <c r="K26" s="24"/>
      <c r="L26" s="24"/>
    </row>
    <row r="27" spans="1:12" ht="15.75" customHeight="1" x14ac:dyDescent="0.2">
      <c r="A27" s="24"/>
      <c r="B27" s="19" t="s">
        <v>82</v>
      </c>
      <c r="C27" s="20">
        <f>COUNTIF(A$4:A$18,"BMW")</f>
        <v>2</v>
      </c>
      <c r="D27" s="20"/>
      <c r="E27" s="24"/>
      <c r="F27" s="31">
        <f>COUNTIF(A$4:A$18,H26)</f>
        <v>4</v>
      </c>
      <c r="G27" s="32"/>
      <c r="H27" s="48"/>
      <c r="I27" s="24"/>
      <c r="J27" s="24"/>
      <c r="K27" s="24"/>
      <c r="L27" s="24"/>
    </row>
    <row r="28" spans="1:12" ht="15.75" customHeight="1" x14ac:dyDescent="0.2">
      <c r="A28" s="24"/>
      <c r="B28" s="19" t="s">
        <v>83</v>
      </c>
      <c r="C28" s="20">
        <f>COUNTIF(A$4:A$18,"Dafra")</f>
        <v>2</v>
      </c>
      <c r="D28" s="20"/>
      <c r="E28" s="24"/>
      <c r="F28" s="38" t="s">
        <v>117</v>
      </c>
      <c r="G28" s="39"/>
      <c r="H28" s="40"/>
      <c r="I28" s="24"/>
      <c r="J28" s="24"/>
      <c r="K28" s="24"/>
      <c r="L28" s="24"/>
    </row>
    <row r="29" spans="1:12" ht="15.75" customHeight="1" x14ac:dyDescent="0.2">
      <c r="A29" s="24"/>
      <c r="B29" s="19" t="s">
        <v>85</v>
      </c>
      <c r="C29" s="20">
        <f>COUNTIF(A$4:A$18,"Honda")</f>
        <v>4</v>
      </c>
      <c r="D29" s="20"/>
      <c r="E29" s="24"/>
      <c r="F29" s="44"/>
      <c r="G29" s="45">
        <f ca="1">SUMIF(A4:D18,H26,D4:D18)</f>
        <v>50914</v>
      </c>
      <c r="H29" s="46"/>
      <c r="I29" s="24"/>
      <c r="J29" s="24"/>
      <c r="K29" s="24"/>
      <c r="L29" s="24"/>
    </row>
    <row r="30" spans="1:12" ht="15.75" customHeight="1" x14ac:dyDescent="0.2">
      <c r="A30" s="24"/>
      <c r="B30" s="19" t="s">
        <v>94</v>
      </c>
      <c r="C30" s="20">
        <f>COUNTIF(A$4:A$18,"Kasinski")</f>
        <v>1</v>
      </c>
      <c r="D30" s="20"/>
      <c r="E30" s="24"/>
      <c r="F30" s="37" t="s">
        <v>118</v>
      </c>
      <c r="G30" s="37"/>
      <c r="H30" s="37"/>
      <c r="I30" s="24"/>
      <c r="J30" s="24"/>
      <c r="K30" s="24"/>
      <c r="L30" s="24"/>
    </row>
    <row r="31" spans="1:12" ht="15.75" customHeight="1" x14ac:dyDescent="0.2">
      <c r="A31" s="24"/>
      <c r="B31" s="19" t="s">
        <v>95</v>
      </c>
      <c r="C31" s="20">
        <f>COUNTIF(A$4:A$18,"Suzuki")</f>
        <v>2</v>
      </c>
      <c r="D31" s="20"/>
      <c r="E31" s="24"/>
      <c r="F31" s="41"/>
      <c r="G31" s="43">
        <f>COUNTIFS(A4:A18,H26,C4:C18,"&lt;90")</f>
        <v>3</v>
      </c>
      <c r="H31" s="42"/>
      <c r="I31" s="24"/>
      <c r="J31" s="24"/>
      <c r="K31" s="24"/>
      <c r="L31" s="24"/>
    </row>
    <row r="32" spans="1:12" ht="15.75" customHeight="1" x14ac:dyDescent="0.2">
      <c r="A32" s="24"/>
      <c r="B32" s="19" t="s">
        <v>84</v>
      </c>
      <c r="C32" s="20">
        <f>COUNTIF(A$4:A$18,"Yamaha")</f>
        <v>4</v>
      </c>
      <c r="D32" s="20"/>
      <c r="E32" s="24"/>
      <c r="F32" s="37" t="s">
        <v>119</v>
      </c>
      <c r="G32" s="37"/>
      <c r="H32" s="37"/>
      <c r="I32" s="24"/>
      <c r="J32" s="24"/>
      <c r="K32" s="24"/>
      <c r="L32" s="24"/>
    </row>
    <row r="33" spans="1:12" ht="15.75" customHeight="1" x14ac:dyDescent="0.2">
      <c r="A33" s="24"/>
      <c r="B33" s="30"/>
      <c r="C33" s="24"/>
      <c r="D33" s="24"/>
      <c r="E33" s="24"/>
      <c r="F33" s="41"/>
      <c r="G33" s="43">
        <f>COUNTIFS(A4:A18,H26,C4:C18,"&gt;=90")</f>
        <v>1</v>
      </c>
      <c r="H33" s="42"/>
      <c r="I33" s="24"/>
      <c r="J33" s="24"/>
      <c r="K33" s="24"/>
      <c r="L33" s="24"/>
    </row>
    <row r="34" spans="1:12" ht="15.75" customHeight="1" x14ac:dyDescent="0.2">
      <c r="A34" s="24"/>
      <c r="B34" s="30"/>
      <c r="C34" s="24"/>
      <c r="D34" s="24"/>
      <c r="E34" s="24"/>
      <c r="F34" s="24"/>
      <c r="G34" s="24"/>
      <c r="H34" s="24"/>
      <c r="I34" s="24"/>
      <c r="J34" s="24"/>
      <c r="K34" s="24"/>
      <c r="L34" s="24"/>
    </row>
    <row r="35" spans="1:12" ht="15.75" customHeight="1" x14ac:dyDescent="0.2">
      <c r="A35" s="24"/>
      <c r="B35" s="30"/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6" spans="1:12" ht="15.75" customHeight="1" x14ac:dyDescent="0.2">
      <c r="A36" s="24"/>
      <c r="B36" s="30"/>
      <c r="C36" s="24"/>
      <c r="D36" s="24"/>
      <c r="E36" s="24"/>
      <c r="F36" s="24"/>
      <c r="G36" s="24"/>
      <c r="H36" s="24"/>
      <c r="I36" s="24"/>
      <c r="J36" s="24"/>
      <c r="K36" s="24"/>
      <c r="L36" s="24"/>
    </row>
  </sheetData>
  <mergeCells count="7">
    <mergeCell ref="F28:H28"/>
    <mergeCell ref="H26:H27"/>
    <mergeCell ref="B26:C26"/>
    <mergeCell ref="F26:G26"/>
    <mergeCell ref="F27:G27"/>
    <mergeCell ref="F30:H30"/>
    <mergeCell ref="F32:H3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 1</vt:lpstr>
      <vt:lpstr>Exerc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gustavo_assis</cp:lastModifiedBy>
  <dcterms:modified xsi:type="dcterms:W3CDTF">2019-05-10T00:34:18Z</dcterms:modified>
</cp:coreProperties>
</file>