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ustavo_assis\Downloads\"/>
    </mc:Choice>
  </mc:AlternateContent>
  <bookViews>
    <workbookView xWindow="0" yWindow="0" windowWidth="20490" windowHeight="7695" activeTab="1"/>
  </bookViews>
  <sheets>
    <sheet name="Cortes" sheetId="2" r:id="rId1"/>
    <sheet name="Cálculos" sheetId="1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E3" i="1"/>
  <c r="E4" i="1"/>
  <c r="E5" i="1"/>
  <c r="E6" i="1"/>
  <c r="E7" i="1"/>
  <c r="E8" i="1"/>
  <c r="E9" i="1"/>
  <c r="E10" i="1"/>
  <c r="E11" i="1"/>
  <c r="L3" i="1"/>
  <c r="L4" i="1"/>
  <c r="L5" i="1"/>
  <c r="L6" i="1"/>
  <c r="L7" i="1"/>
  <c r="L8" i="1"/>
  <c r="L9" i="1"/>
  <c r="L10" i="1"/>
  <c r="L11" i="1"/>
  <c r="F17" i="1"/>
  <c r="F23" i="1" l="1"/>
  <c r="F22" i="1"/>
  <c r="F20" i="1"/>
  <c r="F21" i="1"/>
  <c r="F16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  <c r="I4" i="1"/>
  <c r="I5" i="1"/>
  <c r="I6" i="1"/>
  <c r="I7" i="1"/>
  <c r="I8" i="1"/>
  <c r="I9" i="1"/>
  <c r="I10" i="1"/>
  <c r="I11" i="1"/>
  <c r="I3" i="1"/>
  <c r="H4" i="1"/>
  <c r="F15" i="1"/>
  <c r="H11" i="1"/>
  <c r="H10" i="1"/>
  <c r="H9" i="1"/>
  <c r="H8" i="1"/>
  <c r="H7" i="1"/>
  <c r="H6" i="1"/>
  <c r="H5" i="1"/>
  <c r="H3" i="2"/>
  <c r="H4" i="2"/>
  <c r="H5" i="2"/>
  <c r="H6" i="2"/>
  <c r="H7" i="2"/>
  <c r="H8" i="2"/>
  <c r="H9" i="2"/>
  <c r="H10" i="2"/>
  <c r="H2" i="2"/>
  <c r="A24" i="1"/>
  <c r="R24" i="1" s="1"/>
  <c r="A25" i="1"/>
  <c r="A26" i="1"/>
  <c r="A27" i="1"/>
  <c r="A28" i="1"/>
  <c r="A29" i="1"/>
  <c r="A30" i="1"/>
  <c r="A31" i="1"/>
  <c r="A32" i="1"/>
  <c r="H32" i="1" s="1"/>
  <c r="H24" i="1" l="1"/>
  <c r="I24" i="1"/>
  <c r="J24" i="1"/>
  <c r="K24" i="1"/>
  <c r="L24" i="1"/>
  <c r="M24" i="1"/>
  <c r="N24" i="1"/>
  <c r="O24" i="1"/>
  <c r="P24" i="1"/>
  <c r="S24" i="1" s="1"/>
  <c r="Q24" i="1"/>
  <c r="H31" i="1"/>
  <c r="I31" i="1"/>
  <c r="J31" i="1"/>
  <c r="H30" i="1"/>
  <c r="I30" i="1"/>
  <c r="J30" i="1"/>
  <c r="K30" i="1"/>
  <c r="L30" i="1"/>
  <c r="M30" i="1"/>
  <c r="N30" i="1"/>
  <c r="O30" i="1"/>
  <c r="P30" i="1"/>
  <c r="S30" i="1" s="1"/>
  <c r="Q30" i="1"/>
  <c r="R30" i="1"/>
  <c r="H29" i="1"/>
  <c r="I29" i="1"/>
  <c r="J29" i="1"/>
  <c r="K29" i="1"/>
  <c r="L29" i="1"/>
  <c r="M29" i="1"/>
  <c r="N29" i="1"/>
  <c r="O29" i="1"/>
  <c r="P29" i="1"/>
  <c r="S29" i="1" s="1"/>
  <c r="Q29" i="1"/>
  <c r="R29" i="1"/>
  <c r="H28" i="1"/>
  <c r="I28" i="1"/>
  <c r="J28" i="1"/>
  <c r="K28" i="1"/>
  <c r="L28" i="1"/>
  <c r="M28" i="1"/>
  <c r="N28" i="1"/>
  <c r="O28" i="1"/>
  <c r="P28" i="1"/>
  <c r="S28" i="1" s="1"/>
  <c r="Q28" i="1"/>
  <c r="R28" i="1"/>
  <c r="H27" i="1"/>
  <c r="I27" i="1"/>
  <c r="J27" i="1"/>
  <c r="K27" i="1"/>
  <c r="L27" i="1"/>
  <c r="M27" i="1"/>
  <c r="N27" i="1"/>
  <c r="O27" i="1"/>
  <c r="P27" i="1"/>
  <c r="S27" i="1" s="1"/>
  <c r="Q27" i="1"/>
  <c r="R27" i="1"/>
  <c r="H26" i="1"/>
  <c r="I26" i="1"/>
  <c r="J26" i="1"/>
  <c r="K26" i="1"/>
  <c r="L26" i="1"/>
  <c r="M26" i="1"/>
  <c r="N26" i="1"/>
  <c r="O26" i="1"/>
  <c r="P26" i="1"/>
  <c r="S26" i="1" s="1"/>
  <c r="Q26" i="1"/>
  <c r="R26" i="1"/>
  <c r="H25" i="1"/>
  <c r="I25" i="1"/>
  <c r="J25" i="1"/>
  <c r="K25" i="1"/>
  <c r="L25" i="1"/>
  <c r="M25" i="1"/>
  <c r="N25" i="1"/>
  <c r="O25" i="1"/>
  <c r="P25" i="1"/>
  <c r="S25" i="1" s="1"/>
  <c r="Q25" i="1"/>
  <c r="R25" i="1"/>
  <c r="R32" i="1"/>
  <c r="Q32" i="1"/>
  <c r="P32" i="1"/>
  <c r="S32" i="1" s="1"/>
  <c r="O32" i="1"/>
  <c r="N32" i="1"/>
  <c r="M32" i="1"/>
  <c r="L32" i="1"/>
  <c r="K32" i="1"/>
  <c r="J32" i="1"/>
  <c r="I32" i="1"/>
  <c r="B32" i="1" s="1"/>
  <c r="D32" i="1" s="1"/>
  <c r="F32" i="1" s="1"/>
  <c r="R31" i="1"/>
  <c r="Q31" i="1"/>
  <c r="P31" i="1"/>
  <c r="S31" i="1" s="1"/>
  <c r="O31" i="1"/>
  <c r="N31" i="1"/>
  <c r="M31" i="1"/>
  <c r="L31" i="1"/>
  <c r="K31" i="1"/>
  <c r="B24" i="1" l="1"/>
  <c r="D24" i="1" s="1"/>
  <c r="B25" i="1"/>
  <c r="D25" i="1" s="1"/>
  <c r="F25" i="1" s="1"/>
  <c r="B26" i="1"/>
  <c r="D26" i="1" s="1"/>
  <c r="F26" i="1" s="1"/>
  <c r="B27" i="1"/>
  <c r="D27" i="1" s="1"/>
  <c r="F27" i="1" s="1"/>
  <c r="B28" i="1"/>
  <c r="D28" i="1" s="1"/>
  <c r="F28" i="1" s="1"/>
  <c r="B29" i="1"/>
  <c r="D29" i="1" s="1"/>
  <c r="F29" i="1" s="1"/>
  <c r="B30" i="1"/>
  <c r="D30" i="1" s="1"/>
  <c r="F30" i="1" s="1"/>
  <c r="B31" i="1"/>
  <c r="D31" i="1" s="1"/>
  <c r="F31" i="1" s="1"/>
  <c r="C32" i="1" l="1"/>
  <c r="E32" i="1" l="1"/>
  <c r="C25" i="1"/>
  <c r="C26" i="1"/>
  <c r="C27" i="1"/>
  <c r="C28" i="1"/>
  <c r="C29" i="1"/>
  <c r="C30" i="1"/>
  <c r="C31" i="1"/>
  <c r="G32" i="1" l="1"/>
  <c r="C11" i="1" s="1"/>
  <c r="E31" i="1"/>
  <c r="E30" i="1"/>
  <c r="E29" i="1"/>
  <c r="E28" i="1"/>
  <c r="E27" i="1"/>
  <c r="E26" i="1"/>
  <c r="E25" i="1"/>
  <c r="F24" i="1"/>
  <c r="C24" i="1" l="1"/>
  <c r="E24" i="1" s="1"/>
  <c r="G24" i="1" s="1"/>
  <c r="C3" i="1" s="1"/>
  <c r="G25" i="1"/>
  <c r="C4" i="1" s="1"/>
  <c r="G26" i="1"/>
  <c r="C5" i="1" s="1"/>
  <c r="G27" i="1"/>
  <c r="C6" i="1" s="1"/>
  <c r="G28" i="1"/>
  <c r="C7" i="1" s="1"/>
  <c r="G29" i="1"/>
  <c r="C8" i="1" s="1"/>
  <c r="G30" i="1"/>
  <c r="C9" i="1" s="1"/>
  <c r="G31" i="1"/>
  <c r="C10" i="1" s="1"/>
</calcChain>
</file>

<file path=xl/sharedStrings.xml><?xml version="1.0" encoding="utf-8"?>
<sst xmlns="http://schemas.openxmlformats.org/spreadsheetml/2006/main" count="78" uniqueCount="68">
  <si>
    <t>Cadastro de alunos ENEM</t>
  </si>
  <si>
    <t>Escolha</t>
  </si>
  <si>
    <t>Nome do Aluno</t>
  </si>
  <si>
    <t>CPF</t>
  </si>
  <si>
    <t>CPF Válido</t>
  </si>
  <si>
    <t>Nascimento</t>
  </si>
  <si>
    <t>Idade</t>
  </si>
  <si>
    <t>UF</t>
  </si>
  <si>
    <t>Nota ENEM</t>
  </si>
  <si>
    <t>Curso Pretendido</t>
  </si>
  <si>
    <t>Apto SISU</t>
  </si>
  <si>
    <t>Apto PROUNI</t>
  </si>
  <si>
    <t>Apto FIES</t>
  </si>
  <si>
    <t>SC</t>
  </si>
  <si>
    <t>João Pedro</t>
  </si>
  <si>
    <t>PR</t>
  </si>
  <si>
    <t>Carlos Antunes</t>
  </si>
  <si>
    <t>SP</t>
  </si>
  <si>
    <t>Maria Santos</t>
  </si>
  <si>
    <t>MS</t>
  </si>
  <si>
    <t>Flavia Rosa</t>
  </si>
  <si>
    <t>MG</t>
  </si>
  <si>
    <t>Claudia Milena</t>
  </si>
  <si>
    <t>RJ</t>
  </si>
  <si>
    <t>Eduardo Campos</t>
  </si>
  <si>
    <t>Cintia Nunes</t>
  </si>
  <si>
    <t>Paulo Martins</t>
  </si>
  <si>
    <t>Eliseu Fontana</t>
  </si>
  <si>
    <t>Total de alunos aptos no SISU</t>
  </si>
  <si>
    <t>Total de alunos aptos no PROUNI</t>
  </si>
  <si>
    <t>Total de alunos aptos no FIES</t>
  </si>
  <si>
    <t>Total de alunos aptos em TODOS processos seletivos</t>
  </si>
  <si>
    <t>Total de alunos aptos em NENHUM processo seletivo</t>
  </si>
  <si>
    <t>Total de alunos menores de 19 anos aptos no PROUNI</t>
  </si>
  <si>
    <t>Total de alunos maiores de 18 anos aptos no FIES que moram em SC</t>
  </si>
  <si>
    <t>Quantidade de alunos aptos no PROUNI, maiores de 20 anos que não moram em SC</t>
  </si>
  <si>
    <t>Curso</t>
  </si>
  <si>
    <t>Nota Mínima SISU</t>
  </si>
  <si>
    <t>Nota Máxima SISU</t>
  </si>
  <si>
    <t>Nonta Minima ProUni</t>
  </si>
  <si>
    <t>Nota Máxima Prouni</t>
  </si>
  <si>
    <t>Nota Minima FIES</t>
  </si>
  <si>
    <t>Nota Maxima FIES</t>
  </si>
  <si>
    <t>Administração</t>
  </si>
  <si>
    <t>Arquitetura e Urbanismo</t>
  </si>
  <si>
    <t>Ciências Contábeis</t>
  </si>
  <si>
    <t>Direito</t>
  </si>
  <si>
    <t>Educação Física</t>
  </si>
  <si>
    <t>Enfermagem</t>
  </si>
  <si>
    <t>Engenharia Civil</t>
  </si>
  <si>
    <t>Engenharia de Produção</t>
  </si>
  <si>
    <t>Engenharia Elétrica</t>
  </si>
  <si>
    <t>Farmácia</t>
  </si>
  <si>
    <t>Fisioterapia</t>
  </si>
  <si>
    <t>Gestão de Recursos Humanos</t>
  </si>
  <si>
    <t>História</t>
  </si>
  <si>
    <t>Jornalismo</t>
  </si>
  <si>
    <t>Logística</t>
  </si>
  <si>
    <t>Medicina</t>
  </si>
  <si>
    <t>Nutrição</t>
  </si>
  <si>
    <t>Odontologia</t>
  </si>
  <si>
    <t>Pedagogia</t>
  </si>
  <si>
    <t>Psicologia</t>
  </si>
  <si>
    <t>Fonte: https://www.guiadacarreira.com.br/educacao/enem/notas-de-corte-enem-2018/</t>
  </si>
  <si>
    <t>ES</t>
  </si>
  <si>
    <t>CE</t>
  </si>
  <si>
    <t>PE</t>
  </si>
  <si>
    <t>Total de alunos maiores de 19 anos aptos no SISU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</si>
</sst>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##&quot;.&quot;###&quot;.&quot;###\-##"/>
  </numFmts>
  <fonts count="7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3" fillId="4" borderId="0" xfId="0" applyFont="1" applyFill="1" applyAlignment="1">
      <alignment horizontal="center"/>
    </xf>
    <xf numFmtId="0" fontId="5" fillId="5" borderId="5" xfId="0" applyFont="1" applyFill="1" applyBorder="1" applyAlignment="1">
      <alignment horizontal="center" vertical="center" wrapText="1"/>
    </xf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164" fontId="0" fillId="2" borderId="0" xfId="0" applyNumberFormat="1" applyFill="1"/>
    <xf numFmtId="0" fontId="4" fillId="8" borderId="0" xfId="0" applyFont="1" applyFill="1"/>
    <xf numFmtId="16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4" fillId="2" borderId="0" xfId="0" applyFont="1" applyFill="1"/>
    <xf numFmtId="0" fontId="6" fillId="2" borderId="0" xfId="0" applyFont="1" applyFill="1"/>
    <xf numFmtId="0" fontId="4" fillId="2" borderId="0" xfId="0" applyFont="1" applyFill="1" applyBorder="1"/>
    <xf numFmtId="0" fontId="4" fillId="7" borderId="0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zoomScaleNormal="90" workbookViewId="0">
      <pane xSplit="1" topLeftCell="B1" activePane="topRight" state="frozen"/>
      <selection pane="topRight" activeCell="J16" sqref="J16"/>
    </sheetView>
  </sheetViews>
  <sheetFormatPr defaultRowHeight="15" x14ac:dyDescent="0.25"/>
  <cols>
    <col min="1" max="1" width="37.28515625" customWidth="1"/>
    <col min="2" max="2" width="16.85546875" bestFit="1" customWidth="1"/>
    <col min="3" max="3" width="17.42578125" bestFit="1" customWidth="1"/>
    <col min="4" max="4" width="20.28515625" bestFit="1" customWidth="1"/>
    <col min="5" max="5" width="19.28515625" bestFit="1" customWidth="1"/>
    <col min="6" max="6" width="16.5703125" bestFit="1" customWidth="1"/>
    <col min="7" max="7" width="16.85546875" bestFit="1" customWidth="1"/>
  </cols>
  <sheetData>
    <row r="1" spans="1:8" ht="30.75" customHeight="1" x14ac:dyDescent="0.25">
      <c r="A1" s="8" t="s">
        <v>36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</row>
    <row r="2" spans="1:8" x14ac:dyDescent="0.25">
      <c r="A2" s="9" t="s">
        <v>43</v>
      </c>
      <c r="B2" s="9">
        <v>680</v>
      </c>
      <c r="C2" s="9">
        <v>800</v>
      </c>
      <c r="D2" s="9">
        <v>450</v>
      </c>
      <c r="E2" s="9">
        <v>715</v>
      </c>
      <c r="F2" s="9">
        <v>450</v>
      </c>
      <c r="G2" s="9">
        <v>690</v>
      </c>
      <c r="H2" s="17">
        <f ca="1">RANDBETWEEN(1,9)</f>
        <v>6</v>
      </c>
    </row>
    <row r="3" spans="1:8" x14ac:dyDescent="0.25">
      <c r="A3" s="9" t="s">
        <v>44</v>
      </c>
      <c r="B3" s="9">
        <v>690</v>
      </c>
      <c r="C3" s="9">
        <v>840</v>
      </c>
      <c r="D3" s="9">
        <v>460</v>
      </c>
      <c r="E3" s="9">
        <v>750</v>
      </c>
      <c r="F3" s="9">
        <v>480</v>
      </c>
      <c r="G3" s="9">
        <v>750</v>
      </c>
      <c r="H3" s="17">
        <f t="shared" ref="H3:H10" ca="1" si="0">RANDBETWEEN(1,9)</f>
        <v>1</v>
      </c>
    </row>
    <row r="4" spans="1:8" x14ac:dyDescent="0.25">
      <c r="A4" s="9" t="s">
        <v>45</v>
      </c>
      <c r="B4" s="9">
        <v>600</v>
      </c>
      <c r="C4" s="9">
        <v>780</v>
      </c>
      <c r="D4" s="9">
        <v>450</v>
      </c>
      <c r="E4" s="9">
        <v>700</v>
      </c>
      <c r="F4" s="9">
        <v>450</v>
      </c>
      <c r="G4" s="9">
        <v>685</v>
      </c>
      <c r="H4" s="17">
        <f t="shared" ca="1" si="0"/>
        <v>8</v>
      </c>
    </row>
    <row r="5" spans="1:8" x14ac:dyDescent="0.25">
      <c r="A5" s="9" t="s">
        <v>46</v>
      </c>
      <c r="B5" s="9">
        <v>680</v>
      </c>
      <c r="C5" s="9">
        <v>850</v>
      </c>
      <c r="D5" s="9">
        <v>460</v>
      </c>
      <c r="E5" s="9">
        <v>740</v>
      </c>
      <c r="F5" s="9">
        <v>460</v>
      </c>
      <c r="G5" s="9">
        <v>765</v>
      </c>
      <c r="H5" s="17">
        <f t="shared" ca="1" si="0"/>
        <v>8</v>
      </c>
    </row>
    <row r="6" spans="1:8" x14ac:dyDescent="0.25">
      <c r="A6" s="9" t="s">
        <v>47</v>
      </c>
      <c r="B6" s="9">
        <v>580</v>
      </c>
      <c r="C6" s="9">
        <v>775</v>
      </c>
      <c r="D6" s="9">
        <v>450</v>
      </c>
      <c r="E6" s="9">
        <v>700</v>
      </c>
      <c r="F6" s="9">
        <v>455</v>
      </c>
      <c r="G6" s="9">
        <v>670</v>
      </c>
      <c r="H6" s="17">
        <f t="shared" ca="1" si="0"/>
        <v>1</v>
      </c>
    </row>
    <row r="7" spans="1:8" x14ac:dyDescent="0.25">
      <c r="A7" s="9" t="s">
        <v>48</v>
      </c>
      <c r="B7" s="9">
        <v>620</v>
      </c>
      <c r="C7" s="9">
        <v>850</v>
      </c>
      <c r="D7" s="9">
        <v>450</v>
      </c>
      <c r="E7" s="9">
        <v>705</v>
      </c>
      <c r="F7" s="9">
        <v>450</v>
      </c>
      <c r="G7" s="9">
        <v>670</v>
      </c>
      <c r="H7" s="17">
        <f t="shared" ca="1" si="0"/>
        <v>9</v>
      </c>
    </row>
    <row r="8" spans="1:8" x14ac:dyDescent="0.25">
      <c r="A8" s="9" t="s">
        <v>49</v>
      </c>
      <c r="B8" s="9">
        <v>680</v>
      </c>
      <c r="C8" s="9">
        <v>902</v>
      </c>
      <c r="D8" s="9">
        <v>460</v>
      </c>
      <c r="E8" s="9">
        <v>750</v>
      </c>
      <c r="F8" s="9">
        <v>450</v>
      </c>
      <c r="G8" s="9">
        <v>735</v>
      </c>
      <c r="H8" s="17">
        <f t="shared" ca="1" si="0"/>
        <v>3</v>
      </c>
    </row>
    <row r="9" spans="1:8" x14ac:dyDescent="0.25">
      <c r="A9" s="9" t="s">
        <v>50</v>
      </c>
      <c r="B9" s="9">
        <v>650</v>
      </c>
      <c r="C9" s="9">
        <v>815</v>
      </c>
      <c r="D9" s="9">
        <v>455</v>
      </c>
      <c r="E9" s="9">
        <v>730</v>
      </c>
      <c r="F9" s="9">
        <v>450</v>
      </c>
      <c r="G9" s="9">
        <v>720</v>
      </c>
      <c r="H9" s="17">
        <f t="shared" ca="1" si="0"/>
        <v>8</v>
      </c>
    </row>
    <row r="10" spans="1:8" x14ac:dyDescent="0.25">
      <c r="A10" s="9" t="s">
        <v>51</v>
      </c>
      <c r="B10" s="9">
        <v>650</v>
      </c>
      <c r="C10" s="9">
        <v>810</v>
      </c>
      <c r="D10" s="9">
        <v>460</v>
      </c>
      <c r="E10" s="9">
        <v>730</v>
      </c>
      <c r="F10" s="9">
        <v>450</v>
      </c>
      <c r="G10" s="9">
        <v>700</v>
      </c>
      <c r="H10" s="17">
        <f t="shared" ca="1" si="0"/>
        <v>3</v>
      </c>
    </row>
    <row r="11" spans="1:8" x14ac:dyDescent="0.25">
      <c r="A11" s="9" t="s">
        <v>52</v>
      </c>
      <c r="B11" s="9">
        <v>660</v>
      </c>
      <c r="C11" s="9">
        <v>815</v>
      </c>
      <c r="D11" s="9">
        <v>460</v>
      </c>
      <c r="E11" s="9">
        <v>730</v>
      </c>
      <c r="F11" s="9">
        <v>450</v>
      </c>
      <c r="G11" s="9">
        <v>700</v>
      </c>
    </row>
    <row r="12" spans="1:8" x14ac:dyDescent="0.25">
      <c r="A12" s="9" t="s">
        <v>53</v>
      </c>
      <c r="B12" s="9">
        <v>670</v>
      </c>
      <c r="C12" s="9">
        <v>830</v>
      </c>
      <c r="D12" s="9">
        <v>460</v>
      </c>
      <c r="E12" s="9">
        <v>710</v>
      </c>
      <c r="F12" s="9">
        <v>460</v>
      </c>
      <c r="G12" s="9">
        <v>710</v>
      </c>
    </row>
    <row r="13" spans="1:8" x14ac:dyDescent="0.25">
      <c r="A13" s="9" t="s">
        <v>54</v>
      </c>
      <c r="B13" s="9">
        <v>600</v>
      </c>
      <c r="C13" s="9">
        <v>720</v>
      </c>
      <c r="D13" s="9">
        <v>450</v>
      </c>
      <c r="E13" s="9">
        <v>670</v>
      </c>
      <c r="F13" s="9">
        <v>450</v>
      </c>
      <c r="G13" s="9">
        <v>630</v>
      </c>
    </row>
    <row r="14" spans="1:8" x14ac:dyDescent="0.25">
      <c r="A14" s="9" t="s">
        <v>55</v>
      </c>
      <c r="B14" s="9">
        <v>570</v>
      </c>
      <c r="C14" s="9">
        <v>800</v>
      </c>
      <c r="D14" s="9">
        <v>450</v>
      </c>
      <c r="E14" s="9">
        <v>710</v>
      </c>
      <c r="F14" s="9">
        <v>460</v>
      </c>
      <c r="G14" s="9">
        <v>690</v>
      </c>
    </row>
    <row r="15" spans="1:8" x14ac:dyDescent="0.25">
      <c r="A15" s="9" t="s">
        <v>56</v>
      </c>
      <c r="B15" s="9">
        <v>640</v>
      </c>
      <c r="C15" s="9">
        <v>815</v>
      </c>
      <c r="D15" s="9">
        <v>470</v>
      </c>
      <c r="E15" s="9">
        <v>725</v>
      </c>
      <c r="F15" s="9">
        <v>450</v>
      </c>
      <c r="G15" s="9">
        <v>725</v>
      </c>
    </row>
    <row r="16" spans="1:8" x14ac:dyDescent="0.25">
      <c r="A16" s="9" t="s">
        <v>57</v>
      </c>
      <c r="B16" s="9">
        <v>570</v>
      </c>
      <c r="C16" s="9">
        <v>750</v>
      </c>
      <c r="D16" s="9">
        <v>450</v>
      </c>
      <c r="E16" s="9">
        <v>650</v>
      </c>
      <c r="F16" s="9">
        <v>450</v>
      </c>
      <c r="G16" s="9">
        <v>605</v>
      </c>
    </row>
    <row r="17" spans="1:7" x14ac:dyDescent="0.25">
      <c r="A17" s="9" t="s">
        <v>58</v>
      </c>
      <c r="B17" s="9">
        <v>770</v>
      </c>
      <c r="C17" s="9">
        <v>900</v>
      </c>
      <c r="D17" s="9">
        <v>630</v>
      </c>
      <c r="E17" s="9">
        <v>780</v>
      </c>
      <c r="F17" s="9">
        <v>720</v>
      </c>
      <c r="G17" s="9">
        <v>830</v>
      </c>
    </row>
    <row r="18" spans="1:7" x14ac:dyDescent="0.25">
      <c r="A18" s="9" t="s">
        <v>59</v>
      </c>
      <c r="B18" s="9">
        <v>660</v>
      </c>
      <c r="C18" s="9">
        <v>810</v>
      </c>
      <c r="D18" s="9">
        <v>455</v>
      </c>
      <c r="E18" s="9">
        <v>705</v>
      </c>
      <c r="F18" s="9">
        <v>450</v>
      </c>
      <c r="G18" s="9">
        <v>700</v>
      </c>
    </row>
    <row r="19" spans="1:7" x14ac:dyDescent="0.25">
      <c r="A19" s="9" t="s">
        <v>60</v>
      </c>
      <c r="B19" s="9">
        <v>715</v>
      </c>
      <c r="C19" s="9">
        <v>840</v>
      </c>
      <c r="D19" s="9">
        <v>460</v>
      </c>
      <c r="E19" s="9">
        <v>720</v>
      </c>
      <c r="F19" s="9">
        <v>530</v>
      </c>
      <c r="G19" s="9">
        <v>760</v>
      </c>
    </row>
    <row r="20" spans="1:7" x14ac:dyDescent="0.25">
      <c r="A20" s="9" t="s">
        <v>61</v>
      </c>
      <c r="B20" s="9">
        <v>560</v>
      </c>
      <c r="C20" s="9">
        <v>740</v>
      </c>
      <c r="D20" s="9">
        <v>450</v>
      </c>
      <c r="E20" s="9">
        <v>750</v>
      </c>
      <c r="F20" s="9">
        <v>450</v>
      </c>
      <c r="G20" s="9">
        <v>670</v>
      </c>
    </row>
    <row r="21" spans="1:7" x14ac:dyDescent="0.25">
      <c r="A21" s="9" t="s">
        <v>62</v>
      </c>
      <c r="B21" s="9">
        <v>660</v>
      </c>
      <c r="C21" s="9">
        <v>850</v>
      </c>
      <c r="D21" s="9">
        <v>490</v>
      </c>
      <c r="E21" s="9">
        <v>711</v>
      </c>
      <c r="F21" s="9">
        <v>450</v>
      </c>
      <c r="G21" s="9">
        <v>705</v>
      </c>
    </row>
    <row r="22" spans="1:7" x14ac:dyDescent="0.25">
      <c r="A22" s="10"/>
      <c r="B22" s="11"/>
      <c r="C22" s="11"/>
      <c r="D22" s="11"/>
      <c r="E22" s="11"/>
      <c r="F22" s="11"/>
      <c r="G22" s="12"/>
    </row>
    <row r="23" spans="1:7" x14ac:dyDescent="0.25">
      <c r="A23" s="13" t="s">
        <v>63</v>
      </c>
      <c r="B23" s="14"/>
      <c r="C23" s="14"/>
      <c r="D23" s="14"/>
      <c r="E23" s="14"/>
      <c r="F23" s="14"/>
      <c r="G23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A2" zoomScaleNormal="100" workbookViewId="0">
      <selection activeCell="F18" sqref="F18"/>
    </sheetView>
  </sheetViews>
  <sheetFormatPr defaultRowHeight="15" x14ac:dyDescent="0.25"/>
  <cols>
    <col min="1" max="1" width="23.85546875" style="1" bestFit="1" customWidth="1"/>
    <col min="2" max="2" width="14.7109375" style="1" customWidth="1"/>
    <col min="3" max="3" width="13.140625" style="1" customWidth="1"/>
    <col min="4" max="4" width="12.85546875" style="1" customWidth="1"/>
    <col min="5" max="5" width="12" style="1" customWidth="1"/>
    <col min="6" max="6" width="8.85546875" style="1" customWidth="1"/>
    <col min="7" max="7" width="15.5703125" style="1" customWidth="1"/>
    <col min="8" max="8" width="29.5703125" style="1" customWidth="1"/>
    <col min="9" max="9" width="13" style="1" customWidth="1"/>
    <col min="10" max="10" width="17.140625" style="1" customWidth="1"/>
    <col min="11" max="11" width="14.140625" style="1" customWidth="1"/>
    <col min="12" max="18" width="9.140625" style="1"/>
    <col min="19" max="19" width="22.42578125" style="1" customWidth="1"/>
    <col min="20" max="16384" width="9.140625" style="1"/>
  </cols>
  <sheetData>
    <row r="1" spans="1:16" ht="21" x14ac:dyDescent="0.3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22"/>
      <c r="M1" s="21" t="s">
        <v>1</v>
      </c>
      <c r="N1" s="21"/>
      <c r="O1" s="22"/>
      <c r="P1" s="22"/>
    </row>
    <row r="2" spans="1:16" ht="15.75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22"/>
      <c r="M2" s="21" t="s">
        <v>13</v>
      </c>
      <c r="N2" s="21"/>
      <c r="O2" s="21"/>
      <c r="P2" s="22"/>
    </row>
    <row r="3" spans="1:16" x14ac:dyDescent="0.25">
      <c r="A3" s="2" t="s">
        <v>14</v>
      </c>
      <c r="B3" s="18">
        <v>8961023942</v>
      </c>
      <c r="C3" s="19" t="str">
        <f>IF(AND(F24=Q24,G24=R24),"CPF Válido","CPF Inválido")</f>
        <v>CPF Válido</v>
      </c>
      <c r="D3" s="20">
        <v>36364</v>
      </c>
      <c r="E3" s="25">
        <f ca="1">INT((TODAY()-D3)/365.25)</f>
        <v>19</v>
      </c>
      <c r="F3" s="19" t="s">
        <v>13</v>
      </c>
      <c r="G3" s="19">
        <v>565</v>
      </c>
      <c r="H3" s="2" t="s">
        <v>61</v>
      </c>
      <c r="I3" s="2" t="str">
        <f>IF(AND(G3&gt;=VLOOKUP(Cálculos!H3,Cortes!$A$2:$G$21,2,FALSE),G3&lt;=VLOOKUP(Cálculos!H3,Cortes!$A$2:$G$21,3,FALSE)),"APTO","NÃO APTO")</f>
        <v>APTO</v>
      </c>
      <c r="J3" s="2" t="str">
        <f>IF(AND(G3&gt;=VLOOKUP(H3,Cortes!$A$2:$G$21,4,FALSE),G3&lt;=VLOOKUP(H3,Cortes!$A$2:$G$21,5,FALSE)),"APTO","NÃO APTO")</f>
        <v>APTO</v>
      </c>
      <c r="K3" s="2" t="str">
        <f>IF(AND(G3&gt;=VLOOKUP(H3,Cortes!$A$2:$G$21,6,FALSE),G3&lt;=VLOOKUP(H3,Cortes!$A$2:$G$21,7,FALSE)),"APTO","NÃO APTO")</f>
        <v>APTO</v>
      </c>
      <c r="L3" s="22">
        <f>COUNTIFS(I3:I3,"APTO",J3:J3,"APTO",K3:K3,"APTO")</f>
        <v>1</v>
      </c>
      <c r="M3" s="21" t="s">
        <v>15</v>
      </c>
      <c r="N3" s="21"/>
      <c r="O3" s="21"/>
      <c r="P3" s="22"/>
    </row>
    <row r="4" spans="1:16" x14ac:dyDescent="0.25">
      <c r="A4" s="2" t="s">
        <v>16</v>
      </c>
      <c r="B4" s="18">
        <v>98765432107</v>
      </c>
      <c r="C4" s="19" t="str">
        <f t="shared" ref="C4:C11" si="0">IF(AND(F25=Q25,G25=R25),"CPF Válido","CPF Inválido")</f>
        <v>CPF Inválido</v>
      </c>
      <c r="D4" s="20">
        <v>36190</v>
      </c>
      <c r="E4" s="25">
        <f t="shared" ref="E4:E11" ca="1" si="1">INT((TODAY()-D4)/365.25)</f>
        <v>20</v>
      </c>
      <c r="F4" s="19" t="s">
        <v>19</v>
      </c>
      <c r="G4" s="19">
        <v>867</v>
      </c>
      <c r="H4" s="2" t="str">
        <f>Cortes!A8</f>
        <v>Engenharia Civil</v>
      </c>
      <c r="I4" s="2" t="str">
        <f>IF(AND(G4&gt;=VLOOKUP(Cálculos!H4,Cortes!$A$2:$G$21,2,FALSE),G4&lt;=VLOOKUP(Cálculos!H4,Cortes!$A$2:$G$21,3,FALSE)),"APTO","NÃO APTO")</f>
        <v>APTO</v>
      </c>
      <c r="J4" s="2" t="str">
        <f>IF(AND(G4&gt;=VLOOKUP(H4,Cortes!$A$2:$G$21,4,FALSE),G4&lt;=VLOOKUP(H4,Cortes!$A$2:$G$21,5,FALSE)),"APTO","NÃO APTO")</f>
        <v>NÃO APTO</v>
      </c>
      <c r="K4" s="2" t="str">
        <f>IF(AND(G4&gt;=VLOOKUP(H4,Cortes!$A$2:$G$21,6,FALSE),G4&lt;=VLOOKUP(H4,Cortes!$A$2:$G$21,7,FALSE)),"APTO","NÃO APTO")</f>
        <v>NÃO APTO</v>
      </c>
      <c r="L4" s="22">
        <f t="shared" ref="L4:L11" si="2">COUNTIFS(I4:I4,"APTO",J4:J4,"APTO",K4:K4,"APTO")</f>
        <v>0</v>
      </c>
      <c r="M4" s="21" t="s">
        <v>17</v>
      </c>
      <c r="N4" s="21"/>
      <c r="O4" s="21"/>
      <c r="P4" s="22"/>
    </row>
    <row r="5" spans="1:16" x14ac:dyDescent="0.25">
      <c r="A5" s="2" t="s">
        <v>18</v>
      </c>
      <c r="B5" s="18">
        <v>96385214700</v>
      </c>
      <c r="C5" s="19" t="str">
        <f t="shared" si="0"/>
        <v>CPF Inválido</v>
      </c>
      <c r="D5" s="20">
        <v>37596</v>
      </c>
      <c r="E5" s="25">
        <f t="shared" ca="1" si="1"/>
        <v>16</v>
      </c>
      <c r="F5" s="19" t="s">
        <v>64</v>
      </c>
      <c r="G5" s="19">
        <v>596</v>
      </c>
      <c r="H5" s="2" t="str">
        <f>Cortes!A12</f>
        <v>Fisioterapia</v>
      </c>
      <c r="I5" s="2" t="str">
        <f>IF(AND(G5&gt;=VLOOKUP(Cálculos!H5,Cortes!$A$2:$G$21,2,FALSE),G5&lt;=VLOOKUP(Cálculos!H5,Cortes!$A$2:$G$21,3,FALSE)),"APTO","NÃO APTO")</f>
        <v>NÃO APTO</v>
      </c>
      <c r="J5" s="2" t="str">
        <f>IF(AND(G5&gt;=VLOOKUP(H5,Cortes!$A$2:$G$21,4,FALSE),G5&lt;=VLOOKUP(H5,Cortes!$A$2:$G$21,5,FALSE)),"APTO","NÃO APTO")</f>
        <v>APTO</v>
      </c>
      <c r="K5" s="2" t="str">
        <f>IF(AND(G5&gt;=VLOOKUP(H5,Cortes!$A$2:$G$21,6,FALSE),G5&lt;=VLOOKUP(H5,Cortes!$A$2:$G$21,7,FALSE)),"APTO","NÃO APTO")</f>
        <v>APTO</v>
      </c>
      <c r="L5" s="22">
        <f t="shared" si="2"/>
        <v>0</v>
      </c>
      <c r="M5" s="21" t="s">
        <v>19</v>
      </c>
      <c r="N5" s="21"/>
      <c r="O5" s="21"/>
      <c r="P5" s="22"/>
    </row>
    <row r="6" spans="1:16" x14ac:dyDescent="0.25">
      <c r="A6" s="2" t="s">
        <v>20</v>
      </c>
      <c r="B6" s="18">
        <v>14702580398</v>
      </c>
      <c r="C6" s="19" t="str">
        <f t="shared" si="0"/>
        <v>CPF Inválido</v>
      </c>
      <c r="D6" s="20">
        <v>37204</v>
      </c>
      <c r="E6" s="25">
        <f t="shared" ca="1" si="1"/>
        <v>17</v>
      </c>
      <c r="F6" s="19" t="s">
        <v>65</v>
      </c>
      <c r="G6" s="19">
        <v>957</v>
      </c>
      <c r="H6" s="2" t="str">
        <f>Cortes!A18</f>
        <v>Nutrição</v>
      </c>
      <c r="I6" s="2" t="str">
        <f>IF(AND(G6&gt;=VLOOKUP(Cálculos!H6,Cortes!$A$2:$G$21,2,FALSE),G6&lt;=VLOOKUP(Cálculos!H6,Cortes!$A$2:$G$21,3,FALSE)),"APTO","NÃO APTO")</f>
        <v>NÃO APTO</v>
      </c>
      <c r="J6" s="2" t="str">
        <f>IF(AND(G6&gt;=VLOOKUP(H6,Cortes!$A$2:$G$21,4,FALSE),G6&lt;=VLOOKUP(H6,Cortes!$A$2:$G$21,5,FALSE)),"APTO","NÃO APTO")</f>
        <v>NÃO APTO</v>
      </c>
      <c r="K6" s="2" t="str">
        <f>IF(AND(G6&gt;=VLOOKUP(H6,Cortes!$A$2:$G$21,6,FALSE),G6&lt;=VLOOKUP(H6,Cortes!$A$2:$G$21,7,FALSE)),"APTO","NÃO APTO")</f>
        <v>NÃO APTO</v>
      </c>
      <c r="L6" s="22">
        <f t="shared" si="2"/>
        <v>0</v>
      </c>
      <c r="M6" s="21" t="s">
        <v>21</v>
      </c>
      <c r="N6" s="21"/>
      <c r="O6" s="21"/>
      <c r="P6" s="22"/>
    </row>
    <row r="7" spans="1:16" x14ac:dyDescent="0.25">
      <c r="A7" s="2" t="s">
        <v>22</v>
      </c>
      <c r="B7" s="18">
        <v>65965732136</v>
      </c>
      <c r="C7" s="19" t="str">
        <f t="shared" si="0"/>
        <v>CPF Inválido</v>
      </c>
      <c r="D7" s="20">
        <v>37727</v>
      </c>
      <c r="E7" s="25">
        <f t="shared" ca="1" si="1"/>
        <v>16</v>
      </c>
      <c r="F7" s="19" t="s">
        <v>19</v>
      </c>
      <c r="G7" s="19">
        <v>575</v>
      </c>
      <c r="H7" s="2" t="str">
        <f>Cortes!A13</f>
        <v>Gestão de Recursos Humanos</v>
      </c>
      <c r="I7" s="2" t="str">
        <f>IF(AND(G7&gt;=VLOOKUP(Cálculos!H7,Cortes!$A$2:$G$21,2,FALSE),G7&lt;=VLOOKUP(Cálculos!H7,Cortes!$A$2:$G$21,3,FALSE)),"APTO","NÃO APTO")</f>
        <v>NÃO APTO</v>
      </c>
      <c r="J7" s="2" t="str">
        <f>IF(AND(G7&gt;=VLOOKUP(H7,Cortes!$A$2:$G$21,4,FALSE),G7&lt;=VLOOKUP(H7,Cortes!$A$2:$G$21,5,FALSE)),"APTO","NÃO APTO")</f>
        <v>APTO</v>
      </c>
      <c r="K7" s="2" t="str">
        <f>IF(AND(G7&gt;=VLOOKUP(H7,Cortes!$A$2:$G$21,6,FALSE),G7&lt;=VLOOKUP(H7,Cortes!$A$2:$G$21,7,FALSE)),"APTO","NÃO APTO")</f>
        <v>APTO</v>
      </c>
      <c r="L7" s="22">
        <f t="shared" si="2"/>
        <v>0</v>
      </c>
      <c r="M7" s="21" t="s">
        <v>23</v>
      </c>
      <c r="N7" s="21"/>
      <c r="O7" s="21"/>
      <c r="P7" s="22"/>
    </row>
    <row r="8" spans="1:16" x14ac:dyDescent="0.25">
      <c r="A8" s="2" t="s">
        <v>24</v>
      </c>
      <c r="B8" s="18">
        <v>58898165814</v>
      </c>
      <c r="C8" s="19" t="str">
        <f t="shared" si="0"/>
        <v>CPF Inválido</v>
      </c>
      <c r="D8" s="20">
        <v>38156</v>
      </c>
      <c r="E8" s="25">
        <f t="shared" ca="1" si="1"/>
        <v>14</v>
      </c>
      <c r="F8" s="19" t="s">
        <v>17</v>
      </c>
      <c r="G8" s="19">
        <v>941</v>
      </c>
      <c r="H8" s="2" t="str">
        <f>Cortes!A5</f>
        <v>Direito</v>
      </c>
      <c r="I8" s="2" t="str">
        <f>IF(AND(G8&gt;=VLOOKUP(Cálculos!H8,Cortes!$A$2:$G$21,2,FALSE),G8&lt;=VLOOKUP(Cálculos!H8,Cortes!$A$2:$G$21,3,FALSE)),"APTO","NÃO APTO")</f>
        <v>NÃO APTO</v>
      </c>
      <c r="J8" s="2" t="str">
        <f>IF(AND(G8&gt;=VLOOKUP(H8,Cortes!$A$2:$G$21,4,FALSE),G8&lt;=VLOOKUP(H8,Cortes!$A$2:$G$21,5,FALSE)),"APTO","NÃO APTO")</f>
        <v>NÃO APTO</v>
      </c>
      <c r="K8" s="2" t="str">
        <f>IF(AND(G8&gt;=VLOOKUP(H8,Cortes!$A$2:$G$21,6,FALSE),G8&lt;=VLOOKUP(H8,Cortes!$A$2:$G$21,7,FALSE)),"APTO","NÃO APTO")</f>
        <v>NÃO APTO</v>
      </c>
      <c r="L8" s="22">
        <f t="shared" si="2"/>
        <v>0</v>
      </c>
      <c r="M8" s="21" t="s">
        <v>64</v>
      </c>
      <c r="N8" s="21"/>
      <c r="O8" s="21"/>
      <c r="P8" s="22"/>
    </row>
    <row r="9" spans="1:16" x14ac:dyDescent="0.25">
      <c r="A9" s="2" t="s">
        <v>25</v>
      </c>
      <c r="B9" s="18">
        <v>88599611497</v>
      </c>
      <c r="C9" s="19" t="str">
        <f t="shared" si="0"/>
        <v>CPF Inválido</v>
      </c>
      <c r="D9" s="20">
        <v>37244</v>
      </c>
      <c r="E9" s="25">
        <f t="shared" ca="1" si="1"/>
        <v>17</v>
      </c>
      <c r="F9" s="19" t="s">
        <v>66</v>
      </c>
      <c r="G9" s="19">
        <v>794</v>
      </c>
      <c r="H9" s="2" t="str">
        <f>Cortes!A3</f>
        <v>Arquitetura e Urbanismo</v>
      </c>
      <c r="I9" s="2" t="str">
        <f>IF(AND(G9&gt;=VLOOKUP(Cálculos!H9,Cortes!$A$2:$G$21,2,FALSE),G9&lt;=VLOOKUP(Cálculos!H9,Cortes!$A$2:$G$21,3,FALSE)),"APTO","NÃO APTO")</f>
        <v>APTO</v>
      </c>
      <c r="J9" s="2" t="str">
        <f>IF(AND(G9&gt;=VLOOKUP(H9,Cortes!$A$2:$G$21,4,FALSE),G9&lt;=VLOOKUP(H9,Cortes!$A$2:$G$21,5,FALSE)),"APTO","NÃO APTO")</f>
        <v>NÃO APTO</v>
      </c>
      <c r="K9" s="2" t="str">
        <f>IF(AND(G9&gt;=VLOOKUP(H9,Cortes!$A$2:$G$21,6,FALSE),G9&lt;=VLOOKUP(H9,Cortes!$A$2:$G$21,7,FALSE)),"APTO","NÃO APTO")</f>
        <v>NÃO APTO</v>
      </c>
      <c r="L9" s="22">
        <f t="shared" si="2"/>
        <v>0</v>
      </c>
      <c r="M9" s="21" t="s">
        <v>65</v>
      </c>
      <c r="N9" s="21"/>
      <c r="O9" s="21"/>
      <c r="P9" s="22"/>
    </row>
    <row r="10" spans="1:16" x14ac:dyDescent="0.25">
      <c r="A10" s="2" t="s">
        <v>26</v>
      </c>
      <c r="B10" s="18">
        <v>15975325801</v>
      </c>
      <c r="C10" s="19" t="str">
        <f t="shared" si="0"/>
        <v>CPF Inválido</v>
      </c>
      <c r="D10" s="20">
        <v>36690</v>
      </c>
      <c r="E10" s="25">
        <f t="shared" ca="1" si="1"/>
        <v>18</v>
      </c>
      <c r="F10" s="19" t="s">
        <v>17</v>
      </c>
      <c r="G10" s="19">
        <v>689</v>
      </c>
      <c r="H10" s="2" t="str">
        <f>Cortes!A11</f>
        <v>Farmácia</v>
      </c>
      <c r="I10" s="2" t="str">
        <f>IF(AND(G10&gt;=VLOOKUP(Cálculos!H10,Cortes!$A$2:$G$21,2,FALSE),G10&lt;=VLOOKUP(Cálculos!H10,Cortes!$A$2:$G$21,3,FALSE)),"APTO","NÃO APTO")</f>
        <v>APTO</v>
      </c>
      <c r="J10" s="2" t="str">
        <f>IF(AND(G10&gt;=VLOOKUP(H10,Cortes!$A$2:$G$21,4,FALSE),G10&lt;=VLOOKUP(H10,Cortes!$A$2:$G$21,5,FALSE)),"APTO","NÃO APTO")</f>
        <v>APTO</v>
      </c>
      <c r="K10" s="2" t="str">
        <f>IF(AND(G10&gt;=VLOOKUP(H10,Cortes!$A$2:$G$21,6,FALSE),G10&lt;=VLOOKUP(H10,Cortes!$A$2:$G$21,7,FALSE)),"APTO","NÃO APTO")</f>
        <v>APTO</v>
      </c>
      <c r="L10" s="22">
        <f t="shared" si="2"/>
        <v>1</v>
      </c>
      <c r="M10" s="21" t="s">
        <v>66</v>
      </c>
      <c r="N10" s="21"/>
      <c r="O10" s="21"/>
      <c r="P10" s="22"/>
    </row>
    <row r="11" spans="1:16" x14ac:dyDescent="0.25">
      <c r="A11" s="2" t="s">
        <v>27</v>
      </c>
      <c r="B11" s="18">
        <v>35775345691</v>
      </c>
      <c r="C11" s="19" t="str">
        <f t="shared" si="0"/>
        <v>CPF Inválido</v>
      </c>
      <c r="D11" s="20">
        <v>37390</v>
      </c>
      <c r="E11" s="25">
        <f t="shared" ca="1" si="1"/>
        <v>17</v>
      </c>
      <c r="F11" s="19" t="s">
        <v>21</v>
      </c>
      <c r="G11" s="19">
        <v>513</v>
      </c>
      <c r="H11" s="2" t="str">
        <f>Cortes!A20</f>
        <v>Pedagogia</v>
      </c>
      <c r="I11" s="2" t="str">
        <f>IF(AND(G11&gt;=VLOOKUP(Cálculos!H11,Cortes!$A$2:$G$21,2,FALSE),G11&lt;=VLOOKUP(Cálculos!H11,Cortes!$A$2:$G$21,3,FALSE)),"APTO","NÃO APTO")</f>
        <v>NÃO APTO</v>
      </c>
      <c r="J11" s="2" t="str">
        <f>IF(AND(G11&gt;=VLOOKUP(H11,Cortes!$A$2:$G$21,4,FALSE),G11&lt;=VLOOKUP(H11,Cortes!$A$2:$G$21,5,FALSE)),"APTO","NÃO APTO")</f>
        <v>APTO</v>
      </c>
      <c r="K11" s="2" t="str">
        <f>IF(AND(G11&gt;=VLOOKUP(H11,Cortes!$A$2:$G$21,6,FALSE),G11&lt;=VLOOKUP(H11,Cortes!$A$2:$G$21,7,FALSE)),"APTO","NÃO APTO")</f>
        <v>APTO</v>
      </c>
      <c r="L11" s="22">
        <f t="shared" si="2"/>
        <v>0</v>
      </c>
      <c r="M11" s="21"/>
      <c r="N11" s="21"/>
      <c r="O11" s="21"/>
      <c r="P11" s="22"/>
    </row>
    <row r="12" spans="1:16" x14ac:dyDescent="0.25">
      <c r="B12" s="16"/>
      <c r="L12" s="22"/>
      <c r="M12" s="21"/>
      <c r="N12" s="21"/>
      <c r="O12" s="21"/>
      <c r="P12" s="22"/>
    </row>
    <row r="13" spans="1:16" x14ac:dyDescent="0.25">
      <c r="L13" s="22"/>
      <c r="M13" s="21"/>
      <c r="N13" s="21"/>
      <c r="O13" s="21"/>
      <c r="P13" s="22"/>
    </row>
    <row r="14" spans="1:16" x14ac:dyDescent="0.25">
      <c r="L14" s="22"/>
      <c r="M14" s="21"/>
      <c r="N14" s="21"/>
      <c r="O14" s="21"/>
      <c r="P14" s="22"/>
    </row>
    <row r="15" spans="1:16" x14ac:dyDescent="0.25">
      <c r="A15" s="4" t="s">
        <v>28</v>
      </c>
      <c r="B15" s="5"/>
      <c r="C15" s="5"/>
      <c r="D15" s="5"/>
      <c r="E15" s="6"/>
      <c r="F15" s="26">
        <f>COUNTIF(I3:I11,"APTO")</f>
        <v>4</v>
      </c>
      <c r="L15" s="22"/>
      <c r="M15" s="22"/>
      <c r="N15" s="22"/>
      <c r="O15" s="22"/>
      <c r="P15" s="22"/>
    </row>
    <row r="16" spans="1:16" x14ac:dyDescent="0.25">
      <c r="A16" s="4" t="s">
        <v>29</v>
      </c>
      <c r="B16" s="5"/>
      <c r="C16" s="5"/>
      <c r="D16" s="5"/>
      <c r="E16" s="6"/>
      <c r="F16" s="27">
        <f>COUNTIF(J3:J11,"APTO")</f>
        <v>5</v>
      </c>
    </row>
    <row r="17" spans="1:21" x14ac:dyDescent="0.25">
      <c r="A17" s="4" t="s">
        <v>30</v>
      </c>
      <c r="B17" s="5"/>
      <c r="C17" s="5"/>
      <c r="D17" s="5"/>
      <c r="E17" s="6"/>
      <c r="F17" s="27">
        <f>COUNTIF(K3:K11,"APTO")</f>
        <v>5</v>
      </c>
    </row>
    <row r="18" spans="1:21" x14ac:dyDescent="0.25">
      <c r="A18" s="4" t="s">
        <v>31</v>
      </c>
      <c r="B18" s="5"/>
      <c r="C18" s="5"/>
      <c r="D18" s="5"/>
      <c r="E18" s="6"/>
      <c r="F18" s="27">
        <f>COUNTIFS(I3:K3,"APTO",I4:K4,"APTO",I5:K5,"APTO",I6:K6,"APTO",I7:K7,"APTO",I8:K8,"APTO",I9:K9,"APTO",I10:K10,"APTO",I11:K11,"APTO")</f>
        <v>0</v>
      </c>
    </row>
    <row r="19" spans="1:21" x14ac:dyDescent="0.25">
      <c r="A19" s="4" t="s">
        <v>32</v>
      </c>
      <c r="B19" s="5"/>
      <c r="C19" s="5"/>
      <c r="D19" s="5"/>
      <c r="E19" s="6"/>
      <c r="F19" s="27"/>
    </row>
    <row r="20" spans="1:21" x14ac:dyDescent="0.25">
      <c r="A20" s="4" t="s">
        <v>33</v>
      </c>
      <c r="B20" s="5"/>
      <c r="C20" s="5"/>
      <c r="D20" s="5"/>
      <c r="E20" s="6"/>
      <c r="F20" s="27">
        <f ca="1">COUNTIFS(E3:E11,"&lt;19",J3:J11,"APTO")</f>
        <v>4</v>
      </c>
    </row>
    <row r="21" spans="1:21" x14ac:dyDescent="0.25">
      <c r="A21" s="4" t="s">
        <v>67</v>
      </c>
      <c r="B21" s="5"/>
      <c r="C21" s="5"/>
      <c r="D21" s="5"/>
      <c r="E21" s="6"/>
      <c r="F21" s="27">
        <f ca="1">COUNTIFS(E3:E11,"&lt;19",I3:I11,"APTO")</f>
        <v>2</v>
      </c>
    </row>
    <row r="22" spans="1:21" x14ac:dyDescent="0.25">
      <c r="A22" s="4" t="s">
        <v>34</v>
      </c>
      <c r="B22" s="5"/>
      <c r="C22" s="5"/>
      <c r="D22" s="5"/>
      <c r="E22" s="6"/>
      <c r="F22" s="27">
        <f ca="1">COUNTIFS(E3:E11,"&lt;18",K3:K11,"APTO",F3:F11,"SC")</f>
        <v>0</v>
      </c>
    </row>
    <row r="23" spans="1:21" x14ac:dyDescent="0.25">
      <c r="A23" s="4" t="s">
        <v>35</v>
      </c>
      <c r="B23" s="5"/>
      <c r="C23" s="5"/>
      <c r="D23" s="5"/>
      <c r="E23" s="5"/>
      <c r="F23" s="28">
        <f ca="1">COUNTIFS(E3:E11,"&gt;20",J3:J11,"APTO",F3:F11,"&lt;&gt;SC")</f>
        <v>0</v>
      </c>
    </row>
    <row r="24" spans="1:21" x14ac:dyDescent="0.25">
      <c r="A24" s="23" t="str">
        <f>TEXT(B3,"00000000000")</f>
        <v>08961023942</v>
      </c>
      <c r="B24" s="23">
        <f>SUM((H24*10)+(I24*9)+(J24*8)+(K24*7)+(L24*6)+(M24*5)+(N24*4)+(O24*3)+(P24*2))</f>
        <v>227</v>
      </c>
      <c r="C24" s="23">
        <f>SUM((H24*11)+(I24*10)+(J24*9)+(K24*8)+(L24*7)+(M24*6)+(N24*5)+(O24*4)+(P24*3)+(F24*2))</f>
        <v>273</v>
      </c>
      <c r="D24" s="23">
        <f>MOD(B24,11)</f>
        <v>7</v>
      </c>
      <c r="E24" s="23">
        <f>MOD(C24,11)</f>
        <v>9</v>
      </c>
      <c r="F24" s="23">
        <f>IF(D24&lt;2,0,11-D24)</f>
        <v>4</v>
      </c>
      <c r="G24" s="23">
        <f>IF(E24&lt;2,0,11-E24)</f>
        <v>2</v>
      </c>
      <c r="H24" s="24">
        <f>VALUE(MID(A24,1,1))</f>
        <v>0</v>
      </c>
      <c r="I24" s="24">
        <f>VALUE(MID(A24,2,1))</f>
        <v>8</v>
      </c>
      <c r="J24" s="24">
        <f>VALUE(MID(A24,3,1))</f>
        <v>9</v>
      </c>
      <c r="K24" s="24">
        <f>VALUE(MID(A24,4,1))</f>
        <v>6</v>
      </c>
      <c r="L24" s="24">
        <f>VALUE(MID(A24,5,1))</f>
        <v>1</v>
      </c>
      <c r="M24" s="24">
        <f>VALUE(MID(A24,6,1))</f>
        <v>0</v>
      </c>
      <c r="N24" s="24">
        <f>VALUE(MID(A24,7,1))</f>
        <v>2</v>
      </c>
      <c r="O24" s="24">
        <f>VALUE(MID(A24,8,1))</f>
        <v>3</v>
      </c>
      <c r="P24" s="24">
        <f>VALUE(MID(A24,9,1))</f>
        <v>9</v>
      </c>
      <c r="Q24" s="24">
        <f>VALUE(MID(A24,10,1))</f>
        <v>4</v>
      </c>
      <c r="R24" s="24">
        <f>VALUE(MID(A24,11,1))</f>
        <v>2</v>
      </c>
      <c r="S24" s="23" t="str">
        <f>IF(P24=0,"CPF de RS",IF(P24=1,"CPF de DF/Goiás/MT/MS ou Tocantis",IF(P24=2,"CPF de Amazonas/PA/RR/Amapá/AC/Rondônia",IF(P24=3,"CPF de CE/Maranhão/Piauí",IF(P24=4,"CPF de Paraíba/PE/AL/RG",IF(P24=5,"CPF de BA/SE",IF(P24=6,"CPF de MG",IF(P24=7,"CPF de Rf/ES",IF(P24=8,"CPF de Sp",IF(P24=9,"CPF de Pr/SC","CPF Inválido"))))))))))</f>
        <v>CPF de Pr/SC</v>
      </c>
      <c r="T24" s="23"/>
      <c r="U24" s="23"/>
    </row>
    <row r="25" spans="1:21" x14ac:dyDescent="0.25">
      <c r="A25" s="23" t="str">
        <f>TEXT(B4,"00000000000")</f>
        <v>98765432107</v>
      </c>
      <c r="B25" s="23">
        <f t="shared" ref="B25:B33" si="3">SUM((H25*10)+(I25*9)+(J25*8)+(K25*7)+(L25*6)+(M25*5)+(N25*4)+(O25*3)+(P25*2))</f>
        <v>330</v>
      </c>
      <c r="C25" s="23">
        <f t="shared" ref="C25:C33" si="4">SUM((H25*11)+(I25*10)+(J25*9)+(K25*8)+(L25*7)+(M25*6)+(N25*5)+(O25*4)+(P25*3)+(F25*2))</f>
        <v>375</v>
      </c>
      <c r="D25" s="23">
        <f t="shared" ref="D25:D33" si="5">MOD(B25,11)</f>
        <v>0</v>
      </c>
      <c r="E25" s="23">
        <f t="shared" ref="E25:E33" si="6">MOD(C25,11)</f>
        <v>1</v>
      </c>
      <c r="F25" s="23">
        <f t="shared" ref="F25:F33" si="7">IF(D25&lt;2,0,11-D25)</f>
        <v>0</v>
      </c>
      <c r="G25" s="23">
        <f t="shared" ref="G25:G33" si="8">IF(E25&lt;2,0,11-E25)</f>
        <v>0</v>
      </c>
      <c r="H25" s="24">
        <f t="shared" ref="H25:H33" si="9">VALUE(MID(A25,1,1))</f>
        <v>9</v>
      </c>
      <c r="I25" s="24">
        <f t="shared" ref="I25:I33" si="10">VALUE(MID(A25,2,1))</f>
        <v>8</v>
      </c>
      <c r="J25" s="24">
        <f t="shared" ref="J25:J33" si="11">VALUE(MID(A25,3,1))</f>
        <v>7</v>
      </c>
      <c r="K25" s="24">
        <f t="shared" ref="K25:K33" si="12">VALUE(MID(A25,4,1))</f>
        <v>6</v>
      </c>
      <c r="L25" s="24">
        <f t="shared" ref="L25:L33" si="13">VALUE(MID(A25,5,1))</f>
        <v>5</v>
      </c>
      <c r="M25" s="24">
        <f t="shared" ref="M25:M33" si="14">VALUE(MID(A25,6,1))</f>
        <v>4</v>
      </c>
      <c r="N25" s="24">
        <f t="shared" ref="N25:N33" si="15">VALUE(MID(A25,7,1))</f>
        <v>3</v>
      </c>
      <c r="O25" s="24">
        <f t="shared" ref="O25:O33" si="16">VALUE(MID(A25,8,1))</f>
        <v>2</v>
      </c>
      <c r="P25" s="24">
        <f t="shared" ref="P25:P33" si="17">VALUE(MID(A25,9,1))</f>
        <v>1</v>
      </c>
      <c r="Q25" s="24">
        <f t="shared" ref="Q25:Q33" si="18">VALUE(MID(A25,10,1))</f>
        <v>0</v>
      </c>
      <c r="R25" s="24">
        <f t="shared" ref="R25:R33" si="19">VALUE(MID(A25,11,1))</f>
        <v>7</v>
      </c>
      <c r="S25" s="23" t="str">
        <f t="shared" ref="S25:S32" si="20">IF(P25=0,"CPF de RS",IF(P25=1,"CPF de DF/Goiás/MT/MS ou Tocantis",IF(P25=2,"CPF de Amazonas/PA/RR/Amapá/AC/Rondônia",IF(P25=3,"CPF de CE/Maranhão/Piauí",IF(P25=4,"CPF de Paraíba/PE/AL/RG",IF(P25=5,"CPF de BA/SE",IF(P25=6,"CPF de MG",IF(P25=7,"CPF de Rf/ES",IF(P25=8,"CPF de Sp",IF(P25=9,"CPF de Pr/SC","CPF Inválido"))))))))))</f>
        <v>CPF de DF/Goiás/MT/MS ou Tocantis</v>
      </c>
      <c r="T25" s="23"/>
      <c r="U25" s="23"/>
    </row>
    <row r="26" spans="1:21" x14ac:dyDescent="0.25">
      <c r="A26" s="23" t="str">
        <f t="shared" ref="A25:A32" si="21">TEXT(B5,"00000000000")</f>
        <v>96385214700</v>
      </c>
      <c r="B26" s="23">
        <f t="shared" si="3"/>
        <v>294</v>
      </c>
      <c r="C26" s="23">
        <f t="shared" si="4"/>
        <v>345</v>
      </c>
      <c r="D26" s="23">
        <f t="shared" si="5"/>
        <v>8</v>
      </c>
      <c r="E26" s="23">
        <f t="shared" si="6"/>
        <v>4</v>
      </c>
      <c r="F26" s="23">
        <f t="shared" si="7"/>
        <v>3</v>
      </c>
      <c r="G26" s="23">
        <f t="shared" si="8"/>
        <v>7</v>
      </c>
      <c r="H26" s="24">
        <f t="shared" si="9"/>
        <v>9</v>
      </c>
      <c r="I26" s="24">
        <f t="shared" si="10"/>
        <v>6</v>
      </c>
      <c r="J26" s="24">
        <f t="shared" si="11"/>
        <v>3</v>
      </c>
      <c r="K26" s="24">
        <f t="shared" si="12"/>
        <v>8</v>
      </c>
      <c r="L26" s="24">
        <f t="shared" si="13"/>
        <v>5</v>
      </c>
      <c r="M26" s="24">
        <f t="shared" si="14"/>
        <v>2</v>
      </c>
      <c r="N26" s="24">
        <f t="shared" si="15"/>
        <v>1</v>
      </c>
      <c r="O26" s="24">
        <f t="shared" si="16"/>
        <v>4</v>
      </c>
      <c r="P26" s="24">
        <f t="shared" si="17"/>
        <v>7</v>
      </c>
      <c r="Q26" s="24">
        <f t="shared" si="18"/>
        <v>0</v>
      </c>
      <c r="R26" s="24">
        <f t="shared" si="19"/>
        <v>0</v>
      </c>
      <c r="S26" s="23" t="str">
        <f t="shared" si="20"/>
        <v>CPF de Rf/ES</v>
      </c>
      <c r="T26" s="23"/>
      <c r="U26" s="23"/>
    </row>
    <row r="27" spans="1:21" x14ac:dyDescent="0.25">
      <c r="A27" s="23" t="str">
        <f t="shared" si="21"/>
        <v>14702580398</v>
      </c>
      <c r="B27" s="23">
        <f t="shared" si="3"/>
        <v>177</v>
      </c>
      <c r="C27" s="23">
        <f t="shared" si="4"/>
        <v>207</v>
      </c>
      <c r="D27" s="23">
        <f t="shared" si="5"/>
        <v>1</v>
      </c>
      <c r="E27" s="23">
        <f t="shared" si="6"/>
        <v>9</v>
      </c>
      <c r="F27" s="23">
        <f t="shared" si="7"/>
        <v>0</v>
      </c>
      <c r="G27" s="23">
        <f t="shared" si="8"/>
        <v>2</v>
      </c>
      <c r="H27" s="24">
        <f t="shared" si="9"/>
        <v>1</v>
      </c>
      <c r="I27" s="24">
        <f t="shared" si="10"/>
        <v>4</v>
      </c>
      <c r="J27" s="24">
        <f t="shared" si="11"/>
        <v>7</v>
      </c>
      <c r="K27" s="24">
        <f t="shared" si="12"/>
        <v>0</v>
      </c>
      <c r="L27" s="24">
        <f t="shared" si="13"/>
        <v>2</v>
      </c>
      <c r="M27" s="24">
        <f t="shared" si="14"/>
        <v>5</v>
      </c>
      <c r="N27" s="24">
        <f t="shared" si="15"/>
        <v>8</v>
      </c>
      <c r="O27" s="24">
        <f t="shared" si="16"/>
        <v>0</v>
      </c>
      <c r="P27" s="24">
        <f t="shared" si="17"/>
        <v>3</v>
      </c>
      <c r="Q27" s="24">
        <f t="shared" si="18"/>
        <v>9</v>
      </c>
      <c r="R27" s="24">
        <f t="shared" si="19"/>
        <v>8</v>
      </c>
      <c r="S27" s="23" t="str">
        <f t="shared" si="20"/>
        <v>CPF de CE/Maranhão/Piauí</v>
      </c>
      <c r="T27" s="23"/>
      <c r="U27" s="23"/>
    </row>
    <row r="28" spans="1:21" x14ac:dyDescent="0.25">
      <c r="A28" s="23" t="str">
        <f t="shared" si="21"/>
        <v>65965732136</v>
      </c>
      <c r="B28" s="23">
        <f t="shared" si="3"/>
        <v>304</v>
      </c>
      <c r="C28" s="23">
        <f t="shared" si="4"/>
        <v>356</v>
      </c>
      <c r="D28" s="23">
        <f t="shared" si="5"/>
        <v>7</v>
      </c>
      <c r="E28" s="23">
        <f t="shared" si="6"/>
        <v>4</v>
      </c>
      <c r="F28" s="23">
        <f t="shared" si="7"/>
        <v>4</v>
      </c>
      <c r="G28" s="23">
        <f t="shared" si="8"/>
        <v>7</v>
      </c>
      <c r="H28" s="24">
        <f t="shared" si="9"/>
        <v>6</v>
      </c>
      <c r="I28" s="24">
        <f t="shared" si="10"/>
        <v>5</v>
      </c>
      <c r="J28" s="24">
        <f t="shared" si="11"/>
        <v>9</v>
      </c>
      <c r="K28" s="24">
        <f t="shared" si="12"/>
        <v>6</v>
      </c>
      <c r="L28" s="24">
        <f t="shared" si="13"/>
        <v>5</v>
      </c>
      <c r="M28" s="24">
        <f t="shared" si="14"/>
        <v>7</v>
      </c>
      <c r="N28" s="24">
        <f t="shared" si="15"/>
        <v>3</v>
      </c>
      <c r="O28" s="24">
        <f t="shared" si="16"/>
        <v>2</v>
      </c>
      <c r="P28" s="24">
        <f t="shared" si="17"/>
        <v>1</v>
      </c>
      <c r="Q28" s="24">
        <f t="shared" si="18"/>
        <v>3</v>
      </c>
      <c r="R28" s="24">
        <f t="shared" si="19"/>
        <v>6</v>
      </c>
      <c r="S28" s="23" t="str">
        <f t="shared" si="20"/>
        <v>CPF de DF/Goiás/MT/MS ou Tocantis</v>
      </c>
      <c r="T28" s="23"/>
      <c r="U28" s="23"/>
    </row>
    <row r="29" spans="1:21" x14ac:dyDescent="0.25">
      <c r="A29" s="23" t="str">
        <f t="shared" si="21"/>
        <v>58898165814</v>
      </c>
      <c r="B29" s="23">
        <f t="shared" si="3"/>
        <v>357</v>
      </c>
      <c r="C29" s="23">
        <f t="shared" si="4"/>
        <v>427</v>
      </c>
      <c r="D29" s="23">
        <f t="shared" si="5"/>
        <v>5</v>
      </c>
      <c r="E29" s="23">
        <f t="shared" si="6"/>
        <v>9</v>
      </c>
      <c r="F29" s="23">
        <f t="shared" si="7"/>
        <v>6</v>
      </c>
      <c r="G29" s="23">
        <f t="shared" si="8"/>
        <v>2</v>
      </c>
      <c r="H29" s="24">
        <f t="shared" si="9"/>
        <v>5</v>
      </c>
      <c r="I29" s="24">
        <f t="shared" si="10"/>
        <v>8</v>
      </c>
      <c r="J29" s="24">
        <f t="shared" si="11"/>
        <v>8</v>
      </c>
      <c r="K29" s="24">
        <f t="shared" si="12"/>
        <v>9</v>
      </c>
      <c r="L29" s="24">
        <f t="shared" si="13"/>
        <v>8</v>
      </c>
      <c r="M29" s="24">
        <f t="shared" si="14"/>
        <v>1</v>
      </c>
      <c r="N29" s="24">
        <f t="shared" si="15"/>
        <v>6</v>
      </c>
      <c r="O29" s="24">
        <f t="shared" si="16"/>
        <v>5</v>
      </c>
      <c r="P29" s="24">
        <f t="shared" si="17"/>
        <v>8</v>
      </c>
      <c r="Q29" s="24">
        <f t="shared" si="18"/>
        <v>1</v>
      </c>
      <c r="R29" s="24">
        <f t="shared" si="19"/>
        <v>4</v>
      </c>
      <c r="S29" s="23" t="str">
        <f t="shared" si="20"/>
        <v>CPF de Sp</v>
      </c>
      <c r="T29" s="23"/>
      <c r="U29" s="23"/>
    </row>
    <row r="30" spans="1:21" x14ac:dyDescent="0.25">
      <c r="A30" s="23" t="str">
        <f t="shared" si="21"/>
        <v>88599611497</v>
      </c>
      <c r="B30" s="23">
        <f t="shared" si="3"/>
        <v>354</v>
      </c>
      <c r="C30" s="23">
        <f t="shared" si="4"/>
        <v>423</v>
      </c>
      <c r="D30" s="23">
        <f t="shared" si="5"/>
        <v>2</v>
      </c>
      <c r="E30" s="23">
        <f t="shared" si="6"/>
        <v>5</v>
      </c>
      <c r="F30" s="23">
        <f t="shared" si="7"/>
        <v>9</v>
      </c>
      <c r="G30" s="23">
        <f t="shared" si="8"/>
        <v>6</v>
      </c>
      <c r="H30" s="24">
        <f t="shared" si="9"/>
        <v>8</v>
      </c>
      <c r="I30" s="24">
        <f t="shared" si="10"/>
        <v>8</v>
      </c>
      <c r="J30" s="24">
        <f t="shared" si="11"/>
        <v>5</v>
      </c>
      <c r="K30" s="24">
        <f t="shared" si="12"/>
        <v>9</v>
      </c>
      <c r="L30" s="24">
        <f t="shared" si="13"/>
        <v>9</v>
      </c>
      <c r="M30" s="24">
        <f t="shared" si="14"/>
        <v>6</v>
      </c>
      <c r="N30" s="24">
        <f t="shared" si="15"/>
        <v>1</v>
      </c>
      <c r="O30" s="24">
        <f t="shared" si="16"/>
        <v>1</v>
      </c>
      <c r="P30" s="24">
        <f t="shared" si="17"/>
        <v>4</v>
      </c>
      <c r="Q30" s="24">
        <f t="shared" si="18"/>
        <v>9</v>
      </c>
      <c r="R30" s="24">
        <f t="shared" si="19"/>
        <v>7</v>
      </c>
      <c r="S30" s="23" t="str">
        <f t="shared" si="20"/>
        <v>CPF de Paraíba/PE/AL/RG</v>
      </c>
      <c r="T30" s="23"/>
      <c r="U30" s="23"/>
    </row>
    <row r="31" spans="1:21" x14ac:dyDescent="0.25">
      <c r="A31" s="23" t="str">
        <f t="shared" si="21"/>
        <v>15975325801</v>
      </c>
      <c r="B31" s="23">
        <f t="shared" si="3"/>
        <v>260</v>
      </c>
      <c r="C31" s="23">
        <f t="shared" si="4"/>
        <v>313</v>
      </c>
      <c r="D31" s="23">
        <f t="shared" si="5"/>
        <v>7</v>
      </c>
      <c r="E31" s="23">
        <f t="shared" si="6"/>
        <v>5</v>
      </c>
      <c r="F31" s="23">
        <f t="shared" si="7"/>
        <v>4</v>
      </c>
      <c r="G31" s="23">
        <f t="shared" si="8"/>
        <v>6</v>
      </c>
      <c r="H31" s="24">
        <f t="shared" si="9"/>
        <v>1</v>
      </c>
      <c r="I31" s="24">
        <f t="shared" si="10"/>
        <v>5</v>
      </c>
      <c r="J31" s="24">
        <f t="shared" si="11"/>
        <v>9</v>
      </c>
      <c r="K31" s="24">
        <f t="shared" si="12"/>
        <v>7</v>
      </c>
      <c r="L31" s="24">
        <f t="shared" si="13"/>
        <v>5</v>
      </c>
      <c r="M31" s="24">
        <f t="shared" si="14"/>
        <v>3</v>
      </c>
      <c r="N31" s="24">
        <f t="shared" si="15"/>
        <v>2</v>
      </c>
      <c r="O31" s="24">
        <f t="shared" si="16"/>
        <v>5</v>
      </c>
      <c r="P31" s="24">
        <f t="shared" si="17"/>
        <v>8</v>
      </c>
      <c r="Q31" s="24">
        <f t="shared" si="18"/>
        <v>0</v>
      </c>
      <c r="R31" s="24">
        <f t="shared" si="19"/>
        <v>1</v>
      </c>
      <c r="S31" s="23" t="str">
        <f t="shared" si="20"/>
        <v>CPF de Sp</v>
      </c>
      <c r="T31" s="23"/>
      <c r="U31" s="23"/>
    </row>
    <row r="32" spans="1:21" x14ac:dyDescent="0.25">
      <c r="A32" s="23" t="str">
        <f t="shared" si="21"/>
        <v>35775345691</v>
      </c>
      <c r="B32" s="23">
        <f t="shared" si="3"/>
        <v>268</v>
      </c>
      <c r="C32" s="23">
        <f t="shared" si="4"/>
        <v>327</v>
      </c>
      <c r="D32" s="23">
        <f t="shared" si="5"/>
        <v>4</v>
      </c>
      <c r="E32" s="23">
        <f t="shared" si="6"/>
        <v>8</v>
      </c>
      <c r="F32" s="23">
        <f t="shared" si="7"/>
        <v>7</v>
      </c>
      <c r="G32" s="23">
        <f t="shared" si="8"/>
        <v>3</v>
      </c>
      <c r="H32" s="24">
        <f t="shared" si="9"/>
        <v>3</v>
      </c>
      <c r="I32" s="24">
        <f t="shared" si="10"/>
        <v>5</v>
      </c>
      <c r="J32" s="24">
        <f t="shared" si="11"/>
        <v>7</v>
      </c>
      <c r="K32" s="24">
        <f t="shared" si="12"/>
        <v>7</v>
      </c>
      <c r="L32" s="24">
        <f t="shared" si="13"/>
        <v>5</v>
      </c>
      <c r="M32" s="24">
        <f t="shared" si="14"/>
        <v>3</v>
      </c>
      <c r="N32" s="24">
        <f t="shared" si="15"/>
        <v>4</v>
      </c>
      <c r="O32" s="24">
        <f t="shared" si="16"/>
        <v>5</v>
      </c>
      <c r="P32" s="24">
        <f t="shared" si="17"/>
        <v>6</v>
      </c>
      <c r="Q32" s="24">
        <f t="shared" si="18"/>
        <v>9</v>
      </c>
      <c r="R32" s="24">
        <f t="shared" si="19"/>
        <v>1</v>
      </c>
      <c r="S32" s="23" t="str">
        <f t="shared" si="20"/>
        <v>CPF de MG</v>
      </c>
      <c r="T32" s="23"/>
      <c r="U32" s="23"/>
    </row>
  </sheetData>
  <dataConsolidate/>
  <mergeCells count="1">
    <mergeCell ref="A1:K1"/>
  </mergeCells>
  <dataValidations count="3">
    <dataValidation type="textLength" operator="greaterThan" allowBlank="1" showInputMessage="1" showErrorMessage="1" errorTitle="Atenção" error="O nome precisa ter pelo menos 3 letras!" sqref="A3">
      <formula1>3</formula1>
    </dataValidation>
    <dataValidation type="date" allowBlank="1" showInputMessage="1" showErrorMessage="1" errorTitle="Atenção" error="A data de nascimento deve ser maior que 01/01/1950 e menor que a data atual." sqref="D3">
      <formula1>18264</formula1>
      <formula2>TODAY()</formula2>
    </dataValidation>
    <dataValidation type="list" allowBlank="1" showInputMessage="1" showErrorMessage="1" sqref="F3:F11">
      <formula1>$M$1:$M$10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Cortes!$A$2:$A$21</xm:f>
          </x14:formula1>
          <xm:sqref>H3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Cortes</vt:lpstr>
      <vt:lpstr>Cálculos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gustavo_assis</cp:lastModifiedBy>
  <cp:revision/>
  <dcterms:created xsi:type="dcterms:W3CDTF">2019-05-30T18:07:14Z</dcterms:created>
  <dcterms:modified xsi:type="dcterms:W3CDTF">2019-05-31T00:45:06Z</dcterms:modified>
  <cp:category/>
  <cp:contentStatus/>
</cp:coreProperties>
</file>