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E\Desktop\"/>
    </mc:Choice>
  </mc:AlternateContent>
  <xr:revisionPtr revIDLastSave="0" documentId="13_ncr:1_{4263AAF7-9017-4A1A-8520-29C1D076D92A}" xr6:coauthVersionLast="41" xr6:coauthVersionMax="41" xr10:uidLastSave="{00000000-0000-0000-0000-000000000000}"/>
  <bookViews>
    <workbookView xWindow="-120" yWindow="-120" windowWidth="20640" windowHeight="11160" firstSheet="16" activeTab="23" xr2:uid="{97162846-EF00-4A09-A1BF-1839B83E6CF7}"/>
  </bookViews>
  <sheets>
    <sheet name="Лист1" sheetId="1" r:id="rId1"/>
    <sheet name="To'lovlar" sheetId="6" r:id="rId2"/>
    <sheet name="Лист2" sheetId="12" r:id="rId3"/>
    <sheet name="49,2m2" sheetId="2" r:id="rId4"/>
    <sheet name="Qarzlar" sheetId="4" r:id="rId5"/>
    <sheet name="Лист3" sheetId="7" r:id="rId6"/>
    <sheet name="Лист4" sheetId="8" r:id="rId7"/>
    <sheet name="Лист5" sheetId="9" r:id="rId8"/>
    <sheet name="kriditlar" sheetId="11" r:id="rId9"/>
    <sheet name="yanvar to'lov" sheetId="13" r:id="rId10"/>
    <sheet name="May " sheetId="14" r:id="rId11"/>
    <sheet name="Лист7" sheetId="15" r:id="rId12"/>
    <sheet name="Лист8" sheetId="17" r:id="rId13"/>
    <sheet name="To'y" sheetId="18" r:id="rId14"/>
    <sheet name="to'yona" sheetId="19" r:id="rId15"/>
    <sheet name="Dasturxon" sheetId="21" r:id="rId16"/>
    <sheet name="Лист6" sheetId="20" r:id="rId17"/>
    <sheet name="Sentyabr" sheetId="22" r:id="rId18"/>
    <sheet name="Лист13" sheetId="26" r:id="rId19"/>
    <sheet name="Oktyabr" sheetId="23" r:id="rId20"/>
    <sheet name="Лист9" sheetId="27" r:id="rId21"/>
    <sheet name="Noyabr" sheetId="24" r:id="rId22"/>
    <sheet name="Dekabr" sheetId="25" r:id="rId23"/>
    <sheet name="XARAJATLAR" sheetId="28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8" l="1"/>
  <c r="D24" i="28"/>
  <c r="E24" i="28" s="1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Q24" i="28" s="1"/>
  <c r="R24" i="28" s="1"/>
  <c r="S24" i="28" s="1"/>
  <c r="T24" i="28" s="1"/>
  <c r="U24" i="28" s="1"/>
  <c r="V24" i="28" s="1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F19" i="28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Q19" i="28" s="1"/>
  <c r="R19" i="28" s="1"/>
  <c r="S19" i="28" s="1"/>
  <c r="T19" i="28" s="1"/>
  <c r="U19" i="28" s="1"/>
  <c r="V19" i="28" s="1"/>
  <c r="E19" i="28"/>
  <c r="E15" i="28"/>
  <c r="F15" i="28"/>
  <c r="G15" i="28"/>
  <c r="H15" i="28"/>
  <c r="D15" i="28"/>
  <c r="C3" i="28"/>
  <c r="I5" i="25" l="1"/>
  <c r="I6" i="25" l="1"/>
  <c r="I11" i="25" s="1"/>
  <c r="I13" i="25" s="1"/>
  <c r="I7" i="25"/>
  <c r="E4" i="23"/>
  <c r="E18" i="23"/>
  <c r="E13" i="23"/>
  <c r="E11" i="23"/>
  <c r="E9" i="23"/>
  <c r="E12" i="23"/>
  <c r="E6" i="23"/>
  <c r="E7" i="23"/>
  <c r="E8" i="23"/>
  <c r="E10" i="23"/>
  <c r="E14" i="23"/>
  <c r="E15" i="23"/>
  <c r="E16" i="23"/>
  <c r="E17" i="23"/>
  <c r="E19" i="23"/>
  <c r="E20" i="23"/>
  <c r="E21" i="23"/>
  <c r="E22" i="23"/>
  <c r="E23" i="23"/>
  <c r="E24" i="23"/>
  <c r="E25" i="23"/>
  <c r="E26" i="23"/>
  <c r="E27" i="23"/>
  <c r="E2" i="23"/>
  <c r="E3" i="23"/>
  <c r="E29" i="22" l="1"/>
  <c r="J6" i="12" l="1"/>
  <c r="J7" i="12"/>
  <c r="J10" i="12"/>
  <c r="J12" i="12"/>
  <c r="H1" i="12"/>
  <c r="E1" i="12"/>
  <c r="E3" i="12" s="1"/>
  <c r="H3" i="12"/>
  <c r="H5" i="12" s="1"/>
  <c r="D5" i="26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5" i="23"/>
  <c r="C2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C2" i="22"/>
  <c r="E2" i="22" s="1"/>
  <c r="J3" i="12" l="1"/>
  <c r="E4" i="12"/>
  <c r="E8" i="12" s="1"/>
  <c r="E5" i="12"/>
  <c r="J5" i="12" s="1"/>
  <c r="H4" i="12"/>
  <c r="E25" i="25"/>
  <c r="E31" i="25" s="1"/>
  <c r="E26" i="24"/>
  <c r="E32" i="24" s="1"/>
  <c r="E29" i="23"/>
  <c r="E35" i="23" s="1"/>
  <c r="E26" i="22"/>
  <c r="E32" i="22" s="1"/>
  <c r="C18" i="19"/>
  <c r="C25" i="19"/>
  <c r="C23" i="19"/>
  <c r="C19" i="19"/>
  <c r="H8" i="12" l="1"/>
  <c r="J8" i="12" s="1"/>
  <c r="J4" i="12"/>
  <c r="E9" i="12"/>
  <c r="E11" i="12" s="1"/>
  <c r="H9" i="12"/>
  <c r="C8" i="19"/>
  <c r="H26" i="19"/>
  <c r="H11" i="12" l="1"/>
  <c r="J9" i="12"/>
  <c r="I14" i="20"/>
  <c r="I15" i="20"/>
  <c r="I16" i="20"/>
  <c r="I17" i="20"/>
  <c r="I18" i="20"/>
  <c r="I19" i="20"/>
  <c r="I20" i="20"/>
  <c r="I21" i="20"/>
  <c r="I22" i="20"/>
  <c r="I23" i="20"/>
  <c r="E13" i="12" l="1"/>
  <c r="J13" i="12" s="1"/>
  <c r="J11" i="12"/>
  <c r="C22" i="19"/>
  <c r="C17" i="19"/>
  <c r="H11" i="19" l="1"/>
  <c r="H7" i="19"/>
  <c r="H3" i="19"/>
  <c r="G4" i="21" l="1"/>
  <c r="H4" i="21"/>
  <c r="I4" i="2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K4" i="2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L4" i="21"/>
  <c r="M4" i="21"/>
  <c r="N4" i="2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O4" i="21"/>
  <c r="P4" i="2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R4" i="2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S4" i="2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T4" i="21"/>
  <c r="U4" i="21"/>
  <c r="V4" i="2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W4" i="21"/>
  <c r="X4" i="21"/>
  <c r="Y4" i="2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Z4" i="2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AA4" i="21"/>
  <c r="AA5" i="21" s="1"/>
  <c r="AA6" i="21" s="1"/>
  <c r="AA7" i="21" s="1"/>
  <c r="AA8" i="21" s="1"/>
  <c r="AA9" i="21" s="1"/>
  <c r="AA10" i="21" s="1"/>
  <c r="AA11" i="21" s="1"/>
  <c r="AA12" i="21" s="1"/>
  <c r="AA13" i="21" s="1"/>
  <c r="AA14" i="21" s="1"/>
  <c r="AA15" i="21" s="1"/>
  <c r="AA16" i="21" s="1"/>
  <c r="AA17" i="21" s="1"/>
  <c r="AA18" i="21" s="1"/>
  <c r="AA19" i="21" s="1"/>
  <c r="AA20" i="21" s="1"/>
  <c r="AA21" i="21" s="1"/>
  <c r="AA22" i="21" s="1"/>
  <c r="AA23" i="21" s="1"/>
  <c r="AA24" i="21" s="1"/>
  <c r="AA25" i="21" s="1"/>
  <c r="AA26" i="21" s="1"/>
  <c r="AA27" i="21" s="1"/>
  <c r="AA28" i="21" s="1"/>
  <c r="AA29" i="21" s="1"/>
  <c r="AA30" i="21" s="1"/>
  <c r="AB4" i="21"/>
  <c r="AC4" i="21"/>
  <c r="AC5" i="21" s="1"/>
  <c r="AC6" i="21" s="1"/>
  <c r="AC7" i="21" s="1"/>
  <c r="AC8" i="21" s="1"/>
  <c r="AC9" i="21" s="1"/>
  <c r="AC10" i="21" s="1"/>
  <c r="AC11" i="21" s="1"/>
  <c r="AC12" i="21" s="1"/>
  <c r="AC13" i="21" s="1"/>
  <c r="AC14" i="21" s="1"/>
  <c r="AD4" i="21"/>
  <c r="AD5" i="21" s="1"/>
  <c r="AD6" i="21" s="1"/>
  <c r="AD7" i="21" s="1"/>
  <c r="AD8" i="21" s="1"/>
  <c r="AD9" i="21" s="1"/>
  <c r="AD10" i="21" s="1"/>
  <c r="AD11" i="21" s="1"/>
  <c r="AD12" i="21" s="1"/>
  <c r="AD13" i="21" s="1"/>
  <c r="AD14" i="21" s="1"/>
  <c r="AD15" i="21" s="1"/>
  <c r="AD16" i="21" s="1"/>
  <c r="AD17" i="21" s="1"/>
  <c r="AD18" i="21" s="1"/>
  <c r="AD19" i="21" s="1"/>
  <c r="AD20" i="21" s="1"/>
  <c r="AD21" i="21" s="1"/>
  <c r="AD22" i="21" s="1"/>
  <c r="AD23" i="21" s="1"/>
  <c r="AD24" i="21" s="1"/>
  <c r="AD25" i="21" s="1"/>
  <c r="AD26" i="21" s="1"/>
  <c r="AD27" i="21" s="1"/>
  <c r="AD28" i="21" s="1"/>
  <c r="AD29" i="21" s="1"/>
  <c r="AD30" i="21" s="1"/>
  <c r="AD31" i="21" s="1"/>
  <c r="AD32" i="21" s="1"/>
  <c r="AE4" i="21"/>
  <c r="AF4" i="21"/>
  <c r="AG4" i="21"/>
  <c r="AG5" i="21" s="1"/>
  <c r="AG6" i="21" s="1"/>
  <c r="AG7" i="21" s="1"/>
  <c r="AG8" i="21" s="1"/>
  <c r="AG9" i="21" s="1"/>
  <c r="AG10" i="21" s="1"/>
  <c r="AG11" i="21" s="1"/>
  <c r="AG12" i="21" s="1"/>
  <c r="AG13" i="21" s="1"/>
  <c r="AG14" i="21" s="1"/>
  <c r="AG15" i="21" s="1"/>
  <c r="AG16" i="21" s="1"/>
  <c r="AG17" i="21" s="1"/>
  <c r="AG18" i="21" s="1"/>
  <c r="AG19" i="21" s="1"/>
  <c r="AG20" i="21" s="1"/>
  <c r="AG21" i="21" s="1"/>
  <c r="AH4" i="21"/>
  <c r="AH5" i="21" s="1"/>
  <c r="AH6" i="21" s="1"/>
  <c r="AH7" i="21" s="1"/>
  <c r="AH8" i="21" s="1"/>
  <c r="AH9" i="21" s="1"/>
  <c r="AH10" i="21" s="1"/>
  <c r="AH11" i="21" s="1"/>
  <c r="AH12" i="21" s="1"/>
  <c r="AH13" i="21" s="1"/>
  <c r="AH14" i="21" s="1"/>
  <c r="AH15" i="21" s="1"/>
  <c r="AH16" i="21" s="1"/>
  <c r="AH17" i="21" s="1"/>
  <c r="AH18" i="21" s="1"/>
  <c r="AH19" i="21" s="1"/>
  <c r="AH20" i="21" s="1"/>
  <c r="AH21" i="21" s="1"/>
  <c r="AH22" i="21" s="1"/>
  <c r="AH23" i="21" s="1"/>
  <c r="AH24" i="21" s="1"/>
  <c r="AH25" i="21" s="1"/>
  <c r="AH26" i="21" s="1"/>
  <c r="AH27" i="21" s="1"/>
  <c r="AH28" i="21" s="1"/>
  <c r="AH29" i="21" s="1"/>
  <c r="AH30" i="21" s="1"/>
  <c r="AH31" i="21" s="1"/>
  <c r="AH32" i="21" s="1"/>
  <c r="AI4" i="21"/>
  <c r="AI5" i="21" s="1"/>
  <c r="AI6" i="21" s="1"/>
  <c r="AI7" i="21" s="1"/>
  <c r="AI8" i="21" s="1"/>
  <c r="AI9" i="21" s="1"/>
  <c r="AI10" i="21" s="1"/>
  <c r="AJ4" i="21"/>
  <c r="AK4" i="21"/>
  <c r="AL4" i="21"/>
  <c r="AL5" i="21" s="1"/>
  <c r="AL6" i="21" s="1"/>
  <c r="AL7" i="21" s="1"/>
  <c r="AL8" i="21" s="1"/>
  <c r="AL9" i="21" s="1"/>
  <c r="AL10" i="21" s="1"/>
  <c r="AL11" i="21" s="1"/>
  <c r="AL12" i="21" s="1"/>
  <c r="AL13" i="21" s="1"/>
  <c r="AL14" i="21" s="1"/>
  <c r="AL15" i="21" s="1"/>
  <c r="AL16" i="21" s="1"/>
  <c r="AL17" i="21" s="1"/>
  <c r="AL18" i="21" s="1"/>
  <c r="AL19" i="21" s="1"/>
  <c r="AL20" i="21" s="1"/>
  <c r="AL21" i="21" s="1"/>
  <c r="AL22" i="21" s="1"/>
  <c r="AL23" i="21" s="1"/>
  <c r="AL24" i="21" s="1"/>
  <c r="AL25" i="21" s="1"/>
  <c r="AL26" i="21" s="1"/>
  <c r="AL27" i="21" s="1"/>
  <c r="AL28" i="21" s="1"/>
  <c r="AL29" i="21" s="1"/>
  <c r="AL30" i="21" s="1"/>
  <c r="AL31" i="21" s="1"/>
  <c r="AL32" i="21" s="1"/>
  <c r="AM4" i="21"/>
  <c r="AN4" i="21"/>
  <c r="AO4" i="21"/>
  <c r="AO5" i="21" s="1"/>
  <c r="AO6" i="21" s="1"/>
  <c r="AO7" i="21" s="1"/>
  <c r="AO8" i="21" s="1"/>
  <c r="AO9" i="21" s="1"/>
  <c r="AO10" i="21" s="1"/>
  <c r="AO11" i="21" s="1"/>
  <c r="AO12" i="21" s="1"/>
  <c r="AO13" i="21" s="1"/>
  <c r="AO14" i="21" s="1"/>
  <c r="AO15" i="21" s="1"/>
  <c r="AO16" i="21" s="1"/>
  <c r="AO17" i="21" s="1"/>
  <c r="AO18" i="21" s="1"/>
  <c r="AO19" i="21" s="1"/>
  <c r="AO20" i="21" s="1"/>
  <c r="AO21" i="21" s="1"/>
  <c r="AO22" i="21" s="1"/>
  <c r="AO23" i="21" s="1"/>
  <c r="AO24" i="21" s="1"/>
  <c r="AO25" i="21" s="1"/>
  <c r="AO26" i="21" s="1"/>
  <c r="AO27" i="21" s="1"/>
  <c r="AO28" i="21" s="1"/>
  <c r="AO29" i="21" s="1"/>
  <c r="AO30" i="21" s="1"/>
  <c r="AO31" i="21" s="1"/>
  <c r="AO32" i="21" s="1"/>
  <c r="AP4" i="21"/>
  <c r="AP5" i="21" s="1"/>
  <c r="AP6" i="21" s="1"/>
  <c r="AP7" i="21" s="1"/>
  <c r="AP8" i="21" s="1"/>
  <c r="AP9" i="21" s="1"/>
  <c r="AP10" i="21" s="1"/>
  <c r="AP11" i="21" s="1"/>
  <c r="AP12" i="21" s="1"/>
  <c r="AP13" i="21" s="1"/>
  <c r="AP14" i="21" s="1"/>
  <c r="AP15" i="21" s="1"/>
  <c r="AP16" i="21" s="1"/>
  <c r="AP17" i="21" s="1"/>
  <c r="AP18" i="21" s="1"/>
  <c r="AP19" i="21" s="1"/>
  <c r="AP20" i="21" s="1"/>
  <c r="AP21" i="21" s="1"/>
  <c r="AP22" i="21" s="1"/>
  <c r="AP23" i="21" s="1"/>
  <c r="AP24" i="21" s="1"/>
  <c r="AP25" i="21" s="1"/>
  <c r="AP26" i="21" s="1"/>
  <c r="AP27" i="21" s="1"/>
  <c r="AP28" i="21" s="1"/>
  <c r="AP29" i="21" s="1"/>
  <c r="AP30" i="21" s="1"/>
  <c r="AP31" i="21" s="1"/>
  <c r="AP32" i="21" s="1"/>
  <c r="AQ4" i="21"/>
  <c r="AR4" i="21"/>
  <c r="AS4" i="21"/>
  <c r="AS5" i="21" s="1"/>
  <c r="AS6" i="21" s="1"/>
  <c r="AS7" i="21" s="1"/>
  <c r="AS8" i="21" s="1"/>
  <c r="AS9" i="21" s="1"/>
  <c r="AS10" i="21" s="1"/>
  <c r="AS11" i="21" s="1"/>
  <c r="AS12" i="21" s="1"/>
  <c r="AS13" i="21" s="1"/>
  <c r="AS14" i="21" s="1"/>
  <c r="AS15" i="21" s="1"/>
  <c r="AS16" i="21" s="1"/>
  <c r="AS17" i="21" s="1"/>
  <c r="AS18" i="21" s="1"/>
  <c r="AS19" i="21" s="1"/>
  <c r="AS20" i="21" s="1"/>
  <c r="AS21" i="21" s="1"/>
  <c r="AS22" i="21" s="1"/>
  <c r="AS23" i="21" s="1"/>
  <c r="AS24" i="21" s="1"/>
  <c r="AS25" i="21" s="1"/>
  <c r="AS26" i="21" s="1"/>
  <c r="AS27" i="21" s="1"/>
  <c r="AS28" i="21" s="1"/>
  <c r="AS29" i="21" s="1"/>
  <c r="AS30" i="21" s="1"/>
  <c r="AS31" i="21" s="1"/>
  <c r="AS32" i="21" s="1"/>
  <c r="AT4" i="21"/>
  <c r="AT5" i="21" s="1"/>
  <c r="AT6" i="21" s="1"/>
  <c r="AT7" i="21" s="1"/>
  <c r="AT8" i="21" s="1"/>
  <c r="AT9" i="21" s="1"/>
  <c r="AT10" i="21" s="1"/>
  <c r="AT11" i="21" s="1"/>
  <c r="AT12" i="21" s="1"/>
  <c r="AT13" i="21" s="1"/>
  <c r="AT14" i="21" s="1"/>
  <c r="AT15" i="21" s="1"/>
  <c r="AT16" i="21" s="1"/>
  <c r="AT17" i="21" s="1"/>
  <c r="AT18" i="21" s="1"/>
  <c r="AT19" i="21" s="1"/>
  <c r="AT20" i="21" s="1"/>
  <c r="AT21" i="21" s="1"/>
  <c r="AT22" i="21" s="1"/>
  <c r="AT23" i="21" s="1"/>
  <c r="AT24" i="21" s="1"/>
  <c r="AT25" i="21" s="1"/>
  <c r="AT26" i="21" s="1"/>
  <c r="AT27" i="21" s="1"/>
  <c r="AT28" i="21" s="1"/>
  <c r="AT29" i="21" s="1"/>
  <c r="AT30" i="21" s="1"/>
  <c r="AT31" i="21" s="1"/>
  <c r="AT32" i="21" s="1"/>
  <c r="AU4" i="21"/>
  <c r="AV4" i="21"/>
  <c r="AW4" i="21"/>
  <c r="AW5" i="21" s="1"/>
  <c r="AW6" i="21" s="1"/>
  <c r="AW7" i="21" s="1"/>
  <c r="AW8" i="21" s="1"/>
  <c r="AW9" i="21" s="1"/>
  <c r="AW10" i="21" s="1"/>
  <c r="AW11" i="21" s="1"/>
  <c r="AW12" i="21" s="1"/>
  <c r="AW13" i="21" s="1"/>
  <c r="AW14" i="21" s="1"/>
  <c r="AW15" i="21" s="1"/>
  <c r="AW16" i="21" s="1"/>
  <c r="AW17" i="21" s="1"/>
  <c r="AW18" i="21" s="1"/>
  <c r="AW19" i="21" s="1"/>
  <c r="AW20" i="21" s="1"/>
  <c r="AW21" i="21" s="1"/>
  <c r="AW22" i="21" s="1"/>
  <c r="AW23" i="21" s="1"/>
  <c r="AW24" i="21" s="1"/>
  <c r="AW25" i="21" s="1"/>
  <c r="AW26" i="21" s="1"/>
  <c r="AW27" i="21" s="1"/>
  <c r="AW28" i="21" s="1"/>
  <c r="AW29" i="21" s="1"/>
  <c r="AW30" i="21" s="1"/>
  <c r="AW31" i="21" s="1"/>
  <c r="AW32" i="21" s="1"/>
  <c r="AX4" i="21"/>
  <c r="AX5" i="21" s="1"/>
  <c r="AX6" i="21" s="1"/>
  <c r="AX7" i="21" s="1"/>
  <c r="AX8" i="21" s="1"/>
  <c r="AX9" i="21" s="1"/>
  <c r="AX10" i="21" s="1"/>
  <c r="AX11" i="21" s="1"/>
  <c r="AX12" i="21" s="1"/>
  <c r="AX13" i="21" s="1"/>
  <c r="AX14" i="21" s="1"/>
  <c r="AX15" i="21" s="1"/>
  <c r="AX16" i="21" s="1"/>
  <c r="AX17" i="21" s="1"/>
  <c r="AX18" i="21" s="1"/>
  <c r="AX19" i="21" s="1"/>
  <c r="AX20" i="21" s="1"/>
  <c r="AX21" i="21" s="1"/>
  <c r="AX22" i="21" s="1"/>
  <c r="AX23" i="21" s="1"/>
  <c r="AX24" i="21" s="1"/>
  <c r="AX25" i="21" s="1"/>
  <c r="AX26" i="21" s="1"/>
  <c r="AX27" i="21" s="1"/>
  <c r="AX28" i="21" s="1"/>
  <c r="AX29" i="21" s="1"/>
  <c r="AX30" i="21" s="1"/>
  <c r="AX31" i="21" s="1"/>
  <c r="AX32" i="21" s="1"/>
  <c r="AY4" i="21"/>
  <c r="AY5" i="21" s="1"/>
  <c r="AY6" i="21" s="1"/>
  <c r="AY7" i="21" s="1"/>
  <c r="AY8" i="21" s="1"/>
  <c r="AY9" i="21" s="1"/>
  <c r="AY10" i="21" s="1"/>
  <c r="AY11" i="21" s="1"/>
  <c r="AY12" i="21" s="1"/>
  <c r="AZ4" i="21"/>
  <c r="BA4" i="21"/>
  <c r="BA5" i="21" s="1"/>
  <c r="BA6" i="21" s="1"/>
  <c r="BA7" i="21" s="1"/>
  <c r="BA8" i="21" s="1"/>
  <c r="BA9" i="21" s="1"/>
  <c r="BA10" i="21" s="1"/>
  <c r="BA11" i="21" s="1"/>
  <c r="BA12" i="21" s="1"/>
  <c r="BA13" i="21" s="1"/>
  <c r="BA14" i="21" s="1"/>
  <c r="BA15" i="21" s="1"/>
  <c r="BA16" i="21" s="1"/>
  <c r="BA17" i="21" s="1"/>
  <c r="BA18" i="21" s="1"/>
  <c r="BA19" i="21" s="1"/>
  <c r="BA20" i="21" s="1"/>
  <c r="BA21" i="21" s="1"/>
  <c r="BA22" i="21" s="1"/>
  <c r="BA23" i="21" s="1"/>
  <c r="BA24" i="21" s="1"/>
  <c r="BA25" i="21" s="1"/>
  <c r="BA26" i="21" s="1"/>
  <c r="BA27" i="21" s="1"/>
  <c r="BA28" i="21" s="1"/>
  <c r="BA29" i="21" s="1"/>
  <c r="BA30" i="21" s="1"/>
  <c r="BA31" i="21" s="1"/>
  <c r="BA32" i="21" s="1"/>
  <c r="BB4" i="21"/>
  <c r="BB5" i="21" s="1"/>
  <c r="BB6" i="21" s="1"/>
  <c r="BB7" i="21" s="1"/>
  <c r="BB8" i="21" s="1"/>
  <c r="BB9" i="21" s="1"/>
  <c r="BB10" i="21" s="1"/>
  <c r="BB11" i="21" s="1"/>
  <c r="BB12" i="21" s="1"/>
  <c r="BB13" i="21" s="1"/>
  <c r="BB14" i="21" s="1"/>
  <c r="BB15" i="21" s="1"/>
  <c r="BB16" i="21" s="1"/>
  <c r="BB17" i="21" s="1"/>
  <c r="BB18" i="21" s="1"/>
  <c r="BB19" i="21" s="1"/>
  <c r="BB20" i="21" s="1"/>
  <c r="BB21" i="21" s="1"/>
  <c r="BB22" i="21" s="1"/>
  <c r="BB23" i="21" s="1"/>
  <c r="BB24" i="21" s="1"/>
  <c r="BB25" i="21" s="1"/>
  <c r="BB26" i="21" s="1"/>
  <c r="BB27" i="21" s="1"/>
  <c r="BB28" i="21" s="1"/>
  <c r="BB29" i="21" s="1"/>
  <c r="BB30" i="21" s="1"/>
  <c r="BB31" i="21" s="1"/>
  <c r="BB32" i="21" s="1"/>
  <c r="BC4" i="21"/>
  <c r="BD4" i="21"/>
  <c r="BE4" i="21"/>
  <c r="BE5" i="21" s="1"/>
  <c r="BE6" i="21" s="1"/>
  <c r="BE7" i="21" s="1"/>
  <c r="BE8" i="21" s="1"/>
  <c r="BE9" i="21" s="1"/>
  <c r="BE10" i="21" s="1"/>
  <c r="BE11" i="21" s="1"/>
  <c r="BE12" i="21" s="1"/>
  <c r="BE13" i="21" s="1"/>
  <c r="BE14" i="21" s="1"/>
  <c r="BE15" i="21" s="1"/>
  <c r="BE16" i="21" s="1"/>
  <c r="BE17" i="21" s="1"/>
  <c r="BE18" i="21" s="1"/>
  <c r="BE19" i="21" s="1"/>
  <c r="BE20" i="21" s="1"/>
  <c r="BE21" i="21" s="1"/>
  <c r="BE22" i="21" s="1"/>
  <c r="BE23" i="21" s="1"/>
  <c r="BE24" i="21" s="1"/>
  <c r="BE25" i="21" s="1"/>
  <c r="BE26" i="21" s="1"/>
  <c r="BE27" i="21" s="1"/>
  <c r="BE28" i="21" s="1"/>
  <c r="BE29" i="21" s="1"/>
  <c r="BE30" i="21" s="1"/>
  <c r="BE31" i="21" s="1"/>
  <c r="BE32" i="21" s="1"/>
  <c r="BF4" i="21"/>
  <c r="BF5" i="21" s="1"/>
  <c r="BF6" i="21" s="1"/>
  <c r="BF7" i="21" s="1"/>
  <c r="BF8" i="21" s="1"/>
  <c r="BF9" i="21" s="1"/>
  <c r="BF10" i="21" s="1"/>
  <c r="BF11" i="21" s="1"/>
  <c r="BF12" i="21" s="1"/>
  <c r="BF13" i="21" s="1"/>
  <c r="BF14" i="21" s="1"/>
  <c r="BF15" i="21" s="1"/>
  <c r="BF16" i="21" s="1"/>
  <c r="BF17" i="21" s="1"/>
  <c r="BF18" i="21" s="1"/>
  <c r="BF19" i="21" s="1"/>
  <c r="BF20" i="21" s="1"/>
  <c r="BF21" i="21" s="1"/>
  <c r="BF22" i="21" s="1"/>
  <c r="BF23" i="21" s="1"/>
  <c r="BF24" i="21" s="1"/>
  <c r="BF25" i="21" s="1"/>
  <c r="BF26" i="21" s="1"/>
  <c r="BF27" i="21" s="1"/>
  <c r="BF28" i="21" s="1"/>
  <c r="BF29" i="21" s="1"/>
  <c r="BF30" i="21" s="1"/>
  <c r="BF31" i="21" s="1"/>
  <c r="BF32" i="21" s="1"/>
  <c r="BG4" i="21"/>
  <c r="BH4" i="21"/>
  <c r="BI4" i="21"/>
  <c r="BI5" i="21" s="1"/>
  <c r="BI6" i="21" s="1"/>
  <c r="BI7" i="21" s="1"/>
  <c r="BI8" i="21" s="1"/>
  <c r="BI9" i="21" s="1"/>
  <c r="BI10" i="21" s="1"/>
  <c r="BJ4" i="21"/>
  <c r="BJ5" i="21" s="1"/>
  <c r="BJ6" i="21" s="1"/>
  <c r="BJ7" i="21" s="1"/>
  <c r="BJ8" i="21" s="1"/>
  <c r="BJ9" i="21" s="1"/>
  <c r="BJ10" i="21" s="1"/>
  <c r="BJ11" i="21" s="1"/>
  <c r="BJ12" i="21" s="1"/>
  <c r="BJ13" i="21" s="1"/>
  <c r="BJ14" i="21" s="1"/>
  <c r="BJ15" i="21" s="1"/>
  <c r="BJ16" i="21" s="1"/>
  <c r="BJ17" i="21" s="1"/>
  <c r="BJ18" i="21" s="1"/>
  <c r="BJ19" i="21" s="1"/>
  <c r="BJ20" i="21" s="1"/>
  <c r="BJ21" i="21" s="1"/>
  <c r="BJ22" i="21" s="1"/>
  <c r="BJ23" i="21" s="1"/>
  <c r="BJ24" i="21" s="1"/>
  <c r="BJ25" i="21" s="1"/>
  <c r="BJ26" i="21" s="1"/>
  <c r="BJ27" i="21" s="1"/>
  <c r="BJ28" i="21" s="1"/>
  <c r="BJ29" i="21" s="1"/>
  <c r="BJ30" i="21" s="1"/>
  <c r="BJ31" i="21" s="1"/>
  <c r="BJ32" i="21" s="1"/>
  <c r="BK4" i="21"/>
  <c r="BL4" i="21"/>
  <c r="BM4" i="21"/>
  <c r="BM5" i="21" s="1"/>
  <c r="BM6" i="21" s="1"/>
  <c r="BM7" i="21" s="1"/>
  <c r="BM8" i="21" s="1"/>
  <c r="BM9" i="21" s="1"/>
  <c r="BM10" i="21" s="1"/>
  <c r="BM11" i="21" s="1"/>
  <c r="BM12" i="21" s="1"/>
  <c r="BM13" i="21" s="1"/>
  <c r="BM14" i="21" s="1"/>
  <c r="BM15" i="21" s="1"/>
  <c r="BM16" i="21" s="1"/>
  <c r="BM17" i="21" s="1"/>
  <c r="BM18" i="21" s="1"/>
  <c r="BM19" i="21" s="1"/>
  <c r="BM20" i="21" s="1"/>
  <c r="BM21" i="21" s="1"/>
  <c r="BM22" i="21" s="1"/>
  <c r="BM23" i="21" s="1"/>
  <c r="BM24" i="21" s="1"/>
  <c r="BM25" i="21" s="1"/>
  <c r="BM26" i="21" s="1"/>
  <c r="BN4" i="21"/>
  <c r="BN5" i="21" s="1"/>
  <c r="BN6" i="21" s="1"/>
  <c r="BN7" i="21" s="1"/>
  <c r="BN8" i="21" s="1"/>
  <c r="BN9" i="21" s="1"/>
  <c r="BN10" i="21" s="1"/>
  <c r="BN11" i="21" s="1"/>
  <c r="BN12" i="21" s="1"/>
  <c r="BN13" i="21" s="1"/>
  <c r="BN14" i="21" s="1"/>
  <c r="BN15" i="21" s="1"/>
  <c r="BN16" i="21" s="1"/>
  <c r="BN17" i="21" s="1"/>
  <c r="BN18" i="21" s="1"/>
  <c r="BN19" i="21" s="1"/>
  <c r="BN20" i="21" s="1"/>
  <c r="BN21" i="21" s="1"/>
  <c r="BN22" i="21" s="1"/>
  <c r="BN23" i="21" s="1"/>
  <c r="BN24" i="21" s="1"/>
  <c r="BN25" i="21" s="1"/>
  <c r="BN26" i="21" s="1"/>
  <c r="BN27" i="21" s="1"/>
  <c r="BN28" i="21" s="1"/>
  <c r="BN29" i="21" s="1"/>
  <c r="BN30" i="21" s="1"/>
  <c r="BN31" i="21" s="1"/>
  <c r="BN32" i="21" s="1"/>
  <c r="BO4" i="21"/>
  <c r="BO5" i="21" s="1"/>
  <c r="BO6" i="21" s="1"/>
  <c r="BO7" i="21" s="1"/>
  <c r="BO8" i="21" s="1"/>
  <c r="BO9" i="21" s="1"/>
  <c r="BP4" i="21"/>
  <c r="BQ4" i="21"/>
  <c r="BQ5" i="21" s="1"/>
  <c r="BQ6" i="21" s="1"/>
  <c r="BQ7" i="21" s="1"/>
  <c r="BQ8" i="21" s="1"/>
  <c r="BQ9" i="21" s="1"/>
  <c r="BQ10" i="21" s="1"/>
  <c r="BQ11" i="21" s="1"/>
  <c r="BQ12" i="21" s="1"/>
  <c r="BQ13" i="21" s="1"/>
  <c r="BQ14" i="21" s="1"/>
  <c r="BQ15" i="21" s="1"/>
  <c r="BQ16" i="21" s="1"/>
  <c r="BQ17" i="21" s="1"/>
  <c r="BQ18" i="21" s="1"/>
  <c r="BQ19" i="21" s="1"/>
  <c r="BQ20" i="21" s="1"/>
  <c r="BQ21" i="21" s="1"/>
  <c r="BQ22" i="21" s="1"/>
  <c r="BQ23" i="21" s="1"/>
  <c r="BQ24" i="21" s="1"/>
  <c r="BQ25" i="21" s="1"/>
  <c r="BQ26" i="21" s="1"/>
  <c r="BQ27" i="21" s="1"/>
  <c r="BQ28" i="21" s="1"/>
  <c r="BQ29" i="21" s="1"/>
  <c r="BQ30" i="21" s="1"/>
  <c r="BQ31" i="21" s="1"/>
  <c r="BQ32" i="21" s="1"/>
  <c r="G5" i="2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L5" i="21"/>
  <c r="M5" i="2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O5" i="21"/>
  <c r="O6" i="21" s="1"/>
  <c r="O7" i="21" s="1"/>
  <c r="O8" i="21" s="1"/>
  <c r="O9" i="21" s="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P5" i="21"/>
  <c r="T5" i="21"/>
  <c r="U5" i="2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W5" i="2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X5" i="21"/>
  <c r="AB5" i="21"/>
  <c r="AE5" i="21"/>
  <c r="AE6" i="21" s="1"/>
  <c r="AE7" i="21" s="1"/>
  <c r="AE8" i="21" s="1"/>
  <c r="AE9" i="21" s="1"/>
  <c r="AE10" i="21" s="1"/>
  <c r="AE11" i="21" s="1"/>
  <c r="AE12" i="21" s="1"/>
  <c r="AE13" i="21" s="1"/>
  <c r="AE14" i="21" s="1"/>
  <c r="AE15" i="21" s="1"/>
  <c r="AE16" i="21" s="1"/>
  <c r="AE17" i="21" s="1"/>
  <c r="AE18" i="21" s="1"/>
  <c r="AE19" i="21" s="1"/>
  <c r="AE20" i="21" s="1"/>
  <c r="AE21" i="21" s="1"/>
  <c r="AE22" i="21" s="1"/>
  <c r="AE23" i="21" s="1"/>
  <c r="AE24" i="21" s="1"/>
  <c r="AE25" i="21" s="1"/>
  <c r="AE26" i="21" s="1"/>
  <c r="AE27" i="21" s="1"/>
  <c r="AE28" i="21" s="1"/>
  <c r="AE29" i="21" s="1"/>
  <c r="AE30" i="21" s="1"/>
  <c r="AE31" i="21" s="1"/>
  <c r="AE32" i="21" s="1"/>
  <c r="AF5" i="21"/>
  <c r="AF6" i="21" s="1"/>
  <c r="AF7" i="21" s="1"/>
  <c r="AF8" i="21" s="1"/>
  <c r="AF9" i="21" s="1"/>
  <c r="AF10" i="21" s="1"/>
  <c r="AF11" i="21" s="1"/>
  <c r="AF12" i="21" s="1"/>
  <c r="AF13" i="21" s="1"/>
  <c r="AF14" i="21" s="1"/>
  <c r="AF15" i="21" s="1"/>
  <c r="AF16" i="21" s="1"/>
  <c r="AF17" i="21" s="1"/>
  <c r="AF18" i="21" s="1"/>
  <c r="AF19" i="21" s="1"/>
  <c r="AF20" i="21" s="1"/>
  <c r="AJ5" i="21"/>
  <c r="AJ6" i="21" s="1"/>
  <c r="AJ7" i="21" s="1"/>
  <c r="AJ8" i="21" s="1"/>
  <c r="AJ9" i="21" s="1"/>
  <c r="AJ10" i="21" s="1"/>
  <c r="AJ11" i="21" s="1"/>
  <c r="AJ12" i="21" s="1"/>
  <c r="AJ13" i="21" s="1"/>
  <c r="AJ14" i="21" s="1"/>
  <c r="AJ15" i="21" s="1"/>
  <c r="AJ16" i="21" s="1"/>
  <c r="AJ17" i="21" s="1"/>
  <c r="AJ18" i="21" s="1"/>
  <c r="AJ19" i="21" s="1"/>
  <c r="AJ20" i="21" s="1"/>
  <c r="AJ21" i="21" s="1"/>
  <c r="AJ22" i="21" s="1"/>
  <c r="AJ23" i="21" s="1"/>
  <c r="AJ24" i="21" s="1"/>
  <c r="AJ25" i="21" s="1"/>
  <c r="AJ26" i="21" s="1"/>
  <c r="AJ27" i="21" s="1"/>
  <c r="AK5" i="21"/>
  <c r="AK6" i="21" s="1"/>
  <c r="AK7" i="21" s="1"/>
  <c r="AK8" i="21" s="1"/>
  <c r="AK9" i="21" s="1"/>
  <c r="AK10" i="21" s="1"/>
  <c r="AK11" i="21" s="1"/>
  <c r="AK12" i="21" s="1"/>
  <c r="AK13" i="21" s="1"/>
  <c r="AK14" i="21" s="1"/>
  <c r="AK15" i="21" s="1"/>
  <c r="AK16" i="21" s="1"/>
  <c r="AK17" i="21" s="1"/>
  <c r="AK18" i="21" s="1"/>
  <c r="AK19" i="21" s="1"/>
  <c r="AK20" i="21" s="1"/>
  <c r="AK21" i="21" s="1"/>
  <c r="AM5" i="21"/>
  <c r="AM6" i="21" s="1"/>
  <c r="AM7" i="21" s="1"/>
  <c r="AM8" i="21" s="1"/>
  <c r="AM9" i="21" s="1"/>
  <c r="AM10" i="21" s="1"/>
  <c r="AM11" i="21" s="1"/>
  <c r="AM12" i="21" s="1"/>
  <c r="AM13" i="21" s="1"/>
  <c r="AM14" i="21" s="1"/>
  <c r="AM15" i="21" s="1"/>
  <c r="AM16" i="21" s="1"/>
  <c r="AM17" i="21" s="1"/>
  <c r="AM18" i="21" s="1"/>
  <c r="AM19" i="21" s="1"/>
  <c r="AM20" i="21" s="1"/>
  <c r="AM21" i="21" s="1"/>
  <c r="AM22" i="21" s="1"/>
  <c r="AM23" i="21" s="1"/>
  <c r="AM24" i="21" s="1"/>
  <c r="AM25" i="21" s="1"/>
  <c r="AM26" i="21" s="1"/>
  <c r="AM27" i="21" s="1"/>
  <c r="AM28" i="21" s="1"/>
  <c r="AM29" i="21" s="1"/>
  <c r="AM30" i="21" s="1"/>
  <c r="AM31" i="21" s="1"/>
  <c r="AM32" i="21" s="1"/>
  <c r="AN5" i="21"/>
  <c r="AQ5" i="21"/>
  <c r="AQ6" i="21" s="1"/>
  <c r="AQ7" i="21" s="1"/>
  <c r="AQ8" i="21" s="1"/>
  <c r="AQ9" i="21" s="1"/>
  <c r="AQ10" i="21" s="1"/>
  <c r="AQ11" i="21" s="1"/>
  <c r="AQ12" i="21" s="1"/>
  <c r="AQ13" i="21" s="1"/>
  <c r="AQ14" i="21" s="1"/>
  <c r="AQ15" i="21" s="1"/>
  <c r="AQ16" i="21" s="1"/>
  <c r="AQ17" i="21" s="1"/>
  <c r="AQ18" i="21" s="1"/>
  <c r="AQ19" i="21" s="1"/>
  <c r="AQ20" i="21" s="1"/>
  <c r="AQ21" i="21" s="1"/>
  <c r="AQ22" i="21" s="1"/>
  <c r="AQ23" i="21" s="1"/>
  <c r="AQ24" i="21" s="1"/>
  <c r="AQ25" i="21" s="1"/>
  <c r="AQ26" i="21" s="1"/>
  <c r="AQ27" i="21" s="1"/>
  <c r="AQ28" i="21" s="1"/>
  <c r="AQ29" i="21" s="1"/>
  <c r="AQ30" i="21" s="1"/>
  <c r="AQ31" i="21" s="1"/>
  <c r="AQ32" i="21" s="1"/>
  <c r="AR5" i="21"/>
  <c r="AR6" i="21" s="1"/>
  <c r="AR7" i="21" s="1"/>
  <c r="AR8" i="21" s="1"/>
  <c r="AR9" i="21" s="1"/>
  <c r="AR10" i="21" s="1"/>
  <c r="AR11" i="21" s="1"/>
  <c r="AR12" i="21" s="1"/>
  <c r="AR13" i="21" s="1"/>
  <c r="AR14" i="21" s="1"/>
  <c r="AR15" i="21" s="1"/>
  <c r="AR16" i="21" s="1"/>
  <c r="AR17" i="21" s="1"/>
  <c r="AR18" i="21" s="1"/>
  <c r="AR19" i="21" s="1"/>
  <c r="AR20" i="21" s="1"/>
  <c r="AR21" i="21" s="1"/>
  <c r="AR22" i="21" s="1"/>
  <c r="AR23" i="21" s="1"/>
  <c r="AR24" i="21" s="1"/>
  <c r="AR25" i="21" s="1"/>
  <c r="AR26" i="21" s="1"/>
  <c r="AR27" i="21" s="1"/>
  <c r="AR28" i="21" s="1"/>
  <c r="AR29" i="21" s="1"/>
  <c r="AR30" i="21" s="1"/>
  <c r="AU5" i="21"/>
  <c r="AU6" i="21" s="1"/>
  <c r="AU7" i="21" s="1"/>
  <c r="AU8" i="21" s="1"/>
  <c r="AV5" i="21"/>
  <c r="AV6" i="21" s="1"/>
  <c r="AV7" i="21" s="1"/>
  <c r="AV8" i="21" s="1"/>
  <c r="AV9" i="21" s="1"/>
  <c r="AV10" i="21" s="1"/>
  <c r="AV11" i="21" s="1"/>
  <c r="AV12" i="21" s="1"/>
  <c r="AV13" i="21" s="1"/>
  <c r="AV14" i="21" s="1"/>
  <c r="AV15" i="21" s="1"/>
  <c r="AV16" i="21" s="1"/>
  <c r="AV17" i="21" s="1"/>
  <c r="AV18" i="21" s="1"/>
  <c r="AV19" i="21" s="1"/>
  <c r="AV20" i="21" s="1"/>
  <c r="AZ5" i="21"/>
  <c r="AZ6" i="21" s="1"/>
  <c r="AZ7" i="21" s="1"/>
  <c r="AZ8" i="21" s="1"/>
  <c r="AZ9" i="21" s="1"/>
  <c r="AZ10" i="21" s="1"/>
  <c r="AZ11" i="21" s="1"/>
  <c r="AZ12" i="21" s="1"/>
  <c r="AZ13" i="21" s="1"/>
  <c r="AZ14" i="21" s="1"/>
  <c r="AZ15" i="21" s="1"/>
  <c r="AZ16" i="21" s="1"/>
  <c r="AZ17" i="21" s="1"/>
  <c r="AZ18" i="21" s="1"/>
  <c r="AZ19" i="21" s="1"/>
  <c r="AZ20" i="21" s="1"/>
  <c r="AZ21" i="21" s="1"/>
  <c r="AZ22" i="21" s="1"/>
  <c r="AZ23" i="21" s="1"/>
  <c r="AZ24" i="21" s="1"/>
  <c r="AZ25" i="21" s="1"/>
  <c r="AZ26" i="21" s="1"/>
  <c r="AZ27" i="21" s="1"/>
  <c r="AZ28" i="21" s="1"/>
  <c r="BC5" i="21"/>
  <c r="BC6" i="21" s="1"/>
  <c r="BC7" i="21" s="1"/>
  <c r="BC8" i="21" s="1"/>
  <c r="BC9" i="21" s="1"/>
  <c r="BC10" i="21" s="1"/>
  <c r="BC11" i="21" s="1"/>
  <c r="BC12" i="21" s="1"/>
  <c r="BC13" i="21" s="1"/>
  <c r="BC14" i="21" s="1"/>
  <c r="BC15" i="21" s="1"/>
  <c r="BC16" i="21" s="1"/>
  <c r="BC17" i="21" s="1"/>
  <c r="BC18" i="21" s="1"/>
  <c r="BC19" i="21" s="1"/>
  <c r="BC20" i="21" s="1"/>
  <c r="BC21" i="21" s="1"/>
  <c r="BC22" i="21" s="1"/>
  <c r="BC23" i="21" s="1"/>
  <c r="BC24" i="21" s="1"/>
  <c r="BC25" i="21" s="1"/>
  <c r="BC26" i="21" s="1"/>
  <c r="BC27" i="21" s="1"/>
  <c r="BC28" i="21" s="1"/>
  <c r="BC29" i="21" s="1"/>
  <c r="BC30" i="21" s="1"/>
  <c r="BC31" i="21" s="1"/>
  <c r="BC32" i="21" s="1"/>
  <c r="BD5" i="21"/>
  <c r="BD6" i="21" s="1"/>
  <c r="BD7" i="21" s="1"/>
  <c r="BD8" i="21" s="1"/>
  <c r="BD9" i="21" s="1"/>
  <c r="BD10" i="21" s="1"/>
  <c r="BD11" i="21" s="1"/>
  <c r="BD12" i="21" s="1"/>
  <c r="BD13" i="21" s="1"/>
  <c r="BD14" i="21" s="1"/>
  <c r="BD15" i="21" s="1"/>
  <c r="BD16" i="21" s="1"/>
  <c r="BD17" i="21" s="1"/>
  <c r="BD18" i="21" s="1"/>
  <c r="BD19" i="21" s="1"/>
  <c r="BD20" i="21" s="1"/>
  <c r="BD21" i="21" s="1"/>
  <c r="BD22" i="21" s="1"/>
  <c r="BD23" i="21" s="1"/>
  <c r="BD24" i="21" s="1"/>
  <c r="BG5" i="21"/>
  <c r="BG6" i="21" s="1"/>
  <c r="BG7" i="21" s="1"/>
  <c r="BG8" i="21" s="1"/>
  <c r="BG9" i="21" s="1"/>
  <c r="BH5" i="21"/>
  <c r="BK5" i="21"/>
  <c r="BK6" i="21" s="1"/>
  <c r="BK7" i="21" s="1"/>
  <c r="BK8" i="21" s="1"/>
  <c r="BK9" i="21" s="1"/>
  <c r="BK10" i="21" s="1"/>
  <c r="BK11" i="21" s="1"/>
  <c r="BK12" i="21" s="1"/>
  <c r="BK13" i="21" s="1"/>
  <c r="BK14" i="21" s="1"/>
  <c r="BK15" i="21" s="1"/>
  <c r="BK16" i="21" s="1"/>
  <c r="BK17" i="21" s="1"/>
  <c r="BK18" i="21" s="1"/>
  <c r="BK19" i="21" s="1"/>
  <c r="BK20" i="21" s="1"/>
  <c r="BL5" i="21"/>
  <c r="BL6" i="21" s="1"/>
  <c r="BL7" i="21" s="1"/>
  <c r="BL8" i="21" s="1"/>
  <c r="BL9" i="21" s="1"/>
  <c r="BL10" i="21" s="1"/>
  <c r="BL11" i="21" s="1"/>
  <c r="BL12" i="21" s="1"/>
  <c r="BL13" i="21" s="1"/>
  <c r="BL14" i="21" s="1"/>
  <c r="BL15" i="21" s="1"/>
  <c r="BL16" i="21" s="1"/>
  <c r="BP5" i="21"/>
  <c r="BP6" i="21" s="1"/>
  <c r="BP7" i="21" s="1"/>
  <c r="BP8" i="21" s="1"/>
  <c r="BP9" i="21" s="1"/>
  <c r="BP10" i="21" s="1"/>
  <c r="BP11" i="21" s="1"/>
  <c r="BP12" i="21" s="1"/>
  <c r="BP13" i="21" s="1"/>
  <c r="BP14" i="21" s="1"/>
  <c r="BP15" i="21" s="1"/>
  <c r="BP16" i="21" s="1"/>
  <c r="BP17" i="21" s="1"/>
  <c r="BP18" i="21" s="1"/>
  <c r="BP19" i="21" s="1"/>
  <c r="BP20" i="21" s="1"/>
  <c r="BP21" i="21" s="1"/>
  <c r="BP22" i="21" s="1"/>
  <c r="BP23" i="21" s="1"/>
  <c r="BP24" i="21" s="1"/>
  <c r="BP25" i="21" s="1"/>
  <c r="BP26" i="21" s="1"/>
  <c r="BP27" i="21" s="1"/>
  <c r="BP28" i="21" s="1"/>
  <c r="BP29" i="21" s="1"/>
  <c r="BP30" i="21" s="1"/>
  <c r="BP31" i="21" s="1"/>
  <c r="BP32" i="21" s="1"/>
  <c r="L6" i="2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P6" i="2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T6" i="2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AB6" i="2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N6" i="21"/>
  <c r="AN7" i="21" s="1"/>
  <c r="AN8" i="21" s="1"/>
  <c r="AN9" i="21" s="1"/>
  <c r="AN10" i="21" s="1"/>
  <c r="AN11" i="21" s="1"/>
  <c r="AN12" i="21" s="1"/>
  <c r="AN13" i="21" s="1"/>
  <c r="AN14" i="21" s="1"/>
  <c r="AN15" i="21" s="1"/>
  <c r="BH6" i="21"/>
  <c r="BH7" i="21" s="1"/>
  <c r="BH8" i="21" s="1"/>
  <c r="BH9" i="21" s="1"/>
  <c r="BH10" i="21" s="1"/>
  <c r="BH11" i="21" s="1"/>
  <c r="BH12" i="21" s="1"/>
  <c r="BH13" i="21" s="1"/>
  <c r="BH14" i="21" s="1"/>
  <c r="BH15" i="21" s="1"/>
  <c r="BH16" i="21" s="1"/>
  <c r="BH17" i="21" s="1"/>
  <c r="BH18" i="21" s="1"/>
  <c r="BH19" i="21" s="1"/>
  <c r="BH20" i="21" s="1"/>
  <c r="BH21" i="21" s="1"/>
  <c r="BH22" i="21" s="1"/>
  <c r="BH23" i="21" s="1"/>
  <c r="BH24" i="21" s="1"/>
  <c r="BH25" i="21" s="1"/>
  <c r="BH26" i="21" s="1"/>
  <c r="BH27" i="21" s="1"/>
  <c r="BH28" i="21" s="1"/>
  <c r="BH29" i="21" s="1"/>
  <c r="BH30" i="21" s="1"/>
  <c r="AU9" i="21"/>
  <c r="AU10" i="21" s="1"/>
  <c r="AU11" i="21" s="1"/>
  <c r="AU12" i="21" s="1"/>
  <c r="AU13" i="21" s="1"/>
  <c r="AU14" i="21" s="1"/>
  <c r="AU15" i="21" s="1"/>
  <c r="AU16" i="21" s="1"/>
  <c r="AU17" i="21" s="1"/>
  <c r="AU18" i="21" s="1"/>
  <c r="AU19" i="21" s="1"/>
  <c r="AU20" i="21" s="1"/>
  <c r="AU21" i="21" s="1"/>
  <c r="AU22" i="21" s="1"/>
  <c r="AU23" i="21" s="1"/>
  <c r="AU24" i="21" s="1"/>
  <c r="AU25" i="21" s="1"/>
  <c r="AU26" i="21" s="1"/>
  <c r="AU27" i="21" s="1"/>
  <c r="AU28" i="21" s="1"/>
  <c r="AU29" i="21" s="1"/>
  <c r="AU30" i="21" s="1"/>
  <c r="AU31" i="21" s="1"/>
  <c r="AU32" i="21" s="1"/>
  <c r="BG10" i="21"/>
  <c r="BG11" i="21" s="1"/>
  <c r="BG12" i="21" s="1"/>
  <c r="BG13" i="21" s="1"/>
  <c r="BG14" i="21" s="1"/>
  <c r="BG15" i="21" s="1"/>
  <c r="BG16" i="21" s="1"/>
  <c r="BG17" i="21" s="1"/>
  <c r="BG18" i="21" s="1"/>
  <c r="BG19" i="21" s="1"/>
  <c r="BG20" i="21" s="1"/>
  <c r="BG21" i="21" s="1"/>
  <c r="BG22" i="21" s="1"/>
  <c r="BG23" i="21" s="1"/>
  <c r="BG24" i="21" s="1"/>
  <c r="BG25" i="21" s="1"/>
  <c r="BG26" i="21" s="1"/>
  <c r="BG27" i="21" s="1"/>
  <c r="BG28" i="21" s="1"/>
  <c r="BG29" i="21" s="1"/>
  <c r="BG30" i="21" s="1"/>
  <c r="BG31" i="21" s="1"/>
  <c r="BG32" i="21" s="1"/>
  <c r="BO10" i="21"/>
  <c r="BO11" i="21" s="1"/>
  <c r="BO12" i="21" s="1"/>
  <c r="BO13" i="21" s="1"/>
  <c r="BO14" i="21" s="1"/>
  <c r="BO15" i="21" s="1"/>
  <c r="BO16" i="21" s="1"/>
  <c r="BO17" i="21" s="1"/>
  <c r="BO18" i="21" s="1"/>
  <c r="BO19" i="21" s="1"/>
  <c r="BO20" i="21" s="1"/>
  <c r="BO21" i="21" s="1"/>
  <c r="BO22" i="21" s="1"/>
  <c r="BO23" i="21" s="1"/>
  <c r="BO24" i="21" s="1"/>
  <c r="BO25" i="21" s="1"/>
  <c r="BO26" i="21" s="1"/>
  <c r="BO27" i="21" s="1"/>
  <c r="BO28" i="21" s="1"/>
  <c r="AI11" i="21"/>
  <c r="AI12" i="21" s="1"/>
  <c r="AI13" i="21" s="1"/>
  <c r="AI14" i="21" s="1"/>
  <c r="AI15" i="21" s="1"/>
  <c r="AI16" i="21" s="1"/>
  <c r="AI17" i="21" s="1"/>
  <c r="AI18" i="21" s="1"/>
  <c r="AI19" i="21" s="1"/>
  <c r="AI20" i="21" s="1"/>
  <c r="AI21" i="21" s="1"/>
  <c r="AI22" i="21" s="1"/>
  <c r="AI23" i="21" s="1"/>
  <c r="AI24" i="21" s="1"/>
  <c r="AI25" i="21" s="1"/>
  <c r="AI26" i="21" s="1"/>
  <c r="AI27" i="21" s="1"/>
  <c r="AI28" i="21" s="1"/>
  <c r="AI29" i="21" s="1"/>
  <c r="AI30" i="21" s="1"/>
  <c r="AI31" i="21" s="1"/>
  <c r="AI32" i="21" s="1"/>
  <c r="BI11" i="21"/>
  <c r="BI12" i="21" s="1"/>
  <c r="BI13" i="21" s="1"/>
  <c r="BI14" i="21" s="1"/>
  <c r="BI15" i="21" s="1"/>
  <c r="BI16" i="21" s="1"/>
  <c r="BI17" i="21" s="1"/>
  <c r="BI18" i="21" s="1"/>
  <c r="BI19" i="21" s="1"/>
  <c r="BI20" i="21" s="1"/>
  <c r="BI21" i="21" s="1"/>
  <c r="BI22" i="21" s="1"/>
  <c r="BI23" i="21" s="1"/>
  <c r="BI24" i="21" s="1"/>
  <c r="BI25" i="21" s="1"/>
  <c r="BI26" i="21" s="1"/>
  <c r="BI27" i="21" s="1"/>
  <c r="BI28" i="21" s="1"/>
  <c r="BI29" i="21" s="1"/>
  <c r="BI30" i="21" s="1"/>
  <c r="BI31" i="21" s="1"/>
  <c r="BI32" i="21" s="1"/>
  <c r="AY13" i="21"/>
  <c r="AY14" i="21" s="1"/>
  <c r="AY15" i="21" s="1"/>
  <c r="AC15" i="21"/>
  <c r="AC16" i="21" s="1"/>
  <c r="AC17" i="21" s="1"/>
  <c r="AC18" i="21" s="1"/>
  <c r="AC19" i="21" s="1"/>
  <c r="AC20" i="21" s="1"/>
  <c r="AC21" i="21" s="1"/>
  <c r="AC22" i="21" s="1"/>
  <c r="AC23" i="21" s="1"/>
  <c r="AC24" i="21" s="1"/>
  <c r="AC25" i="21" s="1"/>
  <c r="AC26" i="21" s="1"/>
  <c r="AC27" i="21" s="1"/>
  <c r="AC28" i="21" s="1"/>
  <c r="AC29" i="21" s="1"/>
  <c r="AC30" i="21" s="1"/>
  <c r="AC31" i="21" s="1"/>
  <c r="AC32" i="21" s="1"/>
  <c r="S16" i="21"/>
  <c r="S17" i="21" s="1"/>
  <c r="S18" i="21" s="1"/>
  <c r="S19" i="21" s="1"/>
  <c r="S20" i="21" s="1"/>
  <c r="S21" i="21" s="1"/>
  <c r="S22" i="21" s="1"/>
  <c r="S23" i="21" s="1"/>
  <c r="S24" i="21" s="1"/>
  <c r="AN16" i="21"/>
  <c r="AN17" i="21" s="1"/>
  <c r="AN18" i="21" s="1"/>
  <c r="AN19" i="21" s="1"/>
  <c r="AN20" i="21" s="1"/>
  <c r="AY16" i="21"/>
  <c r="AY17" i="21" s="1"/>
  <c r="AY18" i="21" s="1"/>
  <c r="AY19" i="21" s="1"/>
  <c r="AY20" i="21" s="1"/>
  <c r="AY21" i="21" s="1"/>
  <c r="AY22" i="21" s="1"/>
  <c r="AY23" i="21" s="1"/>
  <c r="AY24" i="21" s="1"/>
  <c r="AY25" i="21" s="1"/>
  <c r="AY26" i="21" s="1"/>
  <c r="AY27" i="21" s="1"/>
  <c r="AY28" i="21" s="1"/>
  <c r="AY29" i="21" s="1"/>
  <c r="AY30" i="21" s="1"/>
  <c r="AY31" i="21" s="1"/>
  <c r="AY32" i="21" s="1"/>
  <c r="AG22" i="21"/>
  <c r="AG23" i="21" s="1"/>
  <c r="AG24" i="21" s="1"/>
  <c r="AG25" i="21" s="1"/>
  <c r="AG26" i="21" s="1"/>
  <c r="AG27" i="21" s="1"/>
  <c r="AG28" i="21" s="1"/>
  <c r="AG29" i="21" s="1"/>
  <c r="AG30" i="21" s="1"/>
  <c r="T27" i="21"/>
  <c r="T28" i="21" s="1"/>
  <c r="T29" i="21" s="1"/>
  <c r="F4" i="21"/>
  <c r="F5" i="21" s="1"/>
  <c r="F6" i="21" s="1"/>
  <c r="BP36" i="21"/>
  <c r="BQ36" i="21"/>
  <c r="C34" i="21"/>
  <c r="C36" i="21" s="1"/>
  <c r="D34" i="21"/>
  <c r="D36" i="21" s="1"/>
  <c r="E34" i="21"/>
  <c r="E36" i="21" s="1"/>
  <c r="B34" i="21"/>
  <c r="B36" i="21" s="1"/>
  <c r="D3" i="20"/>
  <c r="D4" i="20"/>
  <c r="D5" i="20"/>
  <c r="D6" i="20"/>
  <c r="D8" i="20"/>
  <c r="D9" i="20"/>
  <c r="D10" i="20"/>
  <c r="D11" i="20"/>
  <c r="D12" i="20"/>
  <c r="D15" i="20"/>
  <c r="D16" i="20"/>
  <c r="D18" i="20"/>
  <c r="D19" i="20"/>
  <c r="D20" i="20"/>
  <c r="D21" i="20"/>
  <c r="D22" i="20"/>
  <c r="D23" i="20"/>
  <c r="D24" i="20"/>
  <c r="I3" i="20"/>
  <c r="I4" i="20"/>
  <c r="I5" i="20"/>
  <c r="I6" i="20"/>
  <c r="I7" i="20"/>
  <c r="I8" i="20"/>
  <c r="I9" i="20"/>
  <c r="I10" i="20"/>
  <c r="I11" i="20"/>
  <c r="I12" i="20"/>
  <c r="I13" i="20"/>
  <c r="I24" i="20"/>
  <c r="G25" i="20"/>
  <c r="H25" i="20"/>
  <c r="C25" i="20"/>
  <c r="C16" i="19"/>
  <c r="B12" i="19"/>
  <c r="C12" i="19" l="1"/>
  <c r="D12" i="19" s="1"/>
  <c r="B25" i="20"/>
  <c r="M30" i="21"/>
  <c r="M31" i="21" s="1"/>
  <c r="M32" i="21" s="1"/>
  <c r="AK22" i="21"/>
  <c r="AK23" i="21" s="1"/>
  <c r="AK24" i="21" s="1"/>
  <c r="AK25" i="21" s="1"/>
  <c r="AK26" i="21" s="1"/>
  <c r="AK27" i="21" s="1"/>
  <c r="AK28" i="21" s="1"/>
  <c r="AK29" i="21" s="1"/>
  <c r="AK30" i="21" s="1"/>
  <c r="AK31" i="21" s="1"/>
  <c r="AK32" i="21" s="1"/>
  <c r="AR31" i="21"/>
  <c r="AR32" i="21" s="1"/>
  <c r="AZ29" i="21"/>
  <c r="AZ30" i="21" s="1"/>
  <c r="AZ31" i="21" s="1"/>
  <c r="AZ32" i="21" s="1"/>
  <c r="BO29" i="21"/>
  <c r="BO30" i="21" s="1"/>
  <c r="BO31" i="21" s="1"/>
  <c r="BO32" i="21" s="1"/>
  <c r="AJ28" i="21"/>
  <c r="AJ29" i="21" s="1"/>
  <c r="AJ30" i="21" s="1"/>
  <c r="AJ31" i="21" s="1"/>
  <c r="AJ32" i="21" s="1"/>
  <c r="AN21" i="21"/>
  <c r="AN22" i="21" s="1"/>
  <c r="AN23" i="21" s="1"/>
  <c r="AN24" i="21" s="1"/>
  <c r="AN25" i="21" s="1"/>
  <c r="AN26" i="21" s="1"/>
  <c r="AN27" i="21" s="1"/>
  <c r="AN28" i="21" s="1"/>
  <c r="AN29" i="21" s="1"/>
  <c r="AN30" i="21" s="1"/>
  <c r="AN31" i="21" s="1"/>
  <c r="AN32" i="21" s="1"/>
  <c r="AN34" i="21"/>
  <c r="AN36" i="21" s="1"/>
  <c r="BH31" i="21"/>
  <c r="BH32" i="21" s="1"/>
  <c r="Q23" i="21"/>
  <c r="Q24" i="21" s="1"/>
  <c r="Q25" i="21" s="1"/>
  <c r="Q26" i="21" s="1"/>
  <c r="Q27" i="21" s="1"/>
  <c r="Q28" i="21" s="1"/>
  <c r="Q29" i="21" s="1"/>
  <c r="Q30" i="21" s="1"/>
  <c r="Q31" i="21" s="1"/>
  <c r="Q32" i="21" s="1"/>
  <c r="BL17" i="21"/>
  <c r="BL18" i="21" s="1"/>
  <c r="BL19" i="21" s="1"/>
  <c r="BL20" i="21" s="1"/>
  <c r="BL21" i="21" s="1"/>
  <c r="BL22" i="21" s="1"/>
  <c r="BL23" i="21" s="1"/>
  <c r="BL24" i="21" s="1"/>
  <c r="BL25" i="21" s="1"/>
  <c r="BL26" i="21" s="1"/>
  <c r="BL27" i="21" s="1"/>
  <c r="BL28" i="21" s="1"/>
  <c r="BL29" i="21" s="1"/>
  <c r="BL30" i="21" s="1"/>
  <c r="BL31" i="21" s="1"/>
  <c r="BL32" i="21" s="1"/>
  <c r="AV21" i="21"/>
  <c r="AV22" i="21" s="1"/>
  <c r="AV23" i="21" s="1"/>
  <c r="AV24" i="21" s="1"/>
  <c r="AV25" i="21" s="1"/>
  <c r="AV26" i="21" s="1"/>
  <c r="AV27" i="21" s="1"/>
  <c r="AV28" i="21" s="1"/>
  <c r="AV29" i="21" s="1"/>
  <c r="AV30" i="21" s="1"/>
  <c r="AV31" i="21" s="1"/>
  <c r="AV32" i="21" s="1"/>
  <c r="X21" i="2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AB28" i="21"/>
  <c r="AB29" i="21" s="1"/>
  <c r="AB30" i="21" s="1"/>
  <c r="AB31" i="21" s="1"/>
  <c r="AB32" i="21" s="1"/>
  <c r="S25" i="21"/>
  <c r="S26" i="21" s="1"/>
  <c r="S27" i="21" s="1"/>
  <c r="S28" i="21" s="1"/>
  <c r="S29" i="21" s="1"/>
  <c r="S30" i="21" s="1"/>
  <c r="S31" i="21" s="1"/>
  <c r="S32" i="21" s="1"/>
  <c r="O27" i="21"/>
  <c r="O28" i="21" s="1"/>
  <c r="O29" i="21" s="1"/>
  <c r="O30" i="21" s="1"/>
  <c r="O31" i="21" s="1"/>
  <c r="O32" i="21" s="1"/>
  <c r="AF21" i="21"/>
  <c r="AF22" i="21" s="1"/>
  <c r="AF23" i="21" s="1"/>
  <c r="AF24" i="21" s="1"/>
  <c r="AF25" i="21" s="1"/>
  <c r="AF26" i="21" s="1"/>
  <c r="AF27" i="21" s="1"/>
  <c r="AF28" i="21" s="1"/>
  <c r="AF29" i="21" s="1"/>
  <c r="AF30" i="21" s="1"/>
  <c r="AF31" i="21" s="1"/>
  <c r="AF32" i="21" s="1"/>
  <c r="P21" i="2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H28" i="21"/>
  <c r="H29" i="21" s="1"/>
  <c r="H30" i="21" s="1"/>
  <c r="H31" i="21" s="1"/>
  <c r="H32" i="21" s="1"/>
  <c r="L23" i="21"/>
  <c r="L24" i="21" s="1"/>
  <c r="L25" i="21" s="1"/>
  <c r="L26" i="21" s="1"/>
  <c r="L27" i="21" s="1"/>
  <c r="L28" i="21" s="1"/>
  <c r="L29" i="21" s="1"/>
  <c r="L30" i="21" s="1"/>
  <c r="L31" i="21" s="1"/>
  <c r="L32" i="21" s="1"/>
  <c r="AA31" i="21"/>
  <c r="AA32" i="21" s="1"/>
  <c r="T30" i="21"/>
  <c r="T31" i="21" s="1"/>
  <c r="T32" i="21" s="1"/>
  <c r="BM27" i="21"/>
  <c r="BM28" i="21" s="1"/>
  <c r="BM29" i="21" s="1"/>
  <c r="BM30" i="21" s="1"/>
  <c r="BM31" i="21" s="1"/>
  <c r="BM32" i="21" s="1"/>
  <c r="BM34" i="21"/>
  <c r="BM36" i="21" s="1"/>
  <c r="BD25" i="21"/>
  <c r="BD26" i="21" s="1"/>
  <c r="BD27" i="21" s="1"/>
  <c r="BD28" i="21" s="1"/>
  <c r="BD29" i="21" s="1"/>
  <c r="BD30" i="21" s="1"/>
  <c r="BD31" i="21" s="1"/>
  <c r="BD32" i="21" s="1"/>
  <c r="BK21" i="21"/>
  <c r="BK22" i="21" s="1"/>
  <c r="BK23" i="21" s="1"/>
  <c r="BK24" i="21" s="1"/>
  <c r="BK25" i="21" s="1"/>
  <c r="BK26" i="21" s="1"/>
  <c r="BK27" i="21" s="1"/>
  <c r="BK28" i="21" s="1"/>
  <c r="BK29" i="21" s="1"/>
  <c r="BK30" i="21" s="1"/>
  <c r="BK31" i="21" s="1"/>
  <c r="BK32" i="21" s="1"/>
  <c r="BG34" i="21"/>
  <c r="BG36" i="21" s="1"/>
  <c r="BC34" i="21"/>
  <c r="BC36" i="21" s="1"/>
  <c r="AQ34" i="21"/>
  <c r="AQ36" i="21" s="1"/>
  <c r="AI34" i="21"/>
  <c r="AI36" i="21" s="1"/>
  <c r="G34" i="21"/>
  <c r="G36" i="21" s="1"/>
  <c r="AG31" i="21"/>
  <c r="AG32" i="21" s="1"/>
  <c r="AU34" i="21"/>
  <c r="AU36" i="21" s="1"/>
  <c r="AE34" i="21"/>
  <c r="AE36" i="21" s="1"/>
  <c r="W34" i="21"/>
  <c r="W36" i="21" s="1"/>
  <c r="K34" i="21"/>
  <c r="K36" i="21" s="1"/>
  <c r="BN34" i="21"/>
  <c r="BN36" i="21" s="1"/>
  <c r="BJ34" i="21"/>
  <c r="BJ36" i="21" s="1"/>
  <c r="BF34" i="21"/>
  <c r="BF36" i="21" s="1"/>
  <c r="BB34" i="21"/>
  <c r="BB36" i="21" s="1"/>
  <c r="AX34" i="21"/>
  <c r="AX36" i="21" s="1"/>
  <c r="AT34" i="21"/>
  <c r="AT36" i="21" s="1"/>
  <c r="AP34" i="21"/>
  <c r="AP36" i="21" s="1"/>
  <c r="AL34" i="21"/>
  <c r="AL36" i="21" s="1"/>
  <c r="AH34" i="21"/>
  <c r="AH36" i="21" s="1"/>
  <c r="AD34" i="21"/>
  <c r="AD36" i="21" s="1"/>
  <c r="Z34" i="21"/>
  <c r="Z36" i="21" s="1"/>
  <c r="V34" i="21"/>
  <c r="V36" i="21" s="1"/>
  <c r="R34" i="21"/>
  <c r="R36" i="21" s="1"/>
  <c r="N34" i="21"/>
  <c r="N36" i="21" s="1"/>
  <c r="J34" i="21"/>
  <c r="J36" i="21" s="1"/>
  <c r="AY34" i="21"/>
  <c r="AY36" i="21" s="1"/>
  <c r="AM34" i="21"/>
  <c r="AM36" i="21" s="1"/>
  <c r="BI34" i="21"/>
  <c r="BI36" i="21" s="1"/>
  <c r="BE34" i="21"/>
  <c r="BE36" i="21" s="1"/>
  <c r="BA34" i="21"/>
  <c r="BA36" i="21" s="1"/>
  <c r="AW34" i="21"/>
  <c r="AW36" i="21" s="1"/>
  <c r="AS34" i="21"/>
  <c r="AS36" i="21" s="1"/>
  <c r="AO34" i="21"/>
  <c r="AO36" i="21" s="1"/>
  <c r="AC34" i="21"/>
  <c r="AC36" i="21" s="1"/>
  <c r="Y34" i="21"/>
  <c r="Y36" i="21" s="1"/>
  <c r="U34" i="21"/>
  <c r="U36" i="21" s="1"/>
  <c r="I34" i="21"/>
  <c r="I36" i="21" s="1"/>
  <c r="F7" i="2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I25" i="20"/>
  <c r="D25" i="20"/>
  <c r="D36" i="19"/>
  <c r="D37" i="19"/>
  <c r="D38" i="19"/>
  <c r="D39" i="19"/>
  <c r="D40" i="19"/>
  <c r="D41" i="19"/>
  <c r="H5" i="19"/>
  <c r="C15" i="19"/>
  <c r="AA34" i="21" l="1"/>
  <c r="AA36" i="21" s="1"/>
  <c r="Q34" i="21"/>
  <c r="Q36" i="21" s="1"/>
  <c r="H34" i="21"/>
  <c r="H36" i="21" s="1"/>
  <c r="AV34" i="21"/>
  <c r="AV36" i="21" s="1"/>
  <c r="T34" i="21"/>
  <c r="T36" i="21" s="1"/>
  <c r="BK34" i="21"/>
  <c r="BK36" i="21" s="1"/>
  <c r="AB34" i="21"/>
  <c r="AB36" i="21" s="1"/>
  <c r="BH34" i="21"/>
  <c r="BH36" i="21" s="1"/>
  <c r="AJ34" i="21"/>
  <c r="AJ36" i="21" s="1"/>
  <c r="AR34" i="21"/>
  <c r="AR36" i="21" s="1"/>
  <c r="D28" i="20"/>
  <c r="O34" i="21"/>
  <c r="O36" i="21" s="1"/>
  <c r="M34" i="21"/>
  <c r="M36" i="21" s="1"/>
  <c r="P34" i="21"/>
  <c r="P36" i="21" s="1"/>
  <c r="BO34" i="21"/>
  <c r="BO36" i="21" s="1"/>
  <c r="AF34" i="21"/>
  <c r="AF36" i="21" s="1"/>
  <c r="S34" i="21"/>
  <c r="S36" i="21" s="1"/>
  <c r="X34" i="21"/>
  <c r="X36" i="21" s="1"/>
  <c r="BL34" i="21"/>
  <c r="BL36" i="21" s="1"/>
  <c r="AZ34" i="21"/>
  <c r="AZ36" i="21" s="1"/>
  <c r="AK34" i="21"/>
  <c r="AK36" i="21" s="1"/>
  <c r="BD34" i="21"/>
  <c r="BD36" i="21" s="1"/>
  <c r="L34" i="21"/>
  <c r="L36" i="21" s="1"/>
  <c r="AG34" i="21"/>
  <c r="AG36" i="21" s="1"/>
  <c r="F34" i="21"/>
  <c r="F36" i="21" s="1"/>
  <c r="I36" i="19"/>
  <c r="I37" i="19"/>
  <c r="I38" i="19"/>
  <c r="I39" i="19"/>
  <c r="I40" i="19"/>
  <c r="I41" i="19"/>
  <c r="H6" i="19"/>
  <c r="I4" i="19"/>
  <c r="I5" i="19"/>
  <c r="I7" i="19"/>
  <c r="I9" i="19"/>
  <c r="I10" i="19"/>
  <c r="I11" i="19"/>
  <c r="I13" i="19"/>
  <c r="I14" i="19"/>
  <c r="I15" i="19"/>
  <c r="I16" i="19"/>
  <c r="I17" i="19"/>
  <c r="I18" i="19"/>
  <c r="I19" i="19"/>
  <c r="I20" i="19"/>
  <c r="I21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42" i="19"/>
  <c r="I43" i="19"/>
  <c r="I3" i="19"/>
  <c r="D4" i="19"/>
  <c r="D5" i="19"/>
  <c r="D6" i="19"/>
  <c r="D7" i="19"/>
  <c r="D8" i="19"/>
  <c r="D9" i="19"/>
  <c r="D10" i="19"/>
  <c r="D11" i="19"/>
  <c r="D13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42" i="19"/>
  <c r="D43" i="19"/>
  <c r="G8" i="19"/>
  <c r="B44" i="19"/>
  <c r="C14" i="19"/>
  <c r="D14" i="19" s="1"/>
  <c r="C3" i="19"/>
  <c r="D3" i="19" s="1"/>
  <c r="B10" i="18"/>
  <c r="B11" i="18"/>
  <c r="B12" i="18"/>
  <c r="B13" i="18" s="1"/>
  <c r="I6" i="19" l="1"/>
  <c r="G44" i="19"/>
  <c r="H8" i="19"/>
  <c r="H44" i="19" s="1"/>
  <c r="C44" i="19"/>
  <c r="H41" i="21"/>
  <c r="D44" i="19"/>
  <c r="B17" i="17"/>
  <c r="B20" i="17" s="1"/>
  <c r="F20" i="18"/>
  <c r="M20" i="18"/>
  <c r="L20" i="18"/>
  <c r="C20" i="18"/>
  <c r="B19" i="17" l="1"/>
  <c r="B21" i="17"/>
  <c r="I8" i="19"/>
  <c r="I44" i="19" s="1"/>
  <c r="D47" i="19" s="1"/>
  <c r="M22" i="18"/>
  <c r="C19" i="14"/>
  <c r="D19" i="14"/>
  <c r="G19" i="14"/>
  <c r="H19" i="14"/>
  <c r="F6" i="14"/>
  <c r="F19" i="14" s="1"/>
  <c r="B19" i="14"/>
  <c r="I20" i="18"/>
  <c r="H20" i="18"/>
  <c r="G24" i="13"/>
  <c r="H24" i="13"/>
  <c r="I24" i="13"/>
  <c r="J24" i="13"/>
  <c r="K24" i="13"/>
  <c r="L24" i="13"/>
  <c r="M24" i="13"/>
  <c r="N24" i="13"/>
  <c r="O24" i="13"/>
  <c r="P24" i="13"/>
  <c r="Q24" i="13"/>
  <c r="G6" i="13"/>
  <c r="E20" i="18"/>
  <c r="F22" i="18" s="1"/>
  <c r="I22" i="18" l="1"/>
  <c r="A21" i="14"/>
  <c r="B20" i="18"/>
  <c r="C22" i="18" s="1"/>
  <c r="E24" i="13"/>
  <c r="K6" i="13"/>
  <c r="L6" i="13"/>
  <c r="L27" i="13" s="1"/>
  <c r="M6" i="13"/>
  <c r="N6" i="13"/>
  <c r="O6" i="13"/>
  <c r="P6" i="13"/>
  <c r="P27" i="13" s="1"/>
  <c r="Q6" i="13"/>
  <c r="F24" i="13"/>
  <c r="D9" i="17"/>
  <c r="D8" i="17"/>
  <c r="G14" i="17"/>
  <c r="G15" i="17" s="1"/>
  <c r="G4" i="17"/>
  <c r="G3" i="17"/>
  <c r="E25" i="18" l="1"/>
  <c r="Q27" i="13"/>
  <c r="O27" i="13"/>
  <c r="K27" i="13"/>
  <c r="M27" i="13"/>
  <c r="N27" i="13"/>
  <c r="G4" i="15"/>
  <c r="G3" i="15"/>
  <c r="G6" i="15" s="1"/>
  <c r="D4" i="15"/>
  <c r="D3" i="15"/>
  <c r="D6" i="15" l="1"/>
  <c r="D9" i="15" s="1"/>
  <c r="D10" i="15" s="1"/>
  <c r="D12" i="15" s="1"/>
  <c r="G9" i="15"/>
  <c r="G10" i="15" s="1"/>
  <c r="G12" i="15" s="1"/>
  <c r="C6" i="13" l="1"/>
  <c r="D6" i="13"/>
  <c r="E6" i="13"/>
  <c r="F6" i="13"/>
  <c r="H6" i="13"/>
  <c r="I6" i="13"/>
  <c r="I27" i="13" s="1"/>
  <c r="J6" i="13"/>
  <c r="B6" i="13"/>
  <c r="D24" i="13"/>
  <c r="C24" i="13"/>
  <c r="B24" i="13"/>
  <c r="B27" i="13" l="1"/>
  <c r="E27" i="13"/>
  <c r="J27" i="13"/>
  <c r="H27" i="13"/>
  <c r="D27" i="13"/>
  <c r="F27" i="13"/>
  <c r="G27" i="13"/>
  <c r="C27" i="13"/>
  <c r="F17" i="11"/>
  <c r="I17" i="11" s="1"/>
  <c r="B12" i="11"/>
  <c r="B15" i="11" s="1"/>
  <c r="C8" i="11"/>
  <c r="D8" i="11"/>
  <c r="B9" i="11"/>
  <c r="B8" i="11"/>
  <c r="H3" i="7" l="1"/>
  <c r="G3" i="7"/>
  <c r="F3" i="7"/>
  <c r="F2" i="7"/>
  <c r="F6" i="7" s="1"/>
  <c r="F8" i="7" s="1"/>
  <c r="F10" i="7" s="1"/>
  <c r="G2" i="7"/>
  <c r="H2" i="7"/>
  <c r="H6" i="7" s="1"/>
  <c r="H8" i="7" s="1"/>
  <c r="H10" i="7" s="1"/>
  <c r="I2" i="7"/>
  <c r="J2" i="7"/>
  <c r="J6" i="7" s="1"/>
  <c r="J8" i="7" s="1"/>
  <c r="J10" i="7" s="1"/>
  <c r="I3" i="7"/>
  <c r="J3" i="7"/>
  <c r="E3" i="7"/>
  <c r="C20" i="4"/>
  <c r="D20" i="4"/>
  <c r="E20" i="4"/>
  <c r="G20" i="4"/>
  <c r="H20" i="4"/>
  <c r="I20" i="4"/>
  <c r="J20" i="4"/>
  <c r="K20" i="4"/>
  <c r="B20" i="4"/>
  <c r="I13" i="6"/>
  <c r="H13" i="6"/>
  <c r="H7" i="6"/>
  <c r="I6" i="7" l="1"/>
  <c r="I8" i="7" s="1"/>
  <c r="I10" i="7" s="1"/>
  <c r="G6" i="7"/>
  <c r="G8" i="7" s="1"/>
  <c r="G10" i="7" s="1"/>
  <c r="C15" i="9" l="1"/>
  <c r="D15" i="9"/>
  <c r="E15" i="9"/>
  <c r="F15" i="9"/>
  <c r="G15" i="9"/>
  <c r="H15" i="9"/>
  <c r="I15" i="9"/>
  <c r="B15" i="9"/>
  <c r="B3" i="9"/>
  <c r="D13" i="8"/>
  <c r="E13" i="8"/>
  <c r="E14" i="8" s="1"/>
  <c r="F13" i="8"/>
  <c r="F14" i="8" s="1"/>
  <c r="G13" i="8"/>
  <c r="H13" i="8"/>
  <c r="C13" i="8"/>
  <c r="C8" i="8"/>
  <c r="D8" i="8"/>
  <c r="E8" i="8"/>
  <c r="F8" i="8"/>
  <c r="G8" i="8"/>
  <c r="G14" i="8" s="1"/>
  <c r="H8" i="8"/>
  <c r="B8" i="8"/>
  <c r="H14" i="8" l="1"/>
  <c r="C14" i="8"/>
  <c r="D14" i="8"/>
  <c r="D1" i="7"/>
  <c r="D3" i="7" s="1"/>
  <c r="C1" i="7"/>
  <c r="C3" i="7" s="1"/>
  <c r="B2" i="7"/>
  <c r="E2" i="7"/>
  <c r="E6" i="7" s="1"/>
  <c r="E8" i="7" s="1"/>
  <c r="E10" i="7" s="1"/>
  <c r="B3" i="7"/>
  <c r="B6" i="7" s="1"/>
  <c r="B8" i="7" s="1"/>
  <c r="A3" i="7"/>
  <c r="A2" i="7"/>
  <c r="D2" i="7" l="1"/>
  <c r="D6" i="7" s="1"/>
  <c r="D8" i="7" s="1"/>
  <c r="D10" i="7" s="1"/>
  <c r="A6" i="7"/>
  <c r="A8" i="7" s="1"/>
  <c r="C2" i="7"/>
  <c r="C6" i="7" s="1"/>
  <c r="C8" i="7" s="1"/>
  <c r="F15" i="6"/>
  <c r="F13" i="6" l="1"/>
  <c r="F18" i="6" s="1"/>
  <c r="G13" i="6"/>
  <c r="G18" i="6" s="1"/>
  <c r="H18" i="6"/>
  <c r="I18" i="6"/>
  <c r="J13" i="6"/>
  <c r="J18" i="6" s="1"/>
  <c r="B18" i="6"/>
  <c r="E13" i="6"/>
  <c r="E18" i="6" s="1"/>
  <c r="C13" i="6"/>
  <c r="C18" i="6" s="1"/>
  <c r="D10" i="6"/>
  <c r="D13" i="6" s="1"/>
  <c r="D18" i="6" s="1"/>
  <c r="E2" i="6"/>
  <c r="C7" i="6"/>
  <c r="F7" i="6"/>
  <c r="G7" i="6"/>
  <c r="I7" i="6"/>
  <c r="J7" i="6"/>
  <c r="B7" i="6"/>
  <c r="E4" i="6"/>
  <c r="D4" i="6"/>
  <c r="E3" i="6"/>
  <c r="D3" i="6"/>
  <c r="C20" i="6" l="1"/>
  <c r="I20" i="6"/>
  <c r="D7" i="6"/>
  <c r="D20" i="6"/>
  <c r="E7" i="6"/>
  <c r="E20" i="6" s="1"/>
  <c r="H20" i="6"/>
  <c r="J20" i="6"/>
  <c r="G20" i="6"/>
  <c r="F20" i="6"/>
  <c r="D7" i="2" l="1"/>
  <c r="D9" i="2"/>
  <c r="D10" i="2" l="1"/>
  <c r="B6" i="2"/>
  <c r="D5" i="2"/>
  <c r="D6" i="2" s="1"/>
  <c r="K16" i="1" l="1"/>
  <c r="M16" i="1" l="1"/>
  <c r="K19" i="1"/>
  <c r="K18" i="1"/>
  <c r="K17" i="1"/>
  <c r="K20" i="1" l="1"/>
  <c r="K21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M17" i="1"/>
  <c r="M18" i="1"/>
  <c r="M19" i="1"/>
  <c r="M20" i="1" s="1"/>
  <c r="M21" i="1" s="1"/>
  <c r="E47" i="1"/>
  <c r="F47" i="1" s="1"/>
  <c r="G47" i="1" s="1"/>
  <c r="K10" i="1" l="1"/>
  <c r="C5" i="1"/>
  <c r="E5" i="1" s="1"/>
  <c r="D5" i="1"/>
  <c r="H5" i="1" l="1"/>
  <c r="C6" i="1" s="1"/>
  <c r="F5" i="1"/>
  <c r="J5" i="1" s="1"/>
  <c r="D6" i="1" l="1"/>
  <c r="F6" i="1" s="1"/>
  <c r="J6" i="1" s="1"/>
  <c r="E6" i="1"/>
  <c r="H6" i="1" l="1"/>
  <c r="C7" i="1" s="1"/>
  <c r="D7" i="1" l="1"/>
  <c r="F7" i="1" s="1"/>
  <c r="J7" i="1" s="1"/>
  <c r="E7" i="1"/>
  <c r="H7" i="1" l="1"/>
  <c r="C8" i="1" s="1"/>
  <c r="E8" i="1" s="1"/>
  <c r="D8" i="1" l="1"/>
  <c r="F8" i="1" s="1"/>
  <c r="J8" i="1" s="1"/>
  <c r="H8" i="1" l="1"/>
  <c r="C9" i="1" l="1"/>
  <c r="E9" i="1" s="1"/>
  <c r="D9" i="1"/>
  <c r="F9" i="1" l="1"/>
  <c r="J9" i="1" s="1"/>
  <c r="H9" i="1" l="1"/>
  <c r="D10" i="1" s="1"/>
  <c r="C10" i="1" l="1"/>
  <c r="E10" i="1" s="1"/>
  <c r="F10" i="1" l="1"/>
  <c r="J10" i="1" s="1"/>
  <c r="H10" i="1" l="1"/>
  <c r="C11" i="1" s="1"/>
  <c r="E11" i="1" s="1"/>
  <c r="D11" i="1" l="1"/>
  <c r="F11" i="1" s="1"/>
  <c r="J11" i="1" s="1"/>
  <c r="H11" i="1" l="1"/>
  <c r="C12" i="1" s="1"/>
  <c r="E12" i="1" s="1"/>
  <c r="D12" i="1" l="1"/>
  <c r="F12" i="1" s="1"/>
  <c r="J12" i="1" s="1"/>
  <c r="H12" i="1" l="1"/>
  <c r="C13" i="1" l="1"/>
  <c r="E13" i="1" s="1"/>
  <c r="D13" i="1"/>
  <c r="F13" i="1" l="1"/>
  <c r="J13" i="1" s="1"/>
  <c r="H13" i="1"/>
  <c r="D14" i="1" l="1"/>
  <c r="C14" i="1"/>
  <c r="E14" i="1" s="1"/>
  <c r="F14" i="1" l="1"/>
  <c r="J14" i="1" s="1"/>
  <c r="H14" i="1" l="1"/>
  <c r="D15" i="1" l="1"/>
  <c r="C15" i="1"/>
  <c r="E15" i="1" s="1"/>
  <c r="F15" i="1" l="1"/>
  <c r="J15" i="1" s="1"/>
  <c r="H15" i="1" l="1"/>
  <c r="C16" i="1" l="1"/>
  <c r="E16" i="1" s="1"/>
  <c r="D16" i="1"/>
  <c r="F16" i="1" l="1"/>
  <c r="J16" i="1" s="1"/>
  <c r="H16" i="1"/>
  <c r="C17" i="1" l="1"/>
  <c r="E17" i="1" s="1"/>
  <c r="H17" i="1" s="1"/>
  <c r="D17" i="1"/>
  <c r="F17" i="1" l="1"/>
  <c r="J17" i="1" s="1"/>
  <c r="D18" i="1"/>
  <c r="C18" i="1"/>
  <c r="E18" i="1" s="1"/>
  <c r="H18" i="1" s="1"/>
  <c r="C19" i="1" l="1"/>
  <c r="E19" i="1" s="1"/>
  <c r="H19" i="1" s="1"/>
  <c r="D19" i="1"/>
  <c r="F18" i="1"/>
  <c r="J18" i="1" s="1"/>
  <c r="F19" i="1" l="1"/>
  <c r="J19" i="1" s="1"/>
  <c r="C20" i="1"/>
  <c r="E20" i="1" s="1"/>
  <c r="H20" i="1" s="1"/>
  <c r="D21" i="1" s="1"/>
  <c r="D20" i="1"/>
  <c r="F20" i="1" l="1"/>
  <c r="J20" i="1" s="1"/>
  <c r="C21" i="1"/>
  <c r="E21" i="1" s="1"/>
  <c r="F21" i="1" l="1"/>
  <c r="J21" i="1" s="1"/>
  <c r="H21" i="1"/>
  <c r="C22" i="1" l="1"/>
  <c r="E22" i="1" s="1"/>
  <c r="D22" i="1"/>
  <c r="F22" i="1" l="1"/>
  <c r="J22" i="1" s="1"/>
  <c r="H22" i="1" l="1"/>
  <c r="C23" i="1" l="1"/>
  <c r="E23" i="1" s="1"/>
  <c r="H23" i="1" s="1"/>
  <c r="D23" i="1"/>
  <c r="F23" i="1" l="1"/>
  <c r="J23" i="1" s="1"/>
  <c r="D24" i="1"/>
  <c r="C24" i="1"/>
  <c r="E24" i="1" s="1"/>
  <c r="H24" i="1" s="1"/>
  <c r="C25" i="1" s="1"/>
  <c r="E25" i="1" s="1"/>
  <c r="H25" i="1" s="1"/>
  <c r="D25" i="1" l="1"/>
  <c r="F25" i="1" s="1"/>
  <c r="J25" i="1" s="1"/>
  <c r="F24" i="1"/>
  <c r="J24" i="1" s="1"/>
  <c r="C26" i="1"/>
  <c r="E26" i="1" s="1"/>
  <c r="H26" i="1" s="1"/>
  <c r="D26" i="1"/>
  <c r="G41" i="1" l="1"/>
  <c r="F26" i="1"/>
  <c r="J26" i="1" s="1"/>
  <c r="C27" i="1"/>
  <c r="E27" i="1" s="1"/>
  <c r="H27" i="1" s="1"/>
  <c r="D27" i="1"/>
  <c r="F27" i="1" l="1"/>
  <c r="J27" i="1" s="1"/>
  <c r="C28" i="1"/>
  <c r="E28" i="1" s="1"/>
  <c r="H28" i="1" s="1"/>
  <c r="D28" i="1"/>
  <c r="D29" i="1" l="1"/>
  <c r="C29" i="1"/>
  <c r="E29" i="1" s="1"/>
  <c r="H29" i="1" s="1"/>
  <c r="F28" i="1"/>
  <c r="J28" i="1" s="1"/>
  <c r="D30" i="1" l="1"/>
  <c r="C30" i="1"/>
  <c r="E30" i="1" s="1"/>
  <c r="H30" i="1" s="1"/>
  <c r="F29" i="1"/>
  <c r="J29" i="1" s="1"/>
  <c r="D31" i="1" l="1"/>
  <c r="C31" i="1"/>
  <c r="E31" i="1" s="1"/>
  <c r="H31" i="1" s="1"/>
  <c r="F30" i="1"/>
  <c r="J30" i="1" s="1"/>
  <c r="D32" i="1" l="1"/>
  <c r="C32" i="1"/>
  <c r="E32" i="1" s="1"/>
  <c r="H32" i="1" s="1"/>
  <c r="F31" i="1"/>
  <c r="J31" i="1" s="1"/>
  <c r="D33" i="1" l="1"/>
  <c r="C33" i="1"/>
  <c r="E33" i="1" s="1"/>
  <c r="H33" i="1" s="1"/>
  <c r="F32" i="1"/>
  <c r="J32" i="1" s="1"/>
  <c r="D34" i="1" l="1"/>
  <c r="C34" i="1"/>
  <c r="E34" i="1" s="1"/>
  <c r="H34" i="1" s="1"/>
  <c r="F33" i="1"/>
  <c r="J33" i="1" s="1"/>
  <c r="D35" i="1" l="1"/>
  <c r="C35" i="1"/>
  <c r="E35" i="1" s="1"/>
  <c r="H35" i="1" s="1"/>
  <c r="F34" i="1"/>
  <c r="J34" i="1" s="1"/>
  <c r="D36" i="1" l="1"/>
  <c r="C36" i="1"/>
  <c r="E36" i="1" s="1"/>
  <c r="H36" i="1" s="1"/>
  <c r="F35" i="1"/>
  <c r="J35" i="1" s="1"/>
  <c r="D37" i="1" l="1"/>
  <c r="C37" i="1"/>
  <c r="E37" i="1" s="1"/>
  <c r="H37" i="1" s="1"/>
  <c r="F36" i="1"/>
  <c r="J36" i="1" s="1"/>
  <c r="D38" i="1" l="1"/>
  <c r="C38" i="1"/>
  <c r="E38" i="1" s="1"/>
  <c r="H38" i="1" s="1"/>
  <c r="F37" i="1"/>
  <c r="J37" i="1" s="1"/>
  <c r="D39" i="1" l="1"/>
  <c r="C39" i="1"/>
  <c r="E39" i="1" s="1"/>
  <c r="H39" i="1" s="1"/>
  <c r="F38" i="1"/>
  <c r="J38" i="1" s="1"/>
  <c r="D40" i="1" l="1"/>
  <c r="D41" i="1" s="1"/>
  <c r="D44" i="1" s="1"/>
  <c r="C40" i="1"/>
  <c r="C41" i="1" s="1"/>
  <c r="F39" i="1"/>
  <c r="J39" i="1" s="1"/>
  <c r="E40" i="1" l="1"/>
  <c r="E41" i="1" s="1"/>
  <c r="F40" i="1"/>
  <c r="J40" i="1" s="1"/>
  <c r="F41" i="1" l="1"/>
  <c r="H40" i="1"/>
  <c r="H41" i="1" s="1"/>
</calcChain>
</file>

<file path=xl/sharedStrings.xml><?xml version="1.0" encoding="utf-8"?>
<sst xmlns="http://schemas.openxmlformats.org/spreadsheetml/2006/main" count="451" uniqueCount="239">
  <si>
    <t>muddat</t>
  </si>
  <si>
    <t>yillik foiz</t>
  </si>
  <si>
    <t>Asosiy tana</t>
  </si>
  <si>
    <t>oylik foiz</t>
  </si>
  <si>
    <t>Asosiy qarz</t>
  </si>
  <si>
    <t>Ortiqcha to'lov</t>
  </si>
  <si>
    <t>Qoldiq</t>
  </si>
  <si>
    <t>Oylik umumiy to'lov</t>
  </si>
  <si>
    <t>Oylik maosh</t>
  </si>
  <si>
    <t>Iyul</t>
  </si>
  <si>
    <t>Avgust</t>
  </si>
  <si>
    <t>Sentyabr</t>
  </si>
  <si>
    <t>Oktyabr</t>
  </si>
  <si>
    <t>Noyabr</t>
  </si>
  <si>
    <t>Dekabr</t>
  </si>
  <si>
    <t>Yanvar</t>
  </si>
  <si>
    <t>Fevral</t>
  </si>
  <si>
    <t>Mart</t>
  </si>
  <si>
    <t>Aprel</t>
  </si>
  <si>
    <t>May</t>
  </si>
  <si>
    <t>Iyun</t>
  </si>
  <si>
    <t>Oylikdan qolgan summa</t>
  </si>
  <si>
    <t>aklad</t>
  </si>
  <si>
    <t>rayon</t>
  </si>
  <si>
    <t>premya</t>
  </si>
  <si>
    <t>god</t>
  </si>
  <si>
    <t>qoldiq</t>
  </si>
  <si>
    <t>Summa</t>
  </si>
  <si>
    <t>Uy tan narxi</t>
  </si>
  <si>
    <t>Kridit narxi</t>
  </si>
  <si>
    <t>Boshlang'ich</t>
  </si>
  <si>
    <t>foiz</t>
  </si>
  <si>
    <t>Kridit summasi</t>
  </si>
  <si>
    <t>Soliq</t>
  </si>
  <si>
    <t>so'm</t>
  </si>
  <si>
    <t>Kelishilgan narx</t>
  </si>
  <si>
    <t>49m2</t>
  </si>
  <si>
    <t>Uy kridit</t>
  </si>
  <si>
    <t>Kridit 1</t>
  </si>
  <si>
    <t>Kridit 2</t>
  </si>
  <si>
    <t>Kridit 3</t>
  </si>
  <si>
    <t>Oylik</t>
  </si>
  <si>
    <t>Stependiya</t>
  </si>
  <si>
    <t>Jami</t>
  </si>
  <si>
    <t>Jami oylik</t>
  </si>
  <si>
    <t>Jami to'lov</t>
  </si>
  <si>
    <t>Uy Ipoteka</t>
  </si>
  <si>
    <t>Kridit o</t>
  </si>
  <si>
    <t>Kridit j</t>
  </si>
  <si>
    <t>Kridit d</t>
  </si>
  <si>
    <t>Qarzlar</t>
  </si>
  <si>
    <t>Ammam</t>
  </si>
  <si>
    <t>Furqat a</t>
  </si>
  <si>
    <t>Xolam</t>
  </si>
  <si>
    <t>Jiyan</t>
  </si>
  <si>
    <t>Omonot</t>
  </si>
  <si>
    <t>Marjona o</t>
  </si>
  <si>
    <t>Navro'z jiyan</t>
  </si>
  <si>
    <t>Qarzim</t>
  </si>
  <si>
    <t>Qarzdorlar</t>
  </si>
  <si>
    <t>Davlat a</t>
  </si>
  <si>
    <t>Omonatda</t>
  </si>
  <si>
    <t>Marjon</t>
  </si>
  <si>
    <t>Marjona onasi</t>
  </si>
  <si>
    <t>jami</t>
  </si>
  <si>
    <t>uy kridit</t>
  </si>
  <si>
    <t>dekabr</t>
  </si>
  <si>
    <t>marjona</t>
  </si>
  <si>
    <t>yanvar</t>
  </si>
  <si>
    <t>ahmat</t>
  </si>
  <si>
    <t>kantrakt</t>
  </si>
  <si>
    <t>kiyim</t>
  </si>
  <si>
    <t>davlat</t>
  </si>
  <si>
    <t>jiyan</t>
  </si>
  <si>
    <t>otam</t>
  </si>
  <si>
    <t>telefon</t>
  </si>
  <si>
    <t>fevral</t>
  </si>
  <si>
    <t>mart</t>
  </si>
  <si>
    <t>aprel</t>
  </si>
  <si>
    <t>may</t>
  </si>
  <si>
    <t>iyun</t>
  </si>
  <si>
    <t>iyul</t>
  </si>
  <si>
    <t>avgust</t>
  </si>
  <si>
    <t>soliq</t>
  </si>
  <si>
    <t xml:space="preserve"> </t>
  </si>
  <si>
    <t>Plastikka</t>
  </si>
  <si>
    <t>sentabr</t>
  </si>
  <si>
    <t>oktabr</t>
  </si>
  <si>
    <t>noyabr</t>
  </si>
  <si>
    <t>tv</t>
  </si>
  <si>
    <t>Oybek</t>
  </si>
  <si>
    <t>Jovlon</t>
  </si>
  <si>
    <t>Adiz</t>
  </si>
  <si>
    <t>Ahmat</t>
  </si>
  <si>
    <t>O`tkir</t>
  </si>
  <si>
    <t>Vohob</t>
  </si>
  <si>
    <t>Otpusnoy</t>
  </si>
  <si>
    <t>bek</t>
  </si>
  <si>
    <t>boxo</t>
  </si>
  <si>
    <t>doston</t>
  </si>
  <si>
    <t>jo'rabek</t>
  </si>
  <si>
    <t>xaladelnik</t>
  </si>
  <si>
    <t>qalin</t>
  </si>
  <si>
    <t>paxta</t>
  </si>
  <si>
    <t>berish kerak</t>
  </si>
  <si>
    <t>berildi</t>
  </si>
  <si>
    <t>Kirim</t>
  </si>
  <si>
    <t>Chiqim</t>
  </si>
  <si>
    <t>Stipendiya</t>
  </si>
  <si>
    <t>Kridit uy</t>
  </si>
  <si>
    <t>otam k</t>
  </si>
  <si>
    <t>davlat a</t>
  </si>
  <si>
    <t>Uzum market</t>
  </si>
  <si>
    <t>Alif shop</t>
  </si>
  <si>
    <t>Ishonch</t>
  </si>
  <si>
    <t>tikish</t>
  </si>
  <si>
    <t>Jiyan k</t>
  </si>
  <si>
    <t>q6000000</t>
  </si>
  <si>
    <t>q3200000</t>
  </si>
  <si>
    <t>q1200000</t>
  </si>
  <si>
    <t>bezaklari</t>
  </si>
  <si>
    <t>TV1</t>
  </si>
  <si>
    <t>To`yona</t>
  </si>
  <si>
    <t>Ishxona</t>
  </si>
  <si>
    <t>Xarajatlar</t>
  </si>
  <si>
    <t>kriditlar may</t>
  </si>
  <si>
    <t>kriditlar iyun</t>
  </si>
  <si>
    <t>Oylik may</t>
  </si>
  <si>
    <t>stipendiya may</t>
  </si>
  <si>
    <t>Oylik iyun</t>
  </si>
  <si>
    <t>stipendiya iyun</t>
  </si>
  <si>
    <t>video</t>
  </si>
  <si>
    <t>To'yxona</t>
  </si>
  <si>
    <t>Jamshid</t>
  </si>
  <si>
    <t>Tushumlar</t>
  </si>
  <si>
    <t>Chiqimlar</t>
  </si>
  <si>
    <t>Ahmad</t>
  </si>
  <si>
    <t>Javlon</t>
  </si>
  <si>
    <t>Vahob</t>
  </si>
  <si>
    <t>Step. iyun</t>
  </si>
  <si>
    <t>TV-1</t>
  </si>
  <si>
    <t>Uy kiridt</t>
  </si>
  <si>
    <t>kridit otam</t>
  </si>
  <si>
    <t>kridit jiyan</t>
  </si>
  <si>
    <t>kridit davlat</t>
  </si>
  <si>
    <t>kridit doston</t>
  </si>
  <si>
    <t>kridit ahmad</t>
  </si>
  <si>
    <t>ishonch</t>
  </si>
  <si>
    <t>Artist</t>
  </si>
  <si>
    <t>to`yxona</t>
  </si>
  <si>
    <t>jo`rabek</t>
  </si>
  <si>
    <t>tushadi</t>
  </si>
  <si>
    <t>tushdi</t>
  </si>
  <si>
    <t>qoldi</t>
  </si>
  <si>
    <t>beriladi</t>
  </si>
  <si>
    <t>salon</t>
  </si>
  <si>
    <t>otpusnoy</t>
  </si>
  <si>
    <t>Davron</t>
  </si>
  <si>
    <t>Induction plita</t>
  </si>
  <si>
    <t>Step. may</t>
  </si>
  <si>
    <t>induction pech</t>
  </si>
  <si>
    <t>Xasan</t>
  </si>
  <si>
    <t>Dasturxon</t>
  </si>
  <si>
    <t>Non</t>
  </si>
  <si>
    <t>narxi</t>
  </si>
  <si>
    <t>zaxira</t>
  </si>
  <si>
    <t>Aroq</t>
  </si>
  <si>
    <t>pepsi</t>
  </si>
  <si>
    <t>coca</t>
  </si>
  <si>
    <t>sok</t>
  </si>
  <si>
    <t>gazirovka</t>
  </si>
  <si>
    <t>tovuq</t>
  </si>
  <si>
    <t>baliq</t>
  </si>
  <si>
    <t>olma</t>
  </si>
  <si>
    <t>banan</t>
  </si>
  <si>
    <t>go'sh</t>
  </si>
  <si>
    <t>kalbasa</t>
  </si>
  <si>
    <t>salat 1</t>
  </si>
  <si>
    <t>salat 2</t>
  </si>
  <si>
    <t>salat 3</t>
  </si>
  <si>
    <t>somsa</t>
  </si>
  <si>
    <t>kontrakt mu</t>
  </si>
  <si>
    <t>lovestore</t>
  </si>
  <si>
    <t>karnay surnay</t>
  </si>
  <si>
    <t xml:space="preserve">Jiyan </t>
  </si>
  <si>
    <t>jannatim onam</t>
  </si>
  <si>
    <t>*-2000000</t>
  </si>
  <si>
    <t>nurbek</t>
  </si>
  <si>
    <t>kastim buryuk</t>
  </si>
  <si>
    <t xml:space="preserve">moshina </t>
  </si>
  <si>
    <t>Sentyabr uchun to'lovlar</t>
  </si>
  <si>
    <t>Uy ipoteka</t>
  </si>
  <si>
    <t>Alifshop TV</t>
  </si>
  <si>
    <t>Alifshop pechka</t>
  </si>
  <si>
    <t>Aloqa bank Otamni kriditi</t>
  </si>
  <si>
    <t>Aloqa bank Jiyanni kriditi</t>
  </si>
  <si>
    <t>Aloqa bank Zokirni kriditi</t>
  </si>
  <si>
    <t>Uzum Market  TVx2</t>
  </si>
  <si>
    <t>Uzum Market  Vintelyator</t>
  </si>
  <si>
    <t>Uzum Market  Tel</t>
  </si>
  <si>
    <t>TBS Ahmad</t>
  </si>
  <si>
    <t>TBS Doston</t>
  </si>
  <si>
    <t>TBS Davlat a</t>
  </si>
  <si>
    <t>Farhod aka</t>
  </si>
  <si>
    <t>Sardor aka</t>
  </si>
  <si>
    <t>Azim</t>
  </si>
  <si>
    <t>Aziz aka</t>
  </si>
  <si>
    <t>Kanditsioner</t>
  </si>
  <si>
    <t>Akam</t>
  </si>
  <si>
    <t>Oktyabr uchun to'lovlar</t>
  </si>
  <si>
    <t>Noyabr uchun to'lovlar</t>
  </si>
  <si>
    <t>Dekabr uchun to'lovlar</t>
  </si>
  <si>
    <t>Wifi</t>
  </si>
  <si>
    <t>Kiyim</t>
  </si>
  <si>
    <t>baxtiyor a</t>
  </si>
  <si>
    <t>javlon to`y</t>
  </si>
  <si>
    <t>oybek</t>
  </si>
  <si>
    <t>Zuxi tbs</t>
  </si>
  <si>
    <t>Uzum Market  Marjona</t>
  </si>
  <si>
    <t>Uzum Market  aziz</t>
  </si>
  <si>
    <t>Uzum Market  botinka</t>
  </si>
  <si>
    <t>TBS Shokir</t>
  </si>
  <si>
    <t>TBS zuxi</t>
  </si>
  <si>
    <t>Sentabr</t>
  </si>
  <si>
    <t>Oktabr</t>
  </si>
  <si>
    <t>Otam kridit</t>
  </si>
  <si>
    <t>Jiyan kridit</t>
  </si>
  <si>
    <t>Aloqa</t>
  </si>
  <si>
    <t>Doston</t>
  </si>
  <si>
    <t>Uzum patinka</t>
  </si>
  <si>
    <t>Uzum Mikravolnovka</t>
  </si>
  <si>
    <t>Uzum TV 2x</t>
  </si>
  <si>
    <t>Uzum vintelyator</t>
  </si>
  <si>
    <t>Uzum Tel</t>
  </si>
  <si>
    <t>Alif TV</t>
  </si>
  <si>
    <t>Alif Pech</t>
  </si>
  <si>
    <t>Zuxriddin TBS</t>
  </si>
  <si>
    <t>Shokir TBS</t>
  </si>
  <si>
    <t>Akam TBS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</si>
</sst>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36"/>
      <color theme="1"/>
      <name val="Times New Roman"/>
      <family val="1"/>
    </font>
    <font>
      <sz val="11"/>
      <color rgb="FFFF0000"/>
      <name val="Times New Roman"/>
      <family val="1"/>
    </font>
    <font>
      <sz val="28"/>
      <color theme="1"/>
      <name val="Calibri"/>
      <family val="2"/>
      <charset val="204"/>
      <scheme val="minor"/>
    </font>
    <font>
      <sz val="11"/>
      <color rgb="FF0070C0"/>
      <name val="Times New Roman"/>
      <family val="1"/>
    </font>
    <font>
      <sz val="11"/>
      <color rgb="FF0070C0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left" vertical="center"/>
    </xf>
    <xf numFmtId="3" fontId="2" fillId="10" borderId="1" xfId="0" applyNumberFormat="1" applyFont="1" applyFill="1" applyBorder="1" applyAlignment="1">
      <alignment horizontal="right" vertical="center"/>
    </xf>
    <xf numFmtId="3" fontId="2" fillId="1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3" fontId="2" fillId="4" borderId="1" xfId="0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left" vertical="center"/>
    </xf>
    <xf numFmtId="3" fontId="2" fillId="0" borderId="0" xfId="0" applyNumberFormat="1" applyFont="1" applyBorder="1" applyAlignment="1">
      <alignment horizontal="right" vertical="center"/>
    </xf>
    <xf numFmtId="0" fontId="3" fillId="8" borderId="0" xfId="0" applyFont="1" applyFill="1"/>
    <xf numFmtId="3" fontId="2" fillId="8" borderId="1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0" borderId="0" xfId="0" applyAlignment="1">
      <alignment horizontal="left" vertical="center"/>
    </xf>
    <xf numFmtId="3" fontId="0" fillId="0" borderId="0" xfId="0" applyNumberFormat="1"/>
    <xf numFmtId="3" fontId="2" fillId="8" borderId="1" xfId="0" applyNumberFormat="1" applyFont="1" applyFill="1" applyBorder="1" applyAlignment="1">
      <alignment horizontal="left" vertical="center"/>
    </xf>
    <xf numFmtId="3" fontId="2" fillId="4" borderId="1" xfId="0" applyNumberFormat="1" applyFont="1" applyFill="1" applyBorder="1" applyAlignment="1">
      <alignment vertical="center"/>
    </xf>
    <xf numFmtId="3" fontId="0" fillId="0" borderId="0" xfId="0" applyNumberFormat="1" applyAlignment="1"/>
    <xf numFmtId="3" fontId="2" fillId="8" borderId="1" xfId="0" applyNumberFormat="1" applyFont="1" applyFill="1" applyBorder="1" applyAlignment="1">
      <alignment vertical="center"/>
    </xf>
    <xf numFmtId="4" fontId="0" fillId="0" borderId="0" xfId="0" applyNumberFormat="1"/>
    <xf numFmtId="4" fontId="0" fillId="4" borderId="0" xfId="0" applyNumberFormat="1" applyFill="1"/>
    <xf numFmtId="3" fontId="0" fillId="4" borderId="1" xfId="0" applyNumberFormat="1" applyFill="1" applyBorder="1"/>
    <xf numFmtId="3" fontId="0" fillId="0" borderId="1" xfId="0" applyNumberFormat="1" applyBorder="1"/>
    <xf numFmtId="3" fontId="4" fillId="0" borderId="0" xfId="0" applyNumberFormat="1" applyFont="1"/>
    <xf numFmtId="3" fontId="0" fillId="0" borderId="0" xfId="0" applyNumberForma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center" vertical="center"/>
    </xf>
    <xf numFmtId="0" fontId="5" fillId="0" borderId="0" xfId="0" applyFont="1"/>
    <xf numFmtId="3" fontId="5" fillId="0" borderId="0" xfId="0" applyNumberFormat="1" applyFont="1"/>
    <xf numFmtId="0" fontId="5" fillId="0" borderId="1" xfId="0" applyFont="1" applyBorder="1"/>
    <xf numFmtId="3" fontId="5" fillId="0" borderId="1" xfId="0" applyNumberFormat="1" applyFont="1" applyBorder="1"/>
    <xf numFmtId="3" fontId="6" fillId="0" borderId="1" xfId="0" applyNumberFormat="1" applyFont="1" applyBorder="1"/>
    <xf numFmtId="0" fontId="8" fillId="2" borderId="1" xfId="0" applyFont="1" applyFill="1" applyBorder="1"/>
    <xf numFmtId="4" fontId="5" fillId="2" borderId="1" xfId="0" applyNumberFormat="1" applyFont="1" applyFill="1" applyBorder="1"/>
    <xf numFmtId="0" fontId="0" fillId="2" borderId="1" xfId="0" applyFill="1" applyBorder="1"/>
    <xf numFmtId="0" fontId="5" fillId="2" borderId="1" xfId="0" applyFont="1" applyFill="1" applyBorder="1"/>
    <xf numFmtId="0" fontId="6" fillId="11" borderId="1" xfId="0" applyFont="1" applyFill="1" applyBorder="1"/>
    <xf numFmtId="4" fontId="6" fillId="11" borderId="1" xfId="0" applyNumberFormat="1" applyFont="1" applyFill="1" applyBorder="1"/>
    <xf numFmtId="4" fontId="10" fillId="2" borderId="1" xfId="0" applyNumberFormat="1" applyFont="1" applyFill="1" applyBorder="1"/>
    <xf numFmtId="0" fontId="11" fillId="2" borderId="1" xfId="0" applyFont="1" applyFill="1" applyBorder="1"/>
    <xf numFmtId="4" fontId="10" fillId="11" borderId="1" xfId="0" applyNumberFormat="1" applyFont="1" applyFill="1" applyBorder="1"/>
    <xf numFmtId="0" fontId="10" fillId="11" borderId="1" xfId="0" applyFon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8" borderId="2" xfId="0" applyNumberFormat="1" applyFont="1" applyFill="1" applyBorder="1" applyAlignment="1">
      <alignment horizontal="center" vertical="center"/>
    </xf>
    <xf numFmtId="3" fontId="2" fillId="8" borderId="3" xfId="0" applyNumberFormat="1" applyFont="1" applyFill="1" applyBorder="1" applyAlignment="1">
      <alignment horizontal="center" vertical="center"/>
    </xf>
    <xf numFmtId="3" fontId="2" fillId="8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3" fontId="7" fillId="0" borderId="6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C0AD-AC5A-48E1-8A17-53BC6D9258EF}">
  <dimension ref="A1:M47"/>
  <sheetViews>
    <sheetView topLeftCell="D8" zoomScaleNormal="100" workbookViewId="0">
      <selection activeCell="G18" sqref="G18"/>
    </sheetView>
  </sheetViews>
  <sheetFormatPr defaultRowHeight="15" x14ac:dyDescent="0.25"/>
  <cols>
    <col min="1" max="1" width="9.140625" style="2"/>
    <col min="2" max="2" width="4" style="2" customWidth="1"/>
    <col min="3" max="3" width="11.5703125" customWidth="1"/>
    <col min="4" max="4" width="14.140625" customWidth="1"/>
    <col min="5" max="5" width="16.42578125" style="1" customWidth="1"/>
    <col min="6" max="6" width="20.42578125" style="1" customWidth="1"/>
    <col min="7" max="7" width="16" style="1" customWidth="1"/>
    <col min="8" max="9" width="22" style="1" customWidth="1"/>
    <col min="10" max="10" width="23.28515625" style="1" customWidth="1"/>
    <col min="11" max="11" width="29.7109375" style="2" customWidth="1"/>
    <col min="13" max="13" width="9.140625" customWidth="1"/>
  </cols>
  <sheetData>
    <row r="1" spans="1:13" ht="46.5" x14ac:dyDescent="0.25">
      <c r="B1" s="3"/>
      <c r="C1" s="87">
        <v>20000000</v>
      </c>
      <c r="D1" s="88"/>
      <c r="E1" s="88"/>
      <c r="F1" s="88"/>
      <c r="G1" s="88"/>
      <c r="H1" s="89"/>
      <c r="I1" s="11"/>
      <c r="J1" s="10"/>
      <c r="K1" s="87"/>
      <c r="L1" s="88"/>
      <c r="M1" s="89"/>
    </row>
    <row r="2" spans="1:13" ht="15" customHeight="1" x14ac:dyDescent="0.25">
      <c r="B2" s="3"/>
      <c r="C2" s="3" t="s">
        <v>0</v>
      </c>
      <c r="D2" s="3" t="s">
        <v>1</v>
      </c>
      <c r="E2" s="3"/>
      <c r="F2" s="3"/>
      <c r="G2" s="3"/>
      <c r="H2" s="3"/>
      <c r="I2" s="3"/>
      <c r="J2" s="3"/>
      <c r="K2" s="79">
        <v>6000000</v>
      </c>
      <c r="L2" s="80"/>
      <c r="M2" s="80"/>
    </row>
    <row r="3" spans="1:13" ht="15" customHeight="1" x14ac:dyDescent="0.25">
      <c r="B3" s="3"/>
      <c r="C3" s="3">
        <v>24</v>
      </c>
      <c r="D3" s="3">
        <v>27</v>
      </c>
      <c r="E3" s="3"/>
      <c r="F3" s="3"/>
      <c r="G3" s="3"/>
      <c r="H3" s="3"/>
      <c r="I3" s="3"/>
      <c r="J3" s="3"/>
      <c r="K3" s="81"/>
      <c r="L3" s="82"/>
      <c r="M3" s="82"/>
    </row>
    <row r="4" spans="1:13" ht="15" customHeight="1" x14ac:dyDescent="0.25">
      <c r="B4" s="3"/>
      <c r="C4" s="4" t="s">
        <v>2</v>
      </c>
      <c r="D4" s="5" t="s">
        <v>3</v>
      </c>
      <c r="E4" s="6" t="s">
        <v>4</v>
      </c>
      <c r="F4" s="7" t="s">
        <v>7</v>
      </c>
      <c r="G4" s="8" t="s">
        <v>5</v>
      </c>
      <c r="H4" s="9" t="s">
        <v>6</v>
      </c>
      <c r="I4" s="12" t="s">
        <v>8</v>
      </c>
      <c r="J4" s="9" t="s">
        <v>21</v>
      </c>
      <c r="K4" s="79"/>
      <c r="L4" s="80"/>
      <c r="M4" s="80"/>
    </row>
    <row r="5" spans="1:13" ht="15" customHeight="1" x14ac:dyDescent="0.25">
      <c r="A5" s="2" t="s">
        <v>11</v>
      </c>
      <c r="B5" s="3">
        <v>1</v>
      </c>
      <c r="C5" s="4">
        <f>$C$1/$C$3</f>
        <v>833333.33333333337</v>
      </c>
      <c r="D5" s="5">
        <f>C1*$D$3/12/100</f>
        <v>450000</v>
      </c>
      <c r="E5" s="6">
        <f>C1-C5</f>
        <v>19166666.666666668</v>
      </c>
      <c r="F5" s="7">
        <f>D5+C5</f>
        <v>1283333.3333333335</v>
      </c>
      <c r="G5" s="8"/>
      <c r="H5" s="9">
        <f>E5-G5</f>
        <v>19166666.666666668</v>
      </c>
      <c r="I5" s="12">
        <v>2750000</v>
      </c>
      <c r="J5" s="9">
        <f>I5-F5-G5</f>
        <v>1466666.6666666665</v>
      </c>
      <c r="K5" s="81"/>
      <c r="L5" s="82"/>
      <c r="M5" s="82"/>
    </row>
    <row r="6" spans="1:13" ht="15" customHeight="1" x14ac:dyDescent="0.25">
      <c r="A6" s="2" t="s">
        <v>12</v>
      </c>
      <c r="B6" s="3">
        <v>2</v>
      </c>
      <c r="C6" s="4">
        <f>H5/($C$3-B5)</f>
        <v>833333.33333333337</v>
      </c>
      <c r="D6" s="5">
        <f>H5*$D$3/12/100</f>
        <v>431250.00000000006</v>
      </c>
      <c r="E6" s="6">
        <f>H5-C6</f>
        <v>18333333.333333336</v>
      </c>
      <c r="F6" s="7">
        <f t="shared" ref="F6:F28" si="0">D6+C6</f>
        <v>1264583.3333333335</v>
      </c>
      <c r="G6" s="8">
        <v>230000</v>
      </c>
      <c r="H6" s="9">
        <f t="shared" ref="H6:H28" si="1">E6-G6</f>
        <v>18103333.333333336</v>
      </c>
      <c r="I6" s="12">
        <f>K21</f>
        <v>3897589.4759999993</v>
      </c>
      <c r="J6" s="9">
        <f t="shared" ref="J6:J40" si="2">I6-F6-G6</f>
        <v>2403006.1426666658</v>
      </c>
      <c r="K6" s="79"/>
      <c r="L6" s="80"/>
      <c r="M6" s="80"/>
    </row>
    <row r="7" spans="1:13" ht="15" customHeight="1" x14ac:dyDescent="0.25">
      <c r="A7" s="2" t="s">
        <v>13</v>
      </c>
      <c r="B7" s="3">
        <v>3</v>
      </c>
      <c r="C7" s="4">
        <f>IF($C$3-B6&gt;0,H6/($C$3-B6),0)</f>
        <v>822878.78787878796</v>
      </c>
      <c r="D7" s="5">
        <f t="shared" ref="D7:D28" si="3">H6*$D$3/12/100</f>
        <v>407325.00000000006</v>
      </c>
      <c r="E7" s="6">
        <f t="shared" ref="E7:E28" si="4">H6-C7</f>
        <v>17280454.545454547</v>
      </c>
      <c r="F7" s="7">
        <f t="shared" si="0"/>
        <v>1230203.7878787881</v>
      </c>
      <c r="G7" s="8"/>
      <c r="H7" s="9">
        <f t="shared" si="1"/>
        <v>17280454.545454547</v>
      </c>
      <c r="I7" s="12">
        <f>I6</f>
        <v>3897589.4759999993</v>
      </c>
      <c r="J7" s="9">
        <f t="shared" si="2"/>
        <v>2667385.6881212112</v>
      </c>
      <c r="K7" s="81"/>
      <c r="L7" s="82"/>
      <c r="M7" s="82"/>
    </row>
    <row r="8" spans="1:13" ht="15" customHeight="1" x14ac:dyDescent="0.25">
      <c r="A8" s="2" t="s">
        <v>14</v>
      </c>
      <c r="B8" s="3">
        <v>4</v>
      </c>
      <c r="C8" s="4">
        <f t="shared" ref="C8:C28" si="5">IF($C$3-B7&gt;0,H7/($C$3-B7),0)</f>
        <v>822878.78787878796</v>
      </c>
      <c r="D8" s="5">
        <f t="shared" si="3"/>
        <v>388810.22727272729</v>
      </c>
      <c r="E8" s="6">
        <f t="shared" si="4"/>
        <v>16457575.75757576</v>
      </c>
      <c r="F8" s="7">
        <f t="shared" si="0"/>
        <v>1211689.0151515151</v>
      </c>
      <c r="G8" s="8"/>
      <c r="H8" s="9">
        <f t="shared" si="1"/>
        <v>16457575.75757576</v>
      </c>
      <c r="I8" s="12">
        <f>I7</f>
        <v>3897589.4759999993</v>
      </c>
      <c r="J8" s="9">
        <f t="shared" si="2"/>
        <v>2685900.4608484842</v>
      </c>
      <c r="K8" s="79"/>
      <c r="L8" s="80"/>
      <c r="M8" s="80"/>
    </row>
    <row r="9" spans="1:13" ht="15" customHeight="1" x14ac:dyDescent="0.25">
      <c r="A9" s="2" t="s">
        <v>15</v>
      </c>
      <c r="B9" s="3">
        <v>5</v>
      </c>
      <c r="C9" s="4">
        <f t="shared" si="5"/>
        <v>822878.78787878796</v>
      </c>
      <c r="D9" s="5">
        <f t="shared" si="3"/>
        <v>370295.45454545459</v>
      </c>
      <c r="E9" s="6">
        <f t="shared" si="4"/>
        <v>15634696.969696973</v>
      </c>
      <c r="F9" s="7">
        <f t="shared" si="0"/>
        <v>1193174.2424242427</v>
      </c>
      <c r="G9" s="8"/>
      <c r="H9" s="9">
        <f t="shared" si="1"/>
        <v>15634696.969696973</v>
      </c>
      <c r="I9" s="12">
        <f t="shared" ref="I9:I40" si="6">I8</f>
        <v>3897589.4759999993</v>
      </c>
      <c r="J9" s="9">
        <f t="shared" si="2"/>
        <v>2704415.2335757567</v>
      </c>
      <c r="K9" s="81"/>
      <c r="L9" s="82"/>
      <c r="M9" s="82"/>
    </row>
    <row r="10" spans="1:13" ht="15" customHeight="1" x14ac:dyDescent="0.25">
      <c r="A10" s="2" t="s">
        <v>16</v>
      </c>
      <c r="B10" s="3">
        <v>6</v>
      </c>
      <c r="C10" s="4">
        <f t="shared" si="5"/>
        <v>822878.78787878808</v>
      </c>
      <c r="D10" s="5">
        <f t="shared" si="3"/>
        <v>351780.68181818188</v>
      </c>
      <c r="E10" s="6">
        <f t="shared" si="4"/>
        <v>14811818.181818184</v>
      </c>
      <c r="F10" s="7">
        <f t="shared" si="0"/>
        <v>1174659.46969697</v>
      </c>
      <c r="G10" s="8"/>
      <c r="H10" s="9">
        <f t="shared" si="1"/>
        <v>14811818.181818184</v>
      </c>
      <c r="I10" s="12">
        <f t="shared" si="6"/>
        <v>3897589.4759999993</v>
      </c>
      <c r="J10" s="9">
        <f t="shared" si="2"/>
        <v>2722930.0063030291</v>
      </c>
      <c r="K10" s="83">
        <f>C1+K1+K2+K4+K6+K8</f>
        <v>26000000</v>
      </c>
      <c r="L10" s="84"/>
      <c r="M10" s="84"/>
    </row>
    <row r="11" spans="1:13" ht="15" customHeight="1" x14ac:dyDescent="0.25">
      <c r="A11" s="2" t="s">
        <v>17</v>
      </c>
      <c r="B11" s="3">
        <v>7</v>
      </c>
      <c r="C11" s="4">
        <f t="shared" si="5"/>
        <v>822878.78787878796</v>
      </c>
      <c r="D11" s="5">
        <f t="shared" si="3"/>
        <v>333265.90909090912</v>
      </c>
      <c r="E11" s="6">
        <f t="shared" si="4"/>
        <v>13988939.393939396</v>
      </c>
      <c r="F11" s="7">
        <f t="shared" si="0"/>
        <v>1156144.696969697</v>
      </c>
      <c r="G11" s="8"/>
      <c r="H11" s="9">
        <f t="shared" si="1"/>
        <v>13988939.393939396</v>
      </c>
      <c r="I11" s="12">
        <f t="shared" si="6"/>
        <v>3897589.4759999993</v>
      </c>
      <c r="J11" s="9">
        <f t="shared" si="2"/>
        <v>2741444.7790303025</v>
      </c>
      <c r="K11" s="85"/>
      <c r="L11" s="86"/>
      <c r="M11" s="86"/>
    </row>
    <row r="12" spans="1:13" x14ac:dyDescent="0.25">
      <c r="A12" s="2" t="s">
        <v>18</v>
      </c>
      <c r="B12" s="3">
        <v>8</v>
      </c>
      <c r="C12" s="4">
        <f t="shared" si="5"/>
        <v>822878.78787878808</v>
      </c>
      <c r="D12" s="5">
        <f t="shared" si="3"/>
        <v>314751.13636363641</v>
      </c>
      <c r="E12" s="6">
        <f t="shared" si="4"/>
        <v>13166060.606060609</v>
      </c>
      <c r="F12" s="7">
        <f t="shared" si="0"/>
        <v>1137629.9242424245</v>
      </c>
      <c r="G12" s="8"/>
      <c r="H12" s="9">
        <f t="shared" si="1"/>
        <v>13166060.606060609</v>
      </c>
      <c r="I12" s="12">
        <f t="shared" si="6"/>
        <v>3897589.4759999993</v>
      </c>
      <c r="J12" s="9">
        <f t="shared" si="2"/>
        <v>2759959.551757575</v>
      </c>
    </row>
    <row r="13" spans="1:13" x14ac:dyDescent="0.25">
      <c r="A13" s="2" t="s">
        <v>19</v>
      </c>
      <c r="B13" s="3">
        <v>9</v>
      </c>
      <c r="C13" s="4">
        <f t="shared" si="5"/>
        <v>822878.78787878808</v>
      </c>
      <c r="D13" s="5">
        <f t="shared" si="3"/>
        <v>296236.36363636371</v>
      </c>
      <c r="E13" s="6">
        <f t="shared" si="4"/>
        <v>12343181.81818182</v>
      </c>
      <c r="F13" s="7">
        <f t="shared" si="0"/>
        <v>1119115.1515151518</v>
      </c>
      <c r="G13" s="8"/>
      <c r="H13" s="9">
        <f t="shared" si="1"/>
        <v>12343181.81818182</v>
      </c>
      <c r="I13" s="12">
        <f t="shared" si="6"/>
        <v>3897589.4759999993</v>
      </c>
      <c r="J13" s="9">
        <f t="shared" si="2"/>
        <v>2778474.3244848475</v>
      </c>
    </row>
    <row r="14" spans="1:13" x14ac:dyDescent="0.25">
      <c r="A14" s="2" t="s">
        <v>20</v>
      </c>
      <c r="B14" s="3">
        <v>10</v>
      </c>
      <c r="C14" s="4">
        <f t="shared" si="5"/>
        <v>822878.78787878796</v>
      </c>
      <c r="D14" s="5">
        <f t="shared" si="3"/>
        <v>277721.59090909094</v>
      </c>
      <c r="E14" s="6">
        <f t="shared" si="4"/>
        <v>11520303.030303033</v>
      </c>
      <c r="F14" s="7">
        <f t="shared" si="0"/>
        <v>1100600.3787878789</v>
      </c>
      <c r="G14" s="8"/>
      <c r="H14" s="9">
        <f t="shared" si="1"/>
        <v>11520303.030303033</v>
      </c>
      <c r="I14" s="12">
        <f t="shared" si="6"/>
        <v>3897589.4759999993</v>
      </c>
      <c r="J14" s="9">
        <f t="shared" si="2"/>
        <v>2796989.0972121204</v>
      </c>
      <c r="K14" s="2">
        <v>1674510</v>
      </c>
    </row>
    <row r="15" spans="1:13" x14ac:dyDescent="0.25">
      <c r="A15" s="2" t="s">
        <v>9</v>
      </c>
      <c r="B15" s="3">
        <v>11</v>
      </c>
      <c r="C15" s="4">
        <f t="shared" si="5"/>
        <v>822878.78787878808</v>
      </c>
      <c r="D15" s="5">
        <f t="shared" si="3"/>
        <v>259206.81818181823</v>
      </c>
      <c r="E15" s="6">
        <f t="shared" si="4"/>
        <v>10697424.242424246</v>
      </c>
      <c r="F15" s="7">
        <f t="shared" si="0"/>
        <v>1082085.6060606064</v>
      </c>
      <c r="G15" s="8"/>
      <c r="H15" s="9">
        <f t="shared" si="1"/>
        <v>10697424.242424246</v>
      </c>
      <c r="I15" s="12">
        <f t="shared" si="6"/>
        <v>3897589.4759999993</v>
      </c>
      <c r="J15" s="9">
        <f t="shared" si="2"/>
        <v>2815503.8699393929</v>
      </c>
      <c r="K15" s="2">
        <v>1.1499999999999999</v>
      </c>
    </row>
    <row r="16" spans="1:13" x14ac:dyDescent="0.25">
      <c r="A16" s="2" t="s">
        <v>10</v>
      </c>
      <c r="B16" s="3">
        <v>12</v>
      </c>
      <c r="C16" s="4">
        <f t="shared" si="5"/>
        <v>822878.78787878819</v>
      </c>
      <c r="D16" s="5">
        <f t="shared" si="3"/>
        <v>240692.0454545455</v>
      </c>
      <c r="E16" s="6">
        <f t="shared" si="4"/>
        <v>9874545.4545454569</v>
      </c>
      <c r="F16" s="7">
        <f t="shared" si="0"/>
        <v>1063570.8333333337</v>
      </c>
      <c r="G16" s="8"/>
      <c r="H16" s="9">
        <f t="shared" si="1"/>
        <v>9874545.4545454569</v>
      </c>
      <c r="I16" s="12">
        <f t="shared" si="6"/>
        <v>3897589.4759999993</v>
      </c>
      <c r="J16" s="9">
        <f t="shared" si="2"/>
        <v>2834018.6426666658</v>
      </c>
      <c r="K16" s="2">
        <f>K14*K15</f>
        <v>1925686.4999999998</v>
      </c>
      <c r="L16" t="s">
        <v>22</v>
      </c>
      <c r="M16">
        <f>K16*1.1</f>
        <v>2118255.15</v>
      </c>
    </row>
    <row r="17" spans="1:13" x14ac:dyDescent="0.25">
      <c r="A17" s="2" t="s">
        <v>11</v>
      </c>
      <c r="B17" s="3">
        <v>13</v>
      </c>
      <c r="C17" s="4">
        <f t="shared" si="5"/>
        <v>822878.78787878808</v>
      </c>
      <c r="D17" s="5">
        <f t="shared" si="3"/>
        <v>222177.27272727276</v>
      </c>
      <c r="E17" s="6">
        <f t="shared" si="4"/>
        <v>9051666.6666666679</v>
      </c>
      <c r="F17" s="7">
        <f t="shared" si="0"/>
        <v>1045056.0606060608</v>
      </c>
      <c r="G17" s="8"/>
      <c r="H17" s="9">
        <f t="shared" si="1"/>
        <v>9051666.6666666679</v>
      </c>
      <c r="I17" s="12">
        <f t="shared" si="6"/>
        <v>3897589.4759999993</v>
      </c>
      <c r="J17" s="9">
        <f t="shared" si="2"/>
        <v>2852533.4153939383</v>
      </c>
      <c r="K17" s="2">
        <f>K16*0.2</f>
        <v>385137.3</v>
      </c>
      <c r="L17" t="s">
        <v>23</v>
      </c>
      <c r="M17">
        <f>M16*0.2</f>
        <v>423651.03</v>
      </c>
    </row>
    <row r="18" spans="1:13" x14ac:dyDescent="0.25">
      <c r="A18" s="2" t="s">
        <v>12</v>
      </c>
      <c r="B18" s="3">
        <v>14</v>
      </c>
      <c r="C18" s="4">
        <f t="shared" si="5"/>
        <v>822878.78787878796</v>
      </c>
      <c r="D18" s="5">
        <f t="shared" si="3"/>
        <v>203662.50000000003</v>
      </c>
      <c r="E18" s="6">
        <f t="shared" si="4"/>
        <v>8228787.8787878798</v>
      </c>
      <c r="F18" s="7">
        <f t="shared" si="0"/>
        <v>1026541.287878788</v>
      </c>
      <c r="G18" s="8"/>
      <c r="H18" s="9">
        <f t="shared" si="1"/>
        <v>8228787.8787878798</v>
      </c>
      <c r="I18" s="12">
        <f t="shared" si="6"/>
        <v>3897589.4759999993</v>
      </c>
      <c r="J18" s="9">
        <f t="shared" si="2"/>
        <v>2871048.1881212112</v>
      </c>
      <c r="K18" s="2">
        <f>K16*0.7</f>
        <v>1347980.5499999998</v>
      </c>
      <c r="L18" t="s">
        <v>24</v>
      </c>
      <c r="M18">
        <f>M16*0.7</f>
        <v>1482778.6049999997</v>
      </c>
    </row>
    <row r="19" spans="1:13" x14ac:dyDescent="0.25">
      <c r="A19" s="2" t="s">
        <v>13</v>
      </c>
      <c r="B19" s="3">
        <v>15</v>
      </c>
      <c r="C19" s="4">
        <f t="shared" si="5"/>
        <v>822878.78787878796</v>
      </c>
      <c r="D19" s="5">
        <f t="shared" si="3"/>
        <v>185147.72727272729</v>
      </c>
      <c r="E19" s="6">
        <f t="shared" si="4"/>
        <v>7405909.0909090918</v>
      </c>
      <c r="F19" s="7">
        <f t="shared" si="0"/>
        <v>1008026.5151515153</v>
      </c>
      <c r="G19" s="8"/>
      <c r="H19" s="9">
        <f t="shared" si="1"/>
        <v>7405909.0909090918</v>
      </c>
      <c r="I19" s="12">
        <f t="shared" si="6"/>
        <v>3897589.4759999993</v>
      </c>
      <c r="J19" s="9">
        <f t="shared" si="2"/>
        <v>2889562.9608484842</v>
      </c>
      <c r="K19" s="2">
        <f>K16*0.4</f>
        <v>770274.6</v>
      </c>
      <c r="L19" t="s">
        <v>25</v>
      </c>
      <c r="M19">
        <f>M16*0.4</f>
        <v>847302.06</v>
      </c>
    </row>
    <row r="20" spans="1:13" x14ac:dyDescent="0.25">
      <c r="A20" s="2" t="s">
        <v>14</v>
      </c>
      <c r="B20" s="3">
        <v>16</v>
      </c>
      <c r="C20" s="4">
        <f t="shared" si="5"/>
        <v>822878.78787878796</v>
      </c>
      <c r="D20" s="5">
        <f t="shared" si="3"/>
        <v>166632.95454545456</v>
      </c>
      <c r="E20" s="6">
        <f t="shared" si="4"/>
        <v>6583030.3030303037</v>
      </c>
      <c r="F20" s="7">
        <f t="shared" si="0"/>
        <v>989511.74242424255</v>
      </c>
      <c r="G20" s="8"/>
      <c r="H20" s="9">
        <f t="shared" si="1"/>
        <v>6583030.3030303037</v>
      </c>
      <c r="I20" s="12">
        <f t="shared" si="6"/>
        <v>3897589.4759999993</v>
      </c>
      <c r="J20" s="9">
        <f t="shared" si="2"/>
        <v>2908077.7335757567</v>
      </c>
      <c r="K20" s="2">
        <f>K16+K17+K18+K19</f>
        <v>4429078.9499999993</v>
      </c>
      <c r="M20">
        <f>M16+M17+M18+M19</f>
        <v>4871986.8449999988</v>
      </c>
    </row>
    <row r="21" spans="1:13" x14ac:dyDescent="0.25">
      <c r="A21" s="2" t="s">
        <v>15</v>
      </c>
      <c r="B21" s="3">
        <v>17</v>
      </c>
      <c r="C21" s="4">
        <f t="shared" si="5"/>
        <v>822878.78787878796</v>
      </c>
      <c r="D21" s="5">
        <f t="shared" si="3"/>
        <v>148118.18181818182</v>
      </c>
      <c r="E21" s="6">
        <f t="shared" si="4"/>
        <v>5760151.5151515156</v>
      </c>
      <c r="F21" s="7">
        <f t="shared" si="0"/>
        <v>970996.96969696973</v>
      </c>
      <c r="G21" s="8"/>
      <c r="H21" s="9">
        <f t="shared" si="1"/>
        <v>5760151.5151515156</v>
      </c>
      <c r="I21" s="12">
        <f t="shared" si="6"/>
        <v>3897589.4759999993</v>
      </c>
      <c r="J21" s="9">
        <f t="shared" si="2"/>
        <v>2926592.5063030296</v>
      </c>
      <c r="K21" s="2">
        <f>K20-K20*0.12</f>
        <v>3897589.4759999993</v>
      </c>
      <c r="L21" t="s">
        <v>26</v>
      </c>
      <c r="M21">
        <f>M20-M20*0.13</f>
        <v>4238628.5551499985</v>
      </c>
    </row>
    <row r="22" spans="1:13" x14ac:dyDescent="0.25">
      <c r="A22" s="2" t="s">
        <v>16</v>
      </c>
      <c r="B22" s="3">
        <v>18</v>
      </c>
      <c r="C22" s="4">
        <f t="shared" si="5"/>
        <v>822878.78787878796</v>
      </c>
      <c r="D22" s="5">
        <f t="shared" si="3"/>
        <v>129603.40909090912</v>
      </c>
      <c r="E22" s="6">
        <f t="shared" si="4"/>
        <v>4937272.7272727275</v>
      </c>
      <c r="F22" s="7">
        <f t="shared" si="0"/>
        <v>952482.19696969702</v>
      </c>
      <c r="G22" s="8"/>
      <c r="H22" s="9">
        <f t="shared" si="1"/>
        <v>4937272.7272727275</v>
      </c>
      <c r="I22" s="12">
        <f t="shared" si="6"/>
        <v>3897589.4759999993</v>
      </c>
      <c r="J22" s="9">
        <f t="shared" si="2"/>
        <v>2945107.2790303025</v>
      </c>
    </row>
    <row r="23" spans="1:13" x14ac:dyDescent="0.25">
      <c r="A23" s="2" t="s">
        <v>17</v>
      </c>
      <c r="B23" s="3">
        <v>19</v>
      </c>
      <c r="C23" s="4">
        <f t="shared" si="5"/>
        <v>822878.78787878796</v>
      </c>
      <c r="D23" s="5">
        <f t="shared" si="3"/>
        <v>111088.63636363637</v>
      </c>
      <c r="E23" s="6">
        <f t="shared" si="4"/>
        <v>4114393.9393939395</v>
      </c>
      <c r="F23" s="7">
        <f t="shared" si="0"/>
        <v>933967.42424242431</v>
      </c>
      <c r="G23" s="8"/>
      <c r="H23" s="9">
        <f t="shared" si="1"/>
        <v>4114393.9393939395</v>
      </c>
      <c r="I23" s="12">
        <f t="shared" si="6"/>
        <v>3897589.4759999993</v>
      </c>
      <c r="J23" s="9">
        <f t="shared" si="2"/>
        <v>2963622.051757575</v>
      </c>
    </row>
    <row r="24" spans="1:13" x14ac:dyDescent="0.25">
      <c r="A24" s="2" t="s">
        <v>18</v>
      </c>
      <c r="B24" s="3">
        <v>20</v>
      </c>
      <c r="C24" s="4">
        <f t="shared" si="5"/>
        <v>822878.78787878784</v>
      </c>
      <c r="D24" s="5">
        <f t="shared" si="3"/>
        <v>92573.863636363632</v>
      </c>
      <c r="E24" s="6">
        <f t="shared" si="4"/>
        <v>3291515.1515151514</v>
      </c>
      <c r="F24" s="7">
        <f t="shared" si="0"/>
        <v>915452.65151515149</v>
      </c>
      <c r="G24" s="8"/>
      <c r="H24" s="9">
        <f t="shared" si="1"/>
        <v>3291515.1515151514</v>
      </c>
      <c r="I24" s="12">
        <f t="shared" si="6"/>
        <v>3897589.4759999993</v>
      </c>
      <c r="J24" s="9">
        <f t="shared" si="2"/>
        <v>2982136.824484848</v>
      </c>
    </row>
    <row r="25" spans="1:13" x14ac:dyDescent="0.25">
      <c r="A25" s="2" t="s">
        <v>19</v>
      </c>
      <c r="B25" s="3">
        <v>21</v>
      </c>
      <c r="C25" s="4">
        <f t="shared" si="5"/>
        <v>822878.78787878784</v>
      </c>
      <c r="D25" s="5">
        <f t="shared" si="3"/>
        <v>74059.090909090912</v>
      </c>
      <c r="E25" s="6">
        <f t="shared" si="4"/>
        <v>2468636.3636363633</v>
      </c>
      <c r="F25" s="7">
        <f t="shared" si="0"/>
        <v>896937.87878787878</v>
      </c>
      <c r="G25" s="8"/>
      <c r="H25" s="9">
        <f t="shared" si="1"/>
        <v>2468636.3636363633</v>
      </c>
      <c r="I25" s="12">
        <f t="shared" si="6"/>
        <v>3897589.4759999993</v>
      </c>
      <c r="J25" s="9">
        <f t="shared" si="2"/>
        <v>3000651.5972121204</v>
      </c>
    </row>
    <row r="26" spans="1:13" x14ac:dyDescent="0.25">
      <c r="A26" s="2" t="s">
        <v>20</v>
      </c>
      <c r="B26" s="3">
        <v>22</v>
      </c>
      <c r="C26" s="4">
        <f t="shared" si="5"/>
        <v>822878.78787878773</v>
      </c>
      <c r="D26" s="5">
        <f t="shared" si="3"/>
        <v>55544.318181818177</v>
      </c>
      <c r="E26" s="6">
        <f t="shared" si="4"/>
        <v>1645757.5757575757</v>
      </c>
      <c r="F26" s="7">
        <f t="shared" si="0"/>
        <v>878423.10606060596</v>
      </c>
      <c r="G26" s="8"/>
      <c r="H26" s="9">
        <f t="shared" si="1"/>
        <v>1645757.5757575757</v>
      </c>
      <c r="I26" s="12">
        <f t="shared" si="6"/>
        <v>3897589.4759999993</v>
      </c>
      <c r="J26" s="9">
        <f t="shared" si="2"/>
        <v>3019166.3699393934</v>
      </c>
    </row>
    <row r="27" spans="1:13" x14ac:dyDescent="0.25">
      <c r="A27" s="2" t="s">
        <v>9</v>
      </c>
      <c r="B27" s="3">
        <v>23</v>
      </c>
      <c r="C27" s="4">
        <f t="shared" si="5"/>
        <v>822878.78787878784</v>
      </c>
      <c r="D27" s="5">
        <f t="shared" si="3"/>
        <v>37029.545454545456</v>
      </c>
      <c r="E27" s="6">
        <f t="shared" si="4"/>
        <v>822878.78787878784</v>
      </c>
      <c r="F27" s="7">
        <f t="shared" si="0"/>
        <v>859908.33333333326</v>
      </c>
      <c r="G27" s="8"/>
      <c r="H27" s="9">
        <f t="shared" si="1"/>
        <v>822878.78787878784</v>
      </c>
      <c r="I27" s="12">
        <f t="shared" si="6"/>
        <v>3897589.4759999993</v>
      </c>
      <c r="J27" s="9">
        <f t="shared" si="2"/>
        <v>3037681.1426666658</v>
      </c>
    </row>
    <row r="28" spans="1:13" x14ac:dyDescent="0.25">
      <c r="A28" s="2" t="s">
        <v>10</v>
      </c>
      <c r="B28" s="3">
        <v>24</v>
      </c>
      <c r="C28" s="4">
        <f t="shared" si="5"/>
        <v>822878.78787878784</v>
      </c>
      <c r="D28" s="5">
        <f t="shared" si="3"/>
        <v>18514.772727272728</v>
      </c>
      <c r="E28" s="6">
        <f t="shared" si="4"/>
        <v>0</v>
      </c>
      <c r="F28" s="7">
        <f t="shared" si="0"/>
        <v>841393.56060606055</v>
      </c>
      <c r="G28" s="8"/>
      <c r="H28" s="9">
        <f t="shared" si="1"/>
        <v>0</v>
      </c>
      <c r="I28" s="12">
        <f t="shared" si="6"/>
        <v>3897589.4759999993</v>
      </c>
      <c r="J28" s="9">
        <f t="shared" si="2"/>
        <v>3056195.9153939388</v>
      </c>
    </row>
    <row r="29" spans="1:13" x14ac:dyDescent="0.25">
      <c r="A29" s="2" t="s">
        <v>11</v>
      </c>
      <c r="B29" s="3">
        <v>25</v>
      </c>
      <c r="C29" s="4">
        <f t="shared" ref="C29:C40" si="7">IF($C$3-B28&gt;0,H28/($C$3-B28),0)</f>
        <v>0</v>
      </c>
      <c r="D29" s="5">
        <f t="shared" ref="D29:D40" si="8">H28*$D$3/12/100</f>
        <v>0</v>
      </c>
      <c r="E29" s="6">
        <f t="shared" ref="E29:E40" si="9">H28-C29</f>
        <v>0</v>
      </c>
      <c r="F29" s="7">
        <f t="shared" ref="F29:F40" si="10">D29+C29</f>
        <v>0</v>
      </c>
      <c r="G29" s="8"/>
      <c r="H29" s="9">
        <f t="shared" ref="H29:H40" si="11">E29-G29</f>
        <v>0</v>
      </c>
      <c r="I29" s="12">
        <f t="shared" si="6"/>
        <v>3897589.4759999993</v>
      </c>
      <c r="J29" s="9">
        <f t="shared" si="2"/>
        <v>3897589.4759999993</v>
      </c>
    </row>
    <row r="30" spans="1:13" x14ac:dyDescent="0.25">
      <c r="A30" s="2" t="s">
        <v>12</v>
      </c>
      <c r="B30" s="3">
        <v>26</v>
      </c>
      <c r="C30" s="4">
        <f t="shared" si="7"/>
        <v>0</v>
      </c>
      <c r="D30" s="5">
        <f t="shared" si="8"/>
        <v>0</v>
      </c>
      <c r="E30" s="6">
        <f t="shared" si="9"/>
        <v>0</v>
      </c>
      <c r="F30" s="7">
        <f t="shared" si="10"/>
        <v>0</v>
      </c>
      <c r="G30" s="8"/>
      <c r="H30" s="9">
        <f t="shared" si="11"/>
        <v>0</v>
      </c>
      <c r="I30" s="12">
        <f t="shared" si="6"/>
        <v>3897589.4759999993</v>
      </c>
      <c r="J30" s="9">
        <f t="shared" si="2"/>
        <v>3897589.4759999993</v>
      </c>
    </row>
    <row r="31" spans="1:13" x14ac:dyDescent="0.25">
      <c r="A31" s="2" t="s">
        <v>13</v>
      </c>
      <c r="B31" s="3">
        <v>27</v>
      </c>
      <c r="C31" s="4">
        <f t="shared" si="7"/>
        <v>0</v>
      </c>
      <c r="D31" s="5">
        <f t="shared" si="8"/>
        <v>0</v>
      </c>
      <c r="E31" s="6">
        <f t="shared" si="9"/>
        <v>0</v>
      </c>
      <c r="F31" s="7">
        <f t="shared" si="10"/>
        <v>0</v>
      </c>
      <c r="G31" s="8"/>
      <c r="H31" s="9">
        <f t="shared" si="11"/>
        <v>0</v>
      </c>
      <c r="I31" s="12">
        <f t="shared" si="6"/>
        <v>3897589.4759999993</v>
      </c>
      <c r="J31" s="9">
        <f t="shared" si="2"/>
        <v>3897589.4759999993</v>
      </c>
    </row>
    <row r="32" spans="1:13" x14ac:dyDescent="0.25">
      <c r="A32" s="2" t="s">
        <v>14</v>
      </c>
      <c r="B32" s="3">
        <v>28</v>
      </c>
      <c r="C32" s="4">
        <f t="shared" si="7"/>
        <v>0</v>
      </c>
      <c r="D32" s="5">
        <f t="shared" si="8"/>
        <v>0</v>
      </c>
      <c r="E32" s="6">
        <f t="shared" si="9"/>
        <v>0</v>
      </c>
      <c r="F32" s="7">
        <f t="shared" si="10"/>
        <v>0</v>
      </c>
      <c r="G32" s="8"/>
      <c r="H32" s="9">
        <f t="shared" si="11"/>
        <v>0</v>
      </c>
      <c r="I32" s="12">
        <f t="shared" si="6"/>
        <v>3897589.4759999993</v>
      </c>
      <c r="J32" s="9">
        <f t="shared" si="2"/>
        <v>3897589.4759999993</v>
      </c>
    </row>
    <row r="33" spans="1:10" x14ac:dyDescent="0.25">
      <c r="A33" s="2" t="s">
        <v>15</v>
      </c>
      <c r="B33" s="3">
        <v>29</v>
      </c>
      <c r="C33" s="4">
        <f t="shared" si="7"/>
        <v>0</v>
      </c>
      <c r="D33" s="5">
        <f t="shared" si="8"/>
        <v>0</v>
      </c>
      <c r="E33" s="6">
        <f t="shared" si="9"/>
        <v>0</v>
      </c>
      <c r="F33" s="7">
        <f t="shared" si="10"/>
        <v>0</v>
      </c>
      <c r="G33" s="8"/>
      <c r="H33" s="9">
        <f t="shared" si="11"/>
        <v>0</v>
      </c>
      <c r="I33" s="12">
        <f t="shared" si="6"/>
        <v>3897589.4759999993</v>
      </c>
      <c r="J33" s="9">
        <f t="shared" si="2"/>
        <v>3897589.4759999993</v>
      </c>
    </row>
    <row r="34" spans="1:10" x14ac:dyDescent="0.25">
      <c r="A34" s="2" t="s">
        <v>16</v>
      </c>
      <c r="B34" s="3">
        <v>30</v>
      </c>
      <c r="C34" s="4">
        <f t="shared" si="7"/>
        <v>0</v>
      </c>
      <c r="D34" s="5">
        <f t="shared" si="8"/>
        <v>0</v>
      </c>
      <c r="E34" s="6">
        <f t="shared" si="9"/>
        <v>0</v>
      </c>
      <c r="F34" s="7">
        <f t="shared" si="10"/>
        <v>0</v>
      </c>
      <c r="G34" s="8"/>
      <c r="H34" s="9">
        <f t="shared" si="11"/>
        <v>0</v>
      </c>
      <c r="I34" s="12">
        <f t="shared" si="6"/>
        <v>3897589.4759999993</v>
      </c>
      <c r="J34" s="9">
        <f t="shared" si="2"/>
        <v>3897589.4759999993</v>
      </c>
    </row>
    <row r="35" spans="1:10" x14ac:dyDescent="0.25">
      <c r="A35" s="2" t="s">
        <v>17</v>
      </c>
      <c r="B35" s="3">
        <v>31</v>
      </c>
      <c r="C35" s="4">
        <f t="shared" si="7"/>
        <v>0</v>
      </c>
      <c r="D35" s="5">
        <f t="shared" si="8"/>
        <v>0</v>
      </c>
      <c r="E35" s="6">
        <f t="shared" si="9"/>
        <v>0</v>
      </c>
      <c r="F35" s="7">
        <f t="shared" si="10"/>
        <v>0</v>
      </c>
      <c r="G35" s="8"/>
      <c r="H35" s="9">
        <f t="shared" si="11"/>
        <v>0</v>
      </c>
      <c r="I35" s="12">
        <f t="shared" si="6"/>
        <v>3897589.4759999993</v>
      </c>
      <c r="J35" s="9">
        <f t="shared" si="2"/>
        <v>3897589.4759999993</v>
      </c>
    </row>
    <row r="36" spans="1:10" x14ac:dyDescent="0.25">
      <c r="A36" s="2" t="s">
        <v>18</v>
      </c>
      <c r="B36" s="3">
        <v>32</v>
      </c>
      <c r="C36" s="4">
        <f t="shared" si="7"/>
        <v>0</v>
      </c>
      <c r="D36" s="5">
        <f t="shared" si="8"/>
        <v>0</v>
      </c>
      <c r="E36" s="6">
        <f t="shared" si="9"/>
        <v>0</v>
      </c>
      <c r="F36" s="7">
        <f t="shared" si="10"/>
        <v>0</v>
      </c>
      <c r="G36" s="8"/>
      <c r="H36" s="9">
        <f t="shared" si="11"/>
        <v>0</v>
      </c>
      <c r="I36" s="12">
        <f t="shared" si="6"/>
        <v>3897589.4759999993</v>
      </c>
      <c r="J36" s="9">
        <f t="shared" si="2"/>
        <v>3897589.4759999993</v>
      </c>
    </row>
    <row r="37" spans="1:10" x14ac:dyDescent="0.25">
      <c r="A37" s="2" t="s">
        <v>19</v>
      </c>
      <c r="B37" s="3">
        <v>33</v>
      </c>
      <c r="C37" s="4">
        <f t="shared" si="7"/>
        <v>0</v>
      </c>
      <c r="D37" s="5">
        <f t="shared" si="8"/>
        <v>0</v>
      </c>
      <c r="E37" s="6">
        <f t="shared" si="9"/>
        <v>0</v>
      </c>
      <c r="F37" s="7">
        <f t="shared" si="10"/>
        <v>0</v>
      </c>
      <c r="G37" s="8"/>
      <c r="H37" s="9">
        <f t="shared" si="11"/>
        <v>0</v>
      </c>
      <c r="I37" s="12">
        <f t="shared" si="6"/>
        <v>3897589.4759999993</v>
      </c>
      <c r="J37" s="9">
        <f t="shared" si="2"/>
        <v>3897589.4759999993</v>
      </c>
    </row>
    <row r="38" spans="1:10" x14ac:dyDescent="0.25">
      <c r="A38" s="2" t="s">
        <v>20</v>
      </c>
      <c r="B38" s="3">
        <v>34</v>
      </c>
      <c r="C38" s="4">
        <f t="shared" si="7"/>
        <v>0</v>
      </c>
      <c r="D38" s="5">
        <f t="shared" si="8"/>
        <v>0</v>
      </c>
      <c r="E38" s="6">
        <f t="shared" si="9"/>
        <v>0</v>
      </c>
      <c r="F38" s="7">
        <f t="shared" si="10"/>
        <v>0</v>
      </c>
      <c r="G38" s="8"/>
      <c r="H38" s="9">
        <f t="shared" si="11"/>
        <v>0</v>
      </c>
      <c r="I38" s="12">
        <f t="shared" si="6"/>
        <v>3897589.4759999993</v>
      </c>
      <c r="J38" s="9">
        <f t="shared" si="2"/>
        <v>3897589.4759999993</v>
      </c>
    </row>
    <row r="39" spans="1:10" x14ac:dyDescent="0.25">
      <c r="A39" s="2" t="s">
        <v>19</v>
      </c>
      <c r="B39" s="3">
        <v>35</v>
      </c>
      <c r="C39" s="4">
        <f t="shared" si="7"/>
        <v>0</v>
      </c>
      <c r="D39" s="5">
        <f t="shared" si="8"/>
        <v>0</v>
      </c>
      <c r="E39" s="6">
        <f t="shared" si="9"/>
        <v>0</v>
      </c>
      <c r="F39" s="7">
        <f t="shared" si="10"/>
        <v>0</v>
      </c>
      <c r="G39" s="8"/>
      <c r="H39" s="9">
        <f t="shared" si="11"/>
        <v>0</v>
      </c>
      <c r="I39" s="12">
        <f t="shared" si="6"/>
        <v>3897589.4759999993</v>
      </c>
      <c r="J39" s="9">
        <f t="shared" si="2"/>
        <v>3897589.4759999993</v>
      </c>
    </row>
    <row r="40" spans="1:10" x14ac:dyDescent="0.25">
      <c r="A40" s="2" t="s">
        <v>20</v>
      </c>
      <c r="B40" s="3">
        <v>36</v>
      </c>
      <c r="C40" s="4">
        <f t="shared" si="7"/>
        <v>0</v>
      </c>
      <c r="D40" s="5">
        <f t="shared" si="8"/>
        <v>0</v>
      </c>
      <c r="E40" s="6">
        <f t="shared" si="9"/>
        <v>0</v>
      </c>
      <c r="F40" s="7">
        <f t="shared" si="10"/>
        <v>0</v>
      </c>
      <c r="G40" s="8"/>
      <c r="H40" s="9">
        <f t="shared" si="11"/>
        <v>0</v>
      </c>
      <c r="I40" s="12">
        <f t="shared" si="6"/>
        <v>3897589.4759999993</v>
      </c>
      <c r="J40" s="9">
        <f t="shared" si="2"/>
        <v>3897589.4759999993</v>
      </c>
    </row>
    <row r="41" spans="1:10" x14ac:dyDescent="0.25">
      <c r="B41" s="3"/>
      <c r="C41" s="4">
        <f t="shared" ref="C41:H41" si="12">SUM(C5:C40)</f>
        <v>19770000</v>
      </c>
      <c r="D41" s="5">
        <f t="shared" si="12"/>
        <v>5565487.5</v>
      </c>
      <c r="E41" s="6">
        <f t="shared" si="12"/>
        <v>227585000.00000003</v>
      </c>
      <c r="F41" s="7">
        <f t="shared" si="12"/>
        <v>25335487.5</v>
      </c>
      <c r="G41" s="8">
        <f t="shared" si="12"/>
        <v>230000</v>
      </c>
      <c r="H41" s="9">
        <f t="shared" si="12"/>
        <v>227355000.00000003</v>
      </c>
      <c r="I41" s="12"/>
      <c r="J41" s="9"/>
    </row>
    <row r="42" spans="1:10" x14ac:dyDescent="0.25">
      <c r="B42" s="3"/>
      <c r="C42" s="3" t="s">
        <v>2</v>
      </c>
      <c r="D42" s="3" t="s">
        <v>3</v>
      </c>
      <c r="E42" s="3" t="s">
        <v>4</v>
      </c>
      <c r="F42" s="3" t="s">
        <v>7</v>
      </c>
      <c r="G42" s="3" t="s">
        <v>5</v>
      </c>
      <c r="H42" s="3" t="s">
        <v>6</v>
      </c>
      <c r="I42" s="12"/>
      <c r="J42" s="9"/>
    </row>
    <row r="43" spans="1:10" x14ac:dyDescent="0.25">
      <c r="D43">
        <v>5625000</v>
      </c>
    </row>
    <row r="44" spans="1:10" x14ac:dyDescent="0.25">
      <c r="D44">
        <f>D43-D41</f>
        <v>59512.5</v>
      </c>
    </row>
    <row r="47" spans="1:10" x14ac:dyDescent="0.25">
      <c r="C47">
        <v>1674510</v>
      </c>
      <c r="D47">
        <v>10</v>
      </c>
      <c r="E47" s="1">
        <f>C47*D47/100</f>
        <v>167451</v>
      </c>
      <c r="F47" s="1">
        <f>E47+C47</f>
        <v>1841961</v>
      </c>
      <c r="G47" s="1">
        <f>F47*1.7</f>
        <v>3131333.6999999997</v>
      </c>
    </row>
  </sheetData>
  <mergeCells count="7">
    <mergeCell ref="K8:M9"/>
    <mergeCell ref="K10:M11"/>
    <mergeCell ref="C1:H1"/>
    <mergeCell ref="K1:M1"/>
    <mergeCell ref="K2:M3"/>
    <mergeCell ref="K4:M5"/>
    <mergeCell ref="K6:M7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A96D-8A7F-4799-B89C-19325399874B}">
  <dimension ref="A1:S28"/>
  <sheetViews>
    <sheetView topLeftCell="A7" workbookViewId="0">
      <selection activeCell="L21" sqref="L18:L21"/>
    </sheetView>
  </sheetViews>
  <sheetFormatPr defaultRowHeight="15" x14ac:dyDescent="0.25"/>
  <cols>
    <col min="1" max="1" width="14.140625" style="35" customWidth="1"/>
    <col min="2" max="6" width="10.28515625" style="35" customWidth="1"/>
    <col min="7" max="7" width="10.28515625" style="44" customWidth="1"/>
    <col min="8" max="10" width="10.28515625" style="35" customWidth="1"/>
    <col min="11" max="17" width="10.5703125" style="35" customWidth="1"/>
    <col min="18" max="16384" width="9.140625" style="35"/>
  </cols>
  <sheetData>
    <row r="1" spans="1:17" x14ac:dyDescent="0.25">
      <c r="B1" s="45" t="s">
        <v>66</v>
      </c>
      <c r="C1" s="45" t="s">
        <v>68</v>
      </c>
      <c r="D1" s="45" t="s">
        <v>76</v>
      </c>
      <c r="E1" s="45" t="s">
        <v>77</v>
      </c>
      <c r="F1" s="45" t="s">
        <v>78</v>
      </c>
      <c r="G1" s="46" t="s">
        <v>79</v>
      </c>
      <c r="H1" s="52" t="s">
        <v>80</v>
      </c>
      <c r="I1" s="52" t="s">
        <v>81</v>
      </c>
      <c r="J1" s="52" t="s">
        <v>82</v>
      </c>
      <c r="K1" s="52" t="s">
        <v>86</v>
      </c>
      <c r="L1" s="52" t="s">
        <v>87</v>
      </c>
      <c r="M1" s="52" t="s">
        <v>88</v>
      </c>
      <c r="N1" s="52" t="s">
        <v>66</v>
      </c>
      <c r="O1" s="52" t="s">
        <v>68</v>
      </c>
      <c r="P1" s="52" t="s">
        <v>76</v>
      </c>
      <c r="Q1" s="52" t="s">
        <v>77</v>
      </c>
    </row>
    <row r="2" spans="1:17" x14ac:dyDescent="0.25">
      <c r="B2" s="47">
        <v>4000000</v>
      </c>
      <c r="C2" s="47">
        <v>4000000</v>
      </c>
      <c r="D2" s="47">
        <v>4000000</v>
      </c>
      <c r="E2" s="47">
        <v>5900000</v>
      </c>
      <c r="F2" s="47">
        <v>6145000</v>
      </c>
      <c r="G2" s="48">
        <v>6079000</v>
      </c>
      <c r="H2" s="51">
        <v>6079000</v>
      </c>
      <c r="I2" s="51">
        <v>6079000</v>
      </c>
      <c r="J2" s="51">
        <v>6079000</v>
      </c>
      <c r="K2" s="51">
        <v>6079000</v>
      </c>
      <c r="L2" s="51">
        <v>6079000</v>
      </c>
      <c r="M2" s="51">
        <v>6079000</v>
      </c>
      <c r="N2" s="51">
        <v>6079000</v>
      </c>
      <c r="O2" s="51">
        <v>6079000</v>
      </c>
      <c r="P2" s="51">
        <v>6079000</v>
      </c>
      <c r="Q2" s="51">
        <v>6079000</v>
      </c>
    </row>
    <row r="3" spans="1:17" x14ac:dyDescent="0.25">
      <c r="B3" s="47"/>
      <c r="C3" s="47">
        <v>517000</v>
      </c>
      <c r="D3" s="47">
        <v>517000</v>
      </c>
      <c r="E3" s="47">
        <v>517000</v>
      </c>
      <c r="F3" s="47">
        <v>517000</v>
      </c>
      <c r="G3" s="48">
        <v>517000</v>
      </c>
      <c r="H3" s="51">
        <v>517000</v>
      </c>
      <c r="I3" s="51">
        <v>517000</v>
      </c>
      <c r="J3" s="51"/>
      <c r="K3" s="51"/>
      <c r="L3" s="51"/>
      <c r="M3" s="51"/>
      <c r="N3" s="51"/>
      <c r="O3" s="51"/>
      <c r="P3" s="51"/>
      <c r="Q3" s="51"/>
    </row>
    <row r="4" spans="1:17" x14ac:dyDescent="0.25">
      <c r="A4" s="35" t="s">
        <v>83</v>
      </c>
      <c r="B4" s="47"/>
      <c r="C4" s="47"/>
      <c r="D4" s="47">
        <v>3000000</v>
      </c>
      <c r="E4" s="47"/>
      <c r="F4" s="47"/>
      <c r="G4" s="48"/>
      <c r="H4" s="51"/>
      <c r="I4" s="51"/>
      <c r="J4" s="51"/>
      <c r="K4" s="51"/>
      <c r="L4" s="51"/>
      <c r="M4" s="51"/>
      <c r="N4" s="51"/>
      <c r="O4" s="51"/>
      <c r="P4" s="51"/>
      <c r="Q4" s="51"/>
    </row>
    <row r="5" spans="1:17" x14ac:dyDescent="0.25">
      <c r="B5" s="47"/>
      <c r="C5" s="47"/>
      <c r="D5" s="47"/>
      <c r="E5" s="47"/>
      <c r="F5" s="47"/>
      <c r="G5" s="48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7" x14ac:dyDescent="0.25">
      <c r="A6" s="35" t="s">
        <v>64</v>
      </c>
      <c r="B6" s="47">
        <f>SUM(B2:B5)</f>
        <v>4000000</v>
      </c>
      <c r="C6" s="47">
        <f t="shared" ref="C6:Q6" si="0">SUM(C2:C5)</f>
        <v>4517000</v>
      </c>
      <c r="D6" s="47">
        <f t="shared" si="0"/>
        <v>7517000</v>
      </c>
      <c r="E6" s="47">
        <f t="shared" si="0"/>
        <v>6417000</v>
      </c>
      <c r="F6" s="47">
        <f t="shared" si="0"/>
        <v>6662000</v>
      </c>
      <c r="G6" s="48">
        <f>SUM(G2:G5)</f>
        <v>6596000</v>
      </c>
      <c r="H6" s="51">
        <f t="shared" si="0"/>
        <v>6596000</v>
      </c>
      <c r="I6" s="51">
        <f t="shared" si="0"/>
        <v>6596000</v>
      </c>
      <c r="J6" s="51">
        <f t="shared" si="0"/>
        <v>6079000</v>
      </c>
      <c r="K6" s="51">
        <f t="shared" si="0"/>
        <v>6079000</v>
      </c>
      <c r="L6" s="51">
        <f t="shared" si="0"/>
        <v>6079000</v>
      </c>
      <c r="M6" s="51">
        <f t="shared" si="0"/>
        <v>6079000</v>
      </c>
      <c r="N6" s="51">
        <f t="shared" si="0"/>
        <v>6079000</v>
      </c>
      <c r="O6" s="51">
        <f t="shared" si="0"/>
        <v>6079000</v>
      </c>
      <c r="P6" s="51">
        <f t="shared" si="0"/>
        <v>6079000</v>
      </c>
      <c r="Q6" s="51">
        <f t="shared" si="0"/>
        <v>6079000</v>
      </c>
    </row>
    <row r="7" spans="1:17" x14ac:dyDescent="0.25">
      <c r="B7" s="47"/>
      <c r="C7" s="47"/>
      <c r="D7" s="47"/>
      <c r="E7" s="47"/>
      <c r="F7" s="47"/>
      <c r="G7" s="48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1:17" x14ac:dyDescent="0.25">
      <c r="A8" s="35" t="s">
        <v>65</v>
      </c>
      <c r="B8" s="47">
        <v>500000</v>
      </c>
      <c r="C8" s="47">
        <v>2425000</v>
      </c>
      <c r="D8" s="47">
        <v>2425000</v>
      </c>
      <c r="E8" s="47">
        <v>2425000</v>
      </c>
      <c r="F8" s="47">
        <v>2425000</v>
      </c>
      <c r="G8" s="48">
        <v>2425000</v>
      </c>
      <c r="H8" s="51">
        <v>2425000</v>
      </c>
      <c r="I8" s="51">
        <v>2425000</v>
      </c>
      <c r="J8" s="51">
        <v>2425000</v>
      </c>
      <c r="K8" s="51">
        <v>2425000</v>
      </c>
      <c r="L8" s="51">
        <v>2425000</v>
      </c>
      <c r="M8" s="51">
        <v>2425000</v>
      </c>
      <c r="N8" s="51">
        <v>2425000</v>
      </c>
      <c r="O8" s="51">
        <v>2425000</v>
      </c>
      <c r="P8" s="51">
        <v>2425000</v>
      </c>
      <c r="Q8" s="51">
        <v>2425000</v>
      </c>
    </row>
    <row r="9" spans="1:17" x14ac:dyDescent="0.25">
      <c r="A9" s="35" t="s">
        <v>67</v>
      </c>
      <c r="B9" s="47">
        <v>1000000</v>
      </c>
      <c r="C9" s="47"/>
      <c r="D9" s="47" t="s">
        <v>84</v>
      </c>
      <c r="E9" s="47"/>
      <c r="F9" s="47"/>
      <c r="G9" s="48"/>
      <c r="H9" s="51"/>
      <c r="I9" s="51"/>
      <c r="J9" s="51"/>
      <c r="K9" s="51"/>
      <c r="L9" s="51"/>
      <c r="M9" s="51"/>
      <c r="N9" s="51"/>
      <c r="O9" s="51"/>
      <c r="P9" s="51"/>
      <c r="Q9" s="51"/>
    </row>
    <row r="10" spans="1:17" x14ac:dyDescent="0.25">
      <c r="A10" s="35" t="s">
        <v>69</v>
      </c>
      <c r="B10" s="47">
        <v>258000</v>
      </c>
      <c r="C10" s="47">
        <v>258000</v>
      </c>
      <c r="D10" s="47">
        <v>258000</v>
      </c>
      <c r="E10" s="47">
        <v>258000</v>
      </c>
      <c r="F10" s="47">
        <v>258000</v>
      </c>
      <c r="G10" s="48">
        <v>258000</v>
      </c>
      <c r="H10" s="51">
        <v>258000</v>
      </c>
      <c r="I10" s="51">
        <v>258000</v>
      </c>
      <c r="J10" s="51">
        <v>258000</v>
      </c>
      <c r="K10" s="51">
        <v>258000</v>
      </c>
      <c r="L10" s="51">
        <v>258000</v>
      </c>
      <c r="M10" s="51">
        <v>258000</v>
      </c>
      <c r="N10" s="51">
        <v>258000</v>
      </c>
      <c r="O10" s="51">
        <v>258000</v>
      </c>
      <c r="P10" s="51">
        <v>258000</v>
      </c>
      <c r="Q10" s="51">
        <v>258000</v>
      </c>
    </row>
    <row r="11" spans="1:17" x14ac:dyDescent="0.25">
      <c r="A11" s="35" t="s">
        <v>70</v>
      </c>
      <c r="B11" s="47">
        <v>3000000</v>
      </c>
      <c r="C11" s="47"/>
      <c r="D11" s="47"/>
      <c r="E11" s="47"/>
      <c r="F11" s="47"/>
      <c r="G11" s="48">
        <v>500000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spans="1:17" x14ac:dyDescent="0.25">
      <c r="A12" s="35" t="s">
        <v>71</v>
      </c>
      <c r="B12" s="47">
        <v>300000</v>
      </c>
      <c r="C12" s="47">
        <v>350000</v>
      </c>
      <c r="D12" s="47"/>
      <c r="E12" s="47"/>
      <c r="F12" s="47"/>
      <c r="G12" s="48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1:17" x14ac:dyDescent="0.25">
      <c r="A13" s="35" t="s">
        <v>72</v>
      </c>
      <c r="B13" s="47"/>
      <c r="C13" s="47">
        <v>1498000</v>
      </c>
      <c r="D13" s="47">
        <v>1498000</v>
      </c>
      <c r="E13" s="47">
        <v>1498000</v>
      </c>
      <c r="F13" s="47">
        <v>1218371.44</v>
      </c>
      <c r="G13" s="48">
        <v>1218371.44</v>
      </c>
      <c r="H13" s="51">
        <v>1218371.44</v>
      </c>
      <c r="I13" s="51">
        <v>1218371.44</v>
      </c>
      <c r="J13" s="51">
        <v>1218371.44</v>
      </c>
      <c r="K13" s="51">
        <v>1218371.44</v>
      </c>
      <c r="L13" s="51">
        <v>1218371.44</v>
      </c>
      <c r="M13" s="51">
        <v>1218371.44</v>
      </c>
      <c r="N13" s="51">
        <v>1218371.44</v>
      </c>
      <c r="O13" s="51">
        <v>1218371.44</v>
      </c>
      <c r="P13" s="51">
        <v>1218371.44</v>
      </c>
      <c r="Q13" s="51">
        <v>1218371.44</v>
      </c>
    </row>
    <row r="14" spans="1:17" x14ac:dyDescent="0.25">
      <c r="A14" s="35" t="s">
        <v>73</v>
      </c>
      <c r="B14" s="47">
        <v>100000</v>
      </c>
      <c r="C14" s="47">
        <v>874320</v>
      </c>
      <c r="D14" s="47">
        <v>886379</v>
      </c>
      <c r="E14" s="47">
        <v>842979</v>
      </c>
      <c r="F14" s="47">
        <v>860994</v>
      </c>
      <c r="G14" s="48">
        <v>838066.38</v>
      </c>
      <c r="H14" s="51">
        <v>834790.89</v>
      </c>
      <c r="I14" s="51">
        <v>814319.07</v>
      </c>
      <c r="J14" s="51">
        <v>809405.83</v>
      </c>
      <c r="K14" s="51">
        <v>796713.31</v>
      </c>
      <c r="L14" s="51">
        <v>777060.35</v>
      </c>
      <c r="M14" s="51">
        <v>771328.24</v>
      </c>
      <c r="N14" s="51">
        <v>752084.73</v>
      </c>
      <c r="O14" s="51">
        <v>746352</v>
      </c>
      <c r="P14" s="51">
        <v>733250.65</v>
      </c>
      <c r="Q14" s="51">
        <v>710731.64</v>
      </c>
    </row>
    <row r="15" spans="1:17" x14ac:dyDescent="0.25">
      <c r="A15" s="35" t="s">
        <v>74</v>
      </c>
      <c r="B15" s="47"/>
      <c r="C15" s="47">
        <v>1393469</v>
      </c>
      <c r="D15" s="47">
        <v>1377048</v>
      </c>
      <c r="E15" s="47">
        <v>1309560</v>
      </c>
      <c r="F15" s="47">
        <v>1337574</v>
      </c>
      <c r="G15" s="48">
        <v>1303194</v>
      </c>
      <c r="H15" s="51">
        <v>1298100</v>
      </c>
      <c r="I15" s="51">
        <v>1266267</v>
      </c>
      <c r="J15" s="51">
        <v>1258627</v>
      </c>
      <c r="K15" s="51">
        <v>1238890.1000000001</v>
      </c>
      <c r="L15" s="51">
        <v>1208329.74</v>
      </c>
      <c r="M15" s="51">
        <v>1199416.3</v>
      </c>
      <c r="N15" s="51">
        <v>1169492.6000000001</v>
      </c>
      <c r="O15" s="51">
        <v>1160579.1599999999</v>
      </c>
      <c r="P15" s="51">
        <v>1140205.58</v>
      </c>
      <c r="Q15" s="51">
        <v>1105188.5</v>
      </c>
    </row>
    <row r="16" spans="1:17" x14ac:dyDescent="0.25">
      <c r="A16" s="35" t="s">
        <v>75</v>
      </c>
      <c r="B16" s="47">
        <v>330000</v>
      </c>
      <c r="C16" s="47">
        <v>330000</v>
      </c>
      <c r="D16" s="47">
        <v>330000</v>
      </c>
      <c r="E16" s="47">
        <v>330000</v>
      </c>
      <c r="F16" s="47">
        <v>330000</v>
      </c>
      <c r="G16" s="48">
        <v>330000</v>
      </c>
      <c r="H16" s="51">
        <v>330000</v>
      </c>
      <c r="I16" s="51">
        <v>330000</v>
      </c>
      <c r="J16" s="51">
        <v>330000</v>
      </c>
      <c r="K16" s="51">
        <v>330000</v>
      </c>
      <c r="L16" s="51">
        <v>330000</v>
      </c>
      <c r="M16" s="51">
        <v>330000</v>
      </c>
      <c r="N16" s="51"/>
      <c r="O16" s="51"/>
      <c r="P16" s="51"/>
      <c r="Q16" s="51"/>
    </row>
    <row r="17" spans="1:19" x14ac:dyDescent="0.25">
      <c r="B17" s="47"/>
      <c r="C17" s="47"/>
      <c r="D17" s="47"/>
      <c r="E17" s="47">
        <v>33000</v>
      </c>
      <c r="F17" s="47">
        <v>33000</v>
      </c>
      <c r="G17" s="48">
        <v>33000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spans="1:19" x14ac:dyDescent="0.25">
      <c r="A18" s="35" t="s">
        <v>89</v>
      </c>
      <c r="B18" s="47"/>
      <c r="C18" s="47"/>
      <c r="D18" s="47"/>
      <c r="E18" s="47"/>
      <c r="F18" s="47">
        <v>420000</v>
      </c>
      <c r="G18" s="48">
        <v>420000</v>
      </c>
      <c r="H18" s="51">
        <v>420000</v>
      </c>
      <c r="I18" s="51">
        <v>420000</v>
      </c>
      <c r="J18" s="51">
        <v>420000</v>
      </c>
      <c r="K18" s="51">
        <v>420000</v>
      </c>
      <c r="L18" s="51">
        <v>420000</v>
      </c>
      <c r="M18" s="51">
        <v>420000</v>
      </c>
      <c r="N18" s="51">
        <v>420000</v>
      </c>
      <c r="O18" s="51">
        <v>420000</v>
      </c>
      <c r="P18" s="51">
        <v>420000</v>
      </c>
      <c r="Q18" s="51">
        <v>420000</v>
      </c>
    </row>
    <row r="19" spans="1:19" x14ac:dyDescent="0.25">
      <c r="A19" s="35" t="s">
        <v>101</v>
      </c>
      <c r="B19" s="47"/>
      <c r="C19" s="47"/>
      <c r="D19" s="47"/>
      <c r="E19" s="47"/>
      <c r="F19" s="47"/>
      <c r="G19" s="48">
        <v>679000</v>
      </c>
      <c r="H19" s="51">
        <v>679000</v>
      </c>
      <c r="I19" s="51">
        <v>679000</v>
      </c>
      <c r="J19" s="51">
        <v>679000</v>
      </c>
      <c r="K19" s="51">
        <v>679000</v>
      </c>
      <c r="L19" s="51">
        <v>679000</v>
      </c>
      <c r="M19" s="51">
        <v>679000</v>
      </c>
      <c r="N19" s="51">
        <v>679000</v>
      </c>
      <c r="O19" s="51">
        <v>679000</v>
      </c>
      <c r="P19" s="51">
        <v>679000</v>
      </c>
      <c r="Q19" s="51">
        <v>679000</v>
      </c>
    </row>
    <row r="20" spans="1:19" x14ac:dyDescent="0.25">
      <c r="A20" s="35" t="s">
        <v>99</v>
      </c>
      <c r="B20" s="47"/>
      <c r="C20" s="47"/>
      <c r="D20" s="47"/>
      <c r="E20" s="47"/>
      <c r="F20" s="47"/>
      <c r="G20" s="48">
        <v>171000</v>
      </c>
      <c r="H20" s="51">
        <v>371000</v>
      </c>
      <c r="I20" s="51">
        <v>371000</v>
      </c>
      <c r="J20" s="51">
        <v>371000</v>
      </c>
      <c r="K20" s="51">
        <v>371000</v>
      </c>
      <c r="L20" s="51">
        <v>371000</v>
      </c>
      <c r="M20" s="51">
        <v>371000</v>
      </c>
      <c r="N20" s="51">
        <v>371000</v>
      </c>
      <c r="O20" s="51">
        <v>371000</v>
      </c>
      <c r="P20" s="51">
        <v>371000</v>
      </c>
      <c r="Q20" s="51"/>
    </row>
    <row r="21" spans="1:19" x14ac:dyDescent="0.25">
      <c r="A21" s="35" t="s">
        <v>160</v>
      </c>
      <c r="B21" s="47"/>
      <c r="C21" s="47"/>
      <c r="D21" s="47"/>
      <c r="E21" s="47"/>
      <c r="F21" s="47"/>
      <c r="G21" s="48"/>
      <c r="H21" s="51">
        <v>360000</v>
      </c>
      <c r="I21" s="51">
        <v>360000</v>
      </c>
      <c r="J21" s="51">
        <v>360000</v>
      </c>
      <c r="K21" s="51">
        <v>360000</v>
      </c>
      <c r="L21" s="51">
        <v>360000</v>
      </c>
      <c r="M21" s="51">
        <v>360000</v>
      </c>
      <c r="N21" s="51">
        <v>360000</v>
      </c>
      <c r="O21" s="51">
        <v>360000</v>
      </c>
      <c r="P21" s="51">
        <v>360000</v>
      </c>
      <c r="Q21" s="51">
        <v>360000</v>
      </c>
      <c r="R21" s="51">
        <v>360000</v>
      </c>
      <c r="S21" s="51">
        <v>360000</v>
      </c>
    </row>
    <row r="22" spans="1:19" x14ac:dyDescent="0.25">
      <c r="B22" s="47"/>
      <c r="C22" s="47"/>
      <c r="D22" s="47"/>
      <c r="E22" s="47"/>
      <c r="F22" s="47"/>
      <c r="G22" s="48"/>
      <c r="H22" s="51"/>
      <c r="I22" s="51"/>
      <c r="J22" s="51"/>
      <c r="K22" s="51"/>
      <c r="L22" s="51"/>
      <c r="M22" s="51"/>
      <c r="N22" s="51"/>
      <c r="O22" s="51"/>
      <c r="P22" s="51"/>
      <c r="Q22" s="51"/>
    </row>
    <row r="23" spans="1:19" x14ac:dyDescent="0.25">
      <c r="B23" s="47"/>
      <c r="C23" s="47"/>
      <c r="D23" s="47"/>
      <c r="E23" s="47"/>
      <c r="F23" s="47"/>
      <c r="G23" s="48"/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spans="1:19" x14ac:dyDescent="0.25">
      <c r="B24" s="47">
        <f>SUM(B8:B16)</f>
        <v>5488000</v>
      </c>
      <c r="C24" s="47">
        <f>SUM(C8:C16)</f>
        <v>7128789</v>
      </c>
      <c r="D24" s="47">
        <f>SUM(D8:D16)</f>
        <v>6774427</v>
      </c>
      <c r="E24" s="47">
        <f>SUM(E8:E17)</f>
        <v>6696539</v>
      </c>
      <c r="F24" s="47">
        <f>SUM(F8:F18)</f>
        <v>6882939.4399999995</v>
      </c>
      <c r="G24" s="48">
        <f>SUM(G8:G20)</f>
        <v>8175631.8199999994</v>
      </c>
      <c r="H24" s="51">
        <f t="shared" ref="H24:Q24" si="1">SUM(H8:H19)</f>
        <v>7463262.3300000001</v>
      </c>
      <c r="I24" s="51">
        <f t="shared" si="1"/>
        <v>7410957.5099999998</v>
      </c>
      <c r="J24" s="51">
        <f t="shared" si="1"/>
        <v>7398404.2699999996</v>
      </c>
      <c r="K24" s="51">
        <f t="shared" si="1"/>
        <v>7365974.8499999996</v>
      </c>
      <c r="L24" s="51">
        <f t="shared" si="1"/>
        <v>7315761.5300000003</v>
      </c>
      <c r="M24" s="51">
        <f t="shared" si="1"/>
        <v>7301115.9799999995</v>
      </c>
      <c r="N24" s="51">
        <f t="shared" si="1"/>
        <v>6921948.7699999996</v>
      </c>
      <c r="O24" s="51">
        <f t="shared" si="1"/>
        <v>6907302.5999999996</v>
      </c>
      <c r="P24" s="51">
        <f t="shared" si="1"/>
        <v>6873827.6699999999</v>
      </c>
      <c r="Q24" s="51">
        <f t="shared" si="1"/>
        <v>6816291.5800000001</v>
      </c>
    </row>
    <row r="25" spans="1:19" x14ac:dyDescent="0.25">
      <c r="B25" s="47"/>
      <c r="C25" s="47"/>
      <c r="D25" s="47"/>
      <c r="E25" s="47"/>
      <c r="F25" s="47"/>
      <c r="G25" s="48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spans="1:19" x14ac:dyDescent="0.25">
      <c r="B26" s="47"/>
      <c r="C26" s="47"/>
      <c r="D26" s="47"/>
      <c r="E26" s="47"/>
      <c r="F26" s="47"/>
      <c r="G26" s="48"/>
      <c r="H26" s="47"/>
      <c r="I26" s="47"/>
      <c r="J26" s="47"/>
      <c r="K26" s="47"/>
      <c r="L26" s="47"/>
      <c r="M26" s="47"/>
      <c r="N26" s="47"/>
      <c r="O26" s="47"/>
      <c r="P26" s="47"/>
      <c r="Q26" s="47"/>
    </row>
    <row r="27" spans="1:19" x14ac:dyDescent="0.25">
      <c r="B27" s="47">
        <f t="shared" ref="B27:Q27" si="2">B6-B24</f>
        <v>-1488000</v>
      </c>
      <c r="C27" s="47">
        <f t="shared" si="2"/>
        <v>-2611789</v>
      </c>
      <c r="D27" s="47">
        <f t="shared" si="2"/>
        <v>742573</v>
      </c>
      <c r="E27" s="47">
        <f t="shared" si="2"/>
        <v>-279539</v>
      </c>
      <c r="F27" s="47">
        <f t="shared" si="2"/>
        <v>-220939.43999999948</v>
      </c>
      <c r="G27" s="48">
        <f t="shared" si="2"/>
        <v>-1579631.8199999994</v>
      </c>
      <c r="H27" s="47">
        <f t="shared" si="2"/>
        <v>-867262.33000000007</v>
      </c>
      <c r="I27" s="47">
        <f t="shared" si="2"/>
        <v>-814957.50999999978</v>
      </c>
      <c r="J27" s="47">
        <f t="shared" si="2"/>
        <v>-1319404.2699999996</v>
      </c>
      <c r="K27" s="47">
        <f t="shared" si="2"/>
        <v>-1286974.8499999996</v>
      </c>
      <c r="L27" s="47">
        <f t="shared" si="2"/>
        <v>-1236761.5300000003</v>
      </c>
      <c r="M27" s="47">
        <f t="shared" si="2"/>
        <v>-1222115.9799999995</v>
      </c>
      <c r="N27" s="47">
        <f t="shared" si="2"/>
        <v>-842948.76999999955</v>
      </c>
      <c r="O27" s="47">
        <f t="shared" si="2"/>
        <v>-828302.59999999963</v>
      </c>
      <c r="P27" s="47">
        <f t="shared" si="2"/>
        <v>-794827.66999999993</v>
      </c>
      <c r="Q27" s="47">
        <f t="shared" si="2"/>
        <v>-737291.58000000007</v>
      </c>
    </row>
    <row r="28" spans="1:19" x14ac:dyDescent="0.25">
      <c r="B28" s="49"/>
      <c r="C28" s="49"/>
      <c r="D28" s="49"/>
      <c r="E28" s="49"/>
      <c r="F28" s="49"/>
      <c r="G28" s="50"/>
      <c r="H28" s="49"/>
      <c r="I28" s="49"/>
      <c r="J28" s="49"/>
      <c r="K28" s="49"/>
      <c r="L28" s="49"/>
      <c r="M28" s="49"/>
      <c r="N28" s="49"/>
      <c r="O28" s="49"/>
      <c r="P28" s="49"/>
      <c r="Q28" s="49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C38C-6CC1-4E4B-844D-6C9E8E618E19}">
  <dimension ref="A1:N24"/>
  <sheetViews>
    <sheetView workbookViewId="0">
      <selection activeCell="F17" sqref="F17"/>
    </sheetView>
  </sheetViews>
  <sheetFormatPr defaultRowHeight="15" x14ac:dyDescent="0.25"/>
  <cols>
    <col min="1" max="1" width="10.7109375" style="53" customWidth="1"/>
    <col min="2" max="2" width="9.28515625" style="53" bestFit="1" customWidth="1"/>
    <col min="3" max="4" width="9.140625" style="53"/>
    <col min="5" max="5" width="13.28515625" style="53" customWidth="1"/>
    <col min="6" max="6" width="10.140625" style="53" bestFit="1" customWidth="1"/>
    <col min="7" max="16384" width="9.140625" style="53"/>
  </cols>
  <sheetData>
    <row r="1" spans="1:14" x14ac:dyDescent="0.25">
      <c r="A1" s="97" t="s">
        <v>106</v>
      </c>
      <c r="B1" s="97"/>
      <c r="C1" s="97"/>
      <c r="D1" s="97"/>
      <c r="E1" s="97" t="s">
        <v>107</v>
      </c>
      <c r="F1" s="97"/>
      <c r="G1" s="97"/>
      <c r="H1" s="97"/>
    </row>
    <row r="2" spans="1:14" x14ac:dyDescent="0.25">
      <c r="A2" s="55" t="s">
        <v>41</v>
      </c>
      <c r="B2" s="56">
        <v>5579000</v>
      </c>
      <c r="C2" s="56"/>
      <c r="D2" s="56"/>
      <c r="E2" s="56" t="s">
        <v>109</v>
      </c>
      <c r="F2" s="56">
        <v>2425000</v>
      </c>
      <c r="G2" s="56"/>
      <c r="H2" s="56"/>
      <c r="I2" s="54"/>
      <c r="J2" s="54"/>
      <c r="K2" s="54"/>
      <c r="L2" s="54"/>
      <c r="M2" s="54"/>
      <c r="N2" s="54"/>
    </row>
    <row r="3" spans="1:14" x14ac:dyDescent="0.25">
      <c r="A3" s="55" t="s">
        <v>108</v>
      </c>
      <c r="B3" s="56">
        <v>517000</v>
      </c>
      <c r="C3" s="56"/>
      <c r="D3" s="56"/>
      <c r="E3" s="56" t="s">
        <v>110</v>
      </c>
      <c r="F3" s="56">
        <v>1303194.22</v>
      </c>
      <c r="G3" s="56"/>
      <c r="H3" s="56"/>
      <c r="I3" s="54"/>
      <c r="J3" s="54"/>
      <c r="K3" s="54"/>
      <c r="L3" s="54"/>
      <c r="M3" s="54"/>
      <c r="N3" s="54"/>
    </row>
    <row r="4" spans="1:14" x14ac:dyDescent="0.25">
      <c r="A4" s="55"/>
      <c r="B4" s="56"/>
      <c r="C4" s="56"/>
      <c r="D4" s="56"/>
      <c r="E4" s="56" t="s">
        <v>116</v>
      </c>
      <c r="F4" s="56">
        <v>838066.38</v>
      </c>
      <c r="G4" s="56"/>
      <c r="H4" s="56"/>
      <c r="I4" s="54"/>
      <c r="J4" s="54"/>
      <c r="K4" s="54"/>
      <c r="L4" s="54"/>
      <c r="M4" s="54"/>
      <c r="N4" s="54"/>
    </row>
    <row r="5" spans="1:14" x14ac:dyDescent="0.25">
      <c r="A5" s="55"/>
      <c r="B5" s="56"/>
      <c r="C5" s="56"/>
      <c r="D5" s="56"/>
      <c r="E5" s="56" t="s">
        <v>111</v>
      </c>
      <c r="F5" s="56">
        <v>1218321.51</v>
      </c>
      <c r="G5" s="56"/>
      <c r="H5" s="56"/>
      <c r="I5" s="54"/>
      <c r="J5" s="54"/>
      <c r="K5" s="54"/>
      <c r="L5" s="54"/>
      <c r="M5" s="54"/>
      <c r="N5" s="54"/>
    </row>
    <row r="6" spans="1:14" x14ac:dyDescent="0.25">
      <c r="A6" s="55"/>
      <c r="B6" s="56"/>
      <c r="C6" s="56"/>
      <c r="D6" s="56"/>
      <c r="E6" s="56" t="s">
        <v>112</v>
      </c>
      <c r="F6" s="56">
        <f>33000+327916.67</f>
        <v>360916.67</v>
      </c>
      <c r="G6" s="56"/>
      <c r="H6" s="56"/>
      <c r="I6" s="54"/>
      <c r="J6" s="54"/>
      <c r="K6" s="54"/>
      <c r="L6" s="54"/>
      <c r="M6" s="54"/>
      <c r="N6" s="54"/>
    </row>
    <row r="7" spans="1:14" x14ac:dyDescent="0.25">
      <c r="A7" s="55"/>
      <c r="B7" s="56"/>
      <c r="C7" s="56"/>
      <c r="D7" s="56"/>
      <c r="E7" s="56" t="s">
        <v>113</v>
      </c>
      <c r="F7" s="56">
        <v>419750</v>
      </c>
      <c r="G7" s="56"/>
      <c r="H7" s="56"/>
      <c r="I7" s="54"/>
      <c r="J7" s="54"/>
      <c r="K7" s="54"/>
      <c r="L7" s="54"/>
      <c r="M7" s="54"/>
      <c r="N7" s="54"/>
    </row>
    <row r="8" spans="1:14" x14ac:dyDescent="0.25">
      <c r="A8" s="55"/>
      <c r="B8" s="56"/>
      <c r="C8" s="56"/>
      <c r="D8" s="56"/>
      <c r="E8" s="56" t="s">
        <v>93</v>
      </c>
      <c r="F8" s="56">
        <v>258000</v>
      </c>
      <c r="G8" s="56"/>
      <c r="H8" s="56"/>
      <c r="I8" s="54"/>
      <c r="J8" s="54"/>
      <c r="K8" s="54"/>
      <c r="L8" s="54"/>
      <c r="M8" s="54"/>
      <c r="N8" s="54"/>
    </row>
    <row r="9" spans="1:14" x14ac:dyDescent="0.25">
      <c r="A9" s="55"/>
      <c r="B9" s="56"/>
      <c r="C9" s="56"/>
      <c r="D9" s="56"/>
      <c r="E9" s="56" t="s">
        <v>114</v>
      </c>
      <c r="F9" s="56">
        <v>680000</v>
      </c>
      <c r="G9" s="56">
        <v>-517000</v>
      </c>
      <c r="H9" s="56"/>
      <c r="I9" s="54"/>
      <c r="J9" s="54"/>
      <c r="K9" s="54"/>
      <c r="L9" s="54"/>
      <c r="M9" s="54"/>
      <c r="N9" s="54"/>
    </row>
    <row r="10" spans="1:14" x14ac:dyDescent="0.25">
      <c r="A10" s="55"/>
      <c r="B10" s="56"/>
      <c r="C10" s="56"/>
      <c r="D10" s="56"/>
      <c r="E10" s="56" t="s">
        <v>99</v>
      </c>
      <c r="F10" s="56">
        <v>371408.83</v>
      </c>
      <c r="G10" s="56"/>
      <c r="H10" s="56"/>
      <c r="I10" s="54"/>
      <c r="J10" s="54"/>
      <c r="K10" s="54"/>
      <c r="L10" s="54"/>
      <c r="M10" s="54"/>
      <c r="N10" s="54"/>
    </row>
    <row r="11" spans="1:14" x14ac:dyDescent="0.25">
      <c r="A11" s="55"/>
      <c r="B11" s="56"/>
      <c r="C11" s="56"/>
      <c r="D11" s="56"/>
      <c r="E11" s="56"/>
      <c r="F11" s="56"/>
      <c r="G11" s="56"/>
      <c r="H11" s="57"/>
      <c r="I11" s="54"/>
      <c r="J11" s="54"/>
      <c r="K11" s="54"/>
      <c r="L11" s="54"/>
      <c r="M11" s="54"/>
      <c r="N11" s="54"/>
    </row>
    <row r="12" spans="1:14" x14ac:dyDescent="0.25">
      <c r="A12" s="55"/>
      <c r="B12" s="56"/>
      <c r="C12" s="56"/>
      <c r="D12" s="56"/>
      <c r="E12" s="56"/>
      <c r="F12" s="56"/>
      <c r="G12" s="56"/>
      <c r="H12" s="56"/>
      <c r="I12" s="54"/>
      <c r="J12" s="54"/>
      <c r="K12" s="54"/>
      <c r="L12" s="54"/>
      <c r="M12" s="54"/>
      <c r="N12" s="54"/>
    </row>
    <row r="13" spans="1:14" x14ac:dyDescent="0.25">
      <c r="A13" s="55"/>
      <c r="B13" s="56"/>
      <c r="C13" s="56"/>
      <c r="D13" s="56"/>
      <c r="E13" s="57" t="s">
        <v>33</v>
      </c>
      <c r="F13" s="57" t="s">
        <v>118</v>
      </c>
      <c r="G13" s="57"/>
      <c r="H13" s="56"/>
      <c r="I13" s="54"/>
      <c r="J13" s="54"/>
      <c r="K13" s="54"/>
      <c r="L13" s="54"/>
      <c r="M13" s="54"/>
      <c r="N13" s="54"/>
    </row>
    <row r="14" spans="1:14" x14ac:dyDescent="0.25">
      <c r="A14" s="55"/>
      <c r="B14" s="56"/>
      <c r="C14" s="56"/>
      <c r="D14" s="56"/>
      <c r="E14" s="57"/>
      <c r="F14" s="57"/>
      <c r="G14" s="57"/>
      <c r="H14" s="56"/>
      <c r="I14" s="54"/>
      <c r="J14" s="54"/>
      <c r="K14" s="54"/>
      <c r="L14" s="54"/>
      <c r="M14" s="54"/>
      <c r="N14" s="54"/>
    </row>
    <row r="15" spans="1:14" x14ac:dyDescent="0.25">
      <c r="A15" s="55"/>
      <c r="B15" s="56"/>
      <c r="C15" s="56"/>
      <c r="D15" s="56"/>
      <c r="E15" s="56" t="s">
        <v>102</v>
      </c>
      <c r="F15" s="56" t="s">
        <v>117</v>
      </c>
      <c r="G15" s="56"/>
      <c r="H15" s="56"/>
      <c r="I15" s="54"/>
      <c r="J15" s="54"/>
      <c r="K15" s="54"/>
      <c r="L15" s="54"/>
      <c r="M15" s="54"/>
      <c r="N15" s="54"/>
    </row>
    <row r="16" spans="1:14" x14ac:dyDescent="0.25">
      <c r="A16" s="55"/>
      <c r="B16" s="56"/>
      <c r="C16" s="56"/>
      <c r="D16" s="56"/>
      <c r="E16" s="56" t="s">
        <v>115</v>
      </c>
      <c r="F16" s="56" t="s">
        <v>119</v>
      </c>
      <c r="G16" s="56"/>
      <c r="H16" s="56"/>
      <c r="I16" s="54"/>
      <c r="J16" s="54"/>
      <c r="K16" s="54"/>
      <c r="L16" s="54"/>
      <c r="M16" s="54"/>
      <c r="N16" s="54"/>
    </row>
    <row r="17" spans="1:14" x14ac:dyDescent="0.25">
      <c r="A17" s="55"/>
      <c r="B17" s="56"/>
      <c r="C17" s="56"/>
      <c r="D17" s="56"/>
      <c r="E17" s="56"/>
      <c r="F17" s="56"/>
      <c r="G17" s="56"/>
      <c r="H17" s="56"/>
      <c r="I17" s="54"/>
      <c r="J17" s="54"/>
      <c r="K17" s="54"/>
      <c r="L17" s="54"/>
      <c r="M17" s="54"/>
      <c r="N17" s="54"/>
    </row>
    <row r="18" spans="1:14" x14ac:dyDescent="0.25">
      <c r="A18" s="55"/>
      <c r="B18" s="56"/>
      <c r="C18" s="56"/>
      <c r="D18" s="56"/>
      <c r="E18" s="56"/>
      <c r="F18" s="56"/>
      <c r="G18" s="56"/>
      <c r="H18" s="56"/>
      <c r="I18" s="54"/>
      <c r="J18" s="54"/>
      <c r="K18" s="54"/>
      <c r="L18" s="54"/>
      <c r="M18" s="54"/>
      <c r="N18" s="54"/>
    </row>
    <row r="19" spans="1:14" x14ac:dyDescent="0.25">
      <c r="A19" s="55" t="s">
        <v>43</v>
      </c>
      <c r="B19" s="56">
        <f>SUM(B2:B18)</f>
        <v>6096000</v>
      </c>
      <c r="C19" s="56">
        <f t="shared" ref="C19:D19" si="0">SUM(C2:C18)</f>
        <v>0</v>
      </c>
      <c r="D19" s="56">
        <f t="shared" si="0"/>
        <v>0</v>
      </c>
      <c r="E19" s="56"/>
      <c r="F19" s="56">
        <f>SUM(F2:F18)</f>
        <v>7874657.6099999994</v>
      </c>
      <c r="G19" s="56">
        <f t="shared" ref="G19:H19" si="1">SUM(G2:G18)</f>
        <v>-517000</v>
      </c>
      <c r="H19" s="56">
        <f t="shared" si="1"/>
        <v>0</v>
      </c>
      <c r="I19" s="54"/>
      <c r="J19" s="54"/>
      <c r="K19" s="54"/>
      <c r="L19" s="54"/>
      <c r="M19" s="54"/>
      <c r="N19" s="54"/>
    </row>
    <row r="20" spans="1:14" x14ac:dyDescent="0.25">
      <c r="A20" s="55"/>
      <c r="B20" s="56"/>
      <c r="C20" s="56"/>
      <c r="D20" s="56"/>
      <c r="E20" s="56"/>
      <c r="F20" s="56"/>
      <c r="G20" s="56"/>
      <c r="H20" s="56"/>
      <c r="I20" s="54"/>
      <c r="J20" s="54"/>
      <c r="K20" s="54"/>
      <c r="L20" s="54"/>
      <c r="M20" s="54"/>
      <c r="N20" s="54"/>
    </row>
    <row r="21" spans="1:14" ht="15" customHeight="1" x14ac:dyDescent="0.25">
      <c r="A21" s="98">
        <f>F19-B19</f>
        <v>1778657.6099999994</v>
      </c>
      <c r="B21" s="98"/>
      <c r="C21" s="98"/>
      <c r="D21" s="98"/>
      <c r="E21" s="98"/>
      <c r="F21" s="98"/>
      <c r="G21" s="98"/>
      <c r="H21" s="98"/>
      <c r="I21" s="54"/>
      <c r="J21" s="54"/>
      <c r="K21" s="54"/>
      <c r="L21" s="54"/>
      <c r="M21" s="54"/>
      <c r="N21" s="54"/>
    </row>
    <row r="22" spans="1:14" ht="15" customHeight="1" x14ac:dyDescent="0.25">
      <c r="A22" s="99"/>
      <c r="B22" s="99"/>
      <c r="C22" s="99"/>
      <c r="D22" s="99"/>
      <c r="E22" s="99"/>
      <c r="F22" s="99"/>
      <c r="G22" s="99"/>
      <c r="H22" s="99"/>
      <c r="I22" s="54"/>
      <c r="J22" s="54"/>
      <c r="K22" s="54"/>
      <c r="L22" s="54"/>
      <c r="M22" s="54"/>
      <c r="N22" s="54"/>
    </row>
    <row r="23" spans="1:14" x14ac:dyDescent="0.25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1:14" x14ac:dyDescent="0.2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</sheetData>
  <mergeCells count="3">
    <mergeCell ref="A1:D1"/>
    <mergeCell ref="E1:H1"/>
    <mergeCell ref="A21:H2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4BDD-A7A1-437F-B610-1F0935A3B305}">
  <dimension ref="C2:G14"/>
  <sheetViews>
    <sheetView workbookViewId="0">
      <selection activeCell="I13" sqref="I13"/>
    </sheetView>
  </sheetViews>
  <sheetFormatPr defaultRowHeight="15" x14ac:dyDescent="0.25"/>
  <cols>
    <col min="1" max="2" width="9.140625" style="40"/>
    <col min="3" max="3" width="9.28515625" style="40" bestFit="1" customWidth="1"/>
    <col min="4" max="4" width="12" style="40" customWidth="1"/>
    <col min="5" max="5" width="9.140625" style="40"/>
    <col min="6" max="6" width="9.28515625" style="40" bestFit="1" customWidth="1"/>
    <col min="7" max="7" width="14" style="40" customWidth="1"/>
    <col min="8" max="10" width="9.140625" style="40"/>
    <col min="11" max="11" width="14.140625" style="40" customWidth="1"/>
    <col min="12" max="16384" width="9.140625" style="40"/>
  </cols>
  <sheetData>
    <row r="2" spans="3:7" x14ac:dyDescent="0.25">
      <c r="D2" s="40">
        <v>3030000</v>
      </c>
      <c r="G2" s="40">
        <v>3030000</v>
      </c>
    </row>
    <row r="3" spans="3:7" x14ac:dyDescent="0.25">
      <c r="D3" s="40">
        <f>D2*0.7</f>
        <v>2121000</v>
      </c>
      <c r="G3" s="40">
        <f>G2*0.7</f>
        <v>2121000</v>
      </c>
    </row>
    <row r="4" spans="3:7" x14ac:dyDescent="0.25">
      <c r="D4" s="40">
        <f>D2*0.4</f>
        <v>1212000</v>
      </c>
      <c r="G4" s="40">
        <f>G2*0.6</f>
        <v>1818000</v>
      </c>
    </row>
    <row r="5" spans="3:7" x14ac:dyDescent="0.25">
      <c r="D5" s="40">
        <v>388000</v>
      </c>
      <c r="G5" s="40">
        <v>388000</v>
      </c>
    </row>
    <row r="6" spans="3:7" x14ac:dyDescent="0.25">
      <c r="C6" s="40">
        <v>0.5</v>
      </c>
      <c r="D6" s="40">
        <f>D2*C6+D3*C6+D4*C6</f>
        <v>3181500</v>
      </c>
      <c r="F6" s="40">
        <v>0.5</v>
      </c>
      <c r="G6" s="40">
        <f>G2*F6+G3*F6+G4*F6</f>
        <v>3484500</v>
      </c>
    </row>
    <row r="9" spans="3:7" x14ac:dyDescent="0.25">
      <c r="D9" s="40">
        <f>SUM(D2:D8)</f>
        <v>9932500</v>
      </c>
      <c r="G9" s="40">
        <f>SUM(G2:G8)</f>
        <v>10841500</v>
      </c>
    </row>
    <row r="10" spans="3:7" x14ac:dyDescent="0.25">
      <c r="C10" s="40" t="s">
        <v>83</v>
      </c>
      <c r="D10" s="40">
        <f>D9*13%</f>
        <v>1291225</v>
      </c>
      <c r="G10" s="40">
        <f>G9*13%</f>
        <v>1409395</v>
      </c>
    </row>
    <row r="12" spans="3:7" x14ac:dyDescent="0.25">
      <c r="C12" s="40" t="s">
        <v>85</v>
      </c>
      <c r="D12" s="40">
        <f>D9-D10</f>
        <v>8641275</v>
      </c>
      <c r="G12" s="40">
        <f>G9-G10</f>
        <v>9432105</v>
      </c>
    </row>
    <row r="14" spans="3:7" x14ac:dyDescent="0.25">
      <c r="G14" s="40">
        <v>4300000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BAB3-F03B-4A37-80AE-5AC408603F92}">
  <dimension ref="A3:N22"/>
  <sheetViews>
    <sheetView workbookViewId="0">
      <selection activeCell="E17" sqref="E17"/>
    </sheetView>
  </sheetViews>
  <sheetFormatPr defaultRowHeight="15" x14ac:dyDescent="0.25"/>
  <cols>
    <col min="2" max="2" width="12.140625" customWidth="1"/>
    <col min="7" max="7" width="11.42578125" customWidth="1"/>
  </cols>
  <sheetData>
    <row r="3" spans="1:14" x14ac:dyDescent="0.25">
      <c r="E3">
        <v>300</v>
      </c>
      <c r="F3" s="35">
        <v>11380</v>
      </c>
      <c r="G3" s="35">
        <f>E3*F3</f>
        <v>3414000</v>
      </c>
      <c r="H3" s="35"/>
      <c r="J3" s="42">
        <v>50000</v>
      </c>
      <c r="K3" s="42"/>
      <c r="L3" s="42"/>
      <c r="M3" s="42"/>
      <c r="N3" s="35"/>
    </row>
    <row r="4" spans="1:14" x14ac:dyDescent="0.25">
      <c r="E4">
        <v>1800</v>
      </c>
      <c r="F4" s="35">
        <v>11360</v>
      </c>
      <c r="G4" s="35">
        <f>E4*F4</f>
        <v>20448000</v>
      </c>
      <c r="H4" s="35"/>
      <c r="J4" s="42">
        <v>2750000</v>
      </c>
      <c r="K4" s="42"/>
      <c r="L4" s="42"/>
      <c r="M4" s="42"/>
      <c r="N4" s="35"/>
    </row>
    <row r="5" spans="1:14" x14ac:dyDescent="0.25">
      <c r="F5" s="35"/>
      <c r="G5" s="35"/>
      <c r="H5" s="35"/>
      <c r="J5" s="42">
        <v>614000</v>
      </c>
      <c r="K5" s="42">
        <v>10000</v>
      </c>
      <c r="L5" s="42">
        <v>47000</v>
      </c>
      <c r="M5" s="42">
        <v>282000</v>
      </c>
      <c r="N5" s="35">
        <v>200000</v>
      </c>
    </row>
    <row r="6" spans="1:14" x14ac:dyDescent="0.25">
      <c r="F6" s="35"/>
      <c r="G6" s="35"/>
      <c r="H6" s="35"/>
      <c r="J6" s="35"/>
      <c r="K6" s="35"/>
      <c r="L6" s="35"/>
      <c r="M6" s="35"/>
      <c r="N6" s="35"/>
    </row>
    <row r="7" spans="1:14" x14ac:dyDescent="0.25">
      <c r="F7" s="35"/>
      <c r="G7" s="35"/>
      <c r="H7" s="35"/>
      <c r="J7" s="35"/>
      <c r="K7" s="35"/>
      <c r="L7" s="35"/>
      <c r="M7" s="35"/>
      <c r="N7" s="35"/>
    </row>
    <row r="8" spans="1:14" x14ac:dyDescent="0.25">
      <c r="B8">
        <v>105000</v>
      </c>
      <c r="C8">
        <v>25</v>
      </c>
      <c r="D8">
        <f>B8*C8</f>
        <v>2625000</v>
      </c>
      <c r="F8" s="35"/>
      <c r="G8" s="35"/>
      <c r="H8" s="35"/>
      <c r="J8" s="35"/>
      <c r="K8" s="35"/>
      <c r="L8" s="35"/>
      <c r="M8" s="35"/>
      <c r="N8" s="35"/>
    </row>
    <row r="9" spans="1:14" x14ac:dyDescent="0.25">
      <c r="B9">
        <v>80000</v>
      </c>
      <c r="C9">
        <v>25</v>
      </c>
      <c r="D9">
        <f>B9*C9</f>
        <v>2000000</v>
      </c>
      <c r="F9" s="35"/>
      <c r="G9" s="35"/>
      <c r="H9" s="35"/>
      <c r="J9" s="35"/>
      <c r="K9" s="35"/>
      <c r="L9" s="35"/>
      <c r="M9" s="35"/>
      <c r="N9" s="35"/>
    </row>
    <row r="10" spans="1:14" x14ac:dyDescent="0.25">
      <c r="F10" s="35"/>
      <c r="G10" s="35"/>
      <c r="H10" s="35"/>
      <c r="J10" s="35"/>
      <c r="K10" s="35"/>
      <c r="L10" s="35"/>
      <c r="M10" s="35"/>
      <c r="N10" s="35"/>
    </row>
    <row r="11" spans="1:14" x14ac:dyDescent="0.25">
      <c r="F11" s="35"/>
      <c r="G11" s="35"/>
      <c r="H11" s="35"/>
      <c r="J11" s="43">
        <v>4500000</v>
      </c>
      <c r="K11" s="43"/>
      <c r="L11" s="43"/>
      <c r="M11" s="43"/>
      <c r="N11" s="43"/>
    </row>
    <row r="12" spans="1:14" x14ac:dyDescent="0.25">
      <c r="F12" s="35"/>
      <c r="G12" s="35"/>
      <c r="H12" s="35"/>
      <c r="J12" s="43">
        <v>60000</v>
      </c>
      <c r="K12" s="43"/>
      <c r="L12" s="43"/>
      <c r="M12" s="43"/>
      <c r="N12" s="43"/>
    </row>
    <row r="13" spans="1:14" x14ac:dyDescent="0.25">
      <c r="F13" s="35"/>
      <c r="G13" s="35"/>
      <c r="H13" s="35"/>
      <c r="J13" s="43">
        <v>889495.14</v>
      </c>
      <c r="K13" s="43"/>
      <c r="L13" s="43"/>
      <c r="M13" s="43"/>
      <c r="N13" s="43"/>
    </row>
    <row r="14" spans="1:14" x14ac:dyDescent="0.25">
      <c r="F14" s="35"/>
      <c r="G14" s="35">
        <f>SUM(J11:N19)</f>
        <v>20447834.140000001</v>
      </c>
      <c r="H14" s="35"/>
      <c r="J14" s="43">
        <v>3527550</v>
      </c>
      <c r="K14" s="43"/>
      <c r="L14" s="43"/>
      <c r="M14" s="43"/>
      <c r="N14" s="43"/>
    </row>
    <row r="15" spans="1:14" x14ac:dyDescent="0.25">
      <c r="A15" s="43"/>
      <c r="B15" s="43">
        <v>12000000</v>
      </c>
      <c r="C15" s="43"/>
      <c r="F15" s="35"/>
      <c r="G15" s="35">
        <f>G14-G4</f>
        <v>-165.85999999940395</v>
      </c>
      <c r="H15" s="35"/>
      <c r="J15" s="43">
        <v>1738000</v>
      </c>
      <c r="K15" s="43"/>
      <c r="L15" s="43"/>
      <c r="M15" s="43"/>
      <c r="N15" s="43"/>
    </row>
    <row r="16" spans="1:14" x14ac:dyDescent="0.25">
      <c r="A16" s="43"/>
      <c r="B16" s="43"/>
      <c r="C16" s="43"/>
      <c r="F16" s="35"/>
      <c r="G16" s="35"/>
      <c r="H16" s="35"/>
      <c r="J16" s="43">
        <v>400000</v>
      </c>
      <c r="K16" s="43"/>
      <c r="L16" s="43"/>
      <c r="M16" s="43"/>
      <c r="N16" s="43"/>
    </row>
    <row r="17" spans="1:14" x14ac:dyDescent="0.25">
      <c r="A17" s="43"/>
      <c r="B17" s="43">
        <f>B15-B15*0.12</f>
        <v>10560000</v>
      </c>
      <c r="C17" s="43"/>
      <c r="F17" s="35"/>
      <c r="G17" s="35"/>
      <c r="H17" s="35"/>
      <c r="J17" s="43"/>
      <c r="K17" s="43"/>
      <c r="L17" s="43"/>
      <c r="M17" s="43"/>
      <c r="N17" s="43"/>
    </row>
    <row r="18" spans="1:14" x14ac:dyDescent="0.25">
      <c r="A18" s="43"/>
      <c r="B18" s="43"/>
      <c r="C18" s="43"/>
      <c r="J18" s="43">
        <v>1032789</v>
      </c>
      <c r="K18" s="43"/>
      <c r="L18" s="43"/>
      <c r="M18" s="43"/>
      <c r="N18" s="43"/>
    </row>
    <row r="19" spans="1:14" x14ac:dyDescent="0.25">
      <c r="A19" s="43">
        <v>80</v>
      </c>
      <c r="B19" s="43">
        <f>A19*B17/100</f>
        <v>8448000</v>
      </c>
      <c r="C19" s="43"/>
      <c r="J19" s="43">
        <v>8300000</v>
      </c>
      <c r="K19" s="43"/>
      <c r="L19" s="43"/>
      <c r="M19" s="43"/>
      <c r="N19" s="43"/>
    </row>
    <row r="20" spans="1:14" x14ac:dyDescent="0.25">
      <c r="A20" s="43">
        <v>15</v>
      </c>
      <c r="B20" s="43">
        <f>A20*B17/100</f>
        <v>1584000</v>
      </c>
      <c r="C20" s="43"/>
      <c r="J20" s="35"/>
      <c r="K20" s="35"/>
      <c r="L20" s="35"/>
      <c r="M20" s="35"/>
      <c r="N20" s="35"/>
    </row>
    <row r="21" spans="1:14" x14ac:dyDescent="0.25">
      <c r="A21" s="43">
        <v>5</v>
      </c>
      <c r="B21" s="43">
        <f>B17*A21/100</f>
        <v>528000</v>
      </c>
      <c r="C21" s="43"/>
    </row>
    <row r="22" spans="1:14" x14ac:dyDescent="0.25">
      <c r="A22" s="43"/>
      <c r="B22" s="43"/>
      <c r="C22" s="43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CD1C-F280-49FE-80E9-A176D8A4736E}">
  <dimension ref="A1:M26"/>
  <sheetViews>
    <sheetView topLeftCell="A7" workbookViewId="0">
      <selection activeCell="C8" sqref="C8"/>
    </sheetView>
  </sheetViews>
  <sheetFormatPr defaultRowHeight="15" x14ac:dyDescent="0.25"/>
  <cols>
    <col min="1" max="1" width="9.85546875" customWidth="1"/>
    <col min="2" max="2" width="12.42578125" customWidth="1"/>
    <col min="3" max="3" width="13.5703125" customWidth="1"/>
    <col min="4" max="4" width="14.7109375" customWidth="1"/>
    <col min="5" max="5" width="12.7109375" customWidth="1"/>
    <col min="6" max="6" width="14.7109375" customWidth="1"/>
    <col min="8" max="8" width="12.42578125" bestFit="1" customWidth="1"/>
    <col min="9" max="9" width="13.28515625" customWidth="1"/>
    <col min="11" max="11" width="11.42578125" customWidth="1"/>
    <col min="12" max="12" width="13.7109375" customWidth="1"/>
    <col min="13" max="13" width="13.85546875" customWidth="1"/>
  </cols>
  <sheetData>
    <row r="1" spans="1:13" x14ac:dyDescent="0.25">
      <c r="A1" s="100" t="s">
        <v>122</v>
      </c>
      <c r="B1" s="100"/>
      <c r="C1" s="100"/>
      <c r="D1" s="100" t="s">
        <v>123</v>
      </c>
      <c r="E1" s="100"/>
      <c r="F1" s="100"/>
      <c r="G1" s="62"/>
      <c r="H1" s="62" t="s">
        <v>104</v>
      </c>
      <c r="I1" s="62" t="s">
        <v>105</v>
      </c>
      <c r="J1" s="62"/>
      <c r="K1" s="103" t="s">
        <v>124</v>
      </c>
      <c r="L1" s="103"/>
      <c r="M1" s="103"/>
    </row>
    <row r="2" spans="1:13" x14ac:dyDescent="0.25">
      <c r="A2" s="58" t="s">
        <v>94</v>
      </c>
      <c r="B2" s="64">
        <v>1135000</v>
      </c>
      <c r="C2" s="59"/>
      <c r="D2" s="59" t="s">
        <v>127</v>
      </c>
      <c r="E2" s="64">
        <v>6000000</v>
      </c>
      <c r="F2" s="59"/>
      <c r="G2" s="63" t="s">
        <v>102</v>
      </c>
      <c r="H2" s="66">
        <v>7000000</v>
      </c>
      <c r="I2" s="63">
        <v>1000000</v>
      </c>
      <c r="J2" s="63"/>
      <c r="K2" s="63" t="s">
        <v>125</v>
      </c>
      <c r="L2" s="66">
        <v>7800000</v>
      </c>
      <c r="M2" s="63"/>
    </row>
    <row r="3" spans="1:13" x14ac:dyDescent="0.25">
      <c r="A3" s="58" t="s">
        <v>90</v>
      </c>
      <c r="B3" s="64">
        <v>1135000</v>
      </c>
      <c r="C3" s="59"/>
      <c r="D3" s="60"/>
      <c r="E3" s="65"/>
      <c r="F3" s="59"/>
      <c r="G3" s="63" t="s">
        <v>103</v>
      </c>
      <c r="H3" s="66">
        <v>1000000</v>
      </c>
      <c r="I3" s="63">
        <v>1000000</v>
      </c>
      <c r="J3" s="63"/>
      <c r="K3" s="63" t="s">
        <v>126</v>
      </c>
      <c r="L3" s="66">
        <v>7800000</v>
      </c>
      <c r="M3" s="63"/>
    </row>
    <row r="4" spans="1:13" x14ac:dyDescent="0.25">
      <c r="A4" s="58" t="s">
        <v>91</v>
      </c>
      <c r="B4" s="64">
        <v>1135000</v>
      </c>
      <c r="C4" s="59"/>
      <c r="D4" s="59" t="s">
        <v>128</v>
      </c>
      <c r="E4" s="64">
        <v>517000</v>
      </c>
      <c r="F4" s="59">
        <v>517000</v>
      </c>
      <c r="G4" s="63" t="s">
        <v>71</v>
      </c>
      <c r="H4" s="66">
        <v>1200000</v>
      </c>
      <c r="I4" s="63">
        <v>1200000</v>
      </c>
      <c r="J4" s="63"/>
      <c r="K4" s="63"/>
      <c r="L4" s="66"/>
      <c r="M4" s="63"/>
    </row>
    <row r="5" spans="1:13" x14ac:dyDescent="0.25">
      <c r="A5" s="58" t="s">
        <v>92</v>
      </c>
      <c r="B5" s="64">
        <v>700000</v>
      </c>
      <c r="C5" s="59"/>
      <c r="D5" s="59"/>
      <c r="E5" s="64"/>
      <c r="F5" s="59"/>
      <c r="G5" s="63" t="s">
        <v>120</v>
      </c>
      <c r="H5" s="66">
        <v>500000</v>
      </c>
      <c r="I5" s="63">
        <v>500000</v>
      </c>
      <c r="J5" s="63"/>
      <c r="K5" s="63" t="s">
        <v>70</v>
      </c>
      <c r="L5" s="66">
        <v>500000</v>
      </c>
      <c r="M5" s="63"/>
    </row>
    <row r="6" spans="1:13" x14ac:dyDescent="0.25">
      <c r="A6" s="58" t="s">
        <v>95</v>
      </c>
      <c r="B6" s="64">
        <v>1135000</v>
      </c>
      <c r="C6" s="59"/>
      <c r="D6" s="59"/>
      <c r="E6" s="64"/>
      <c r="F6" s="59"/>
      <c r="G6" s="63"/>
      <c r="H6" s="66"/>
      <c r="I6" s="63"/>
      <c r="J6" s="63"/>
      <c r="K6" s="63"/>
      <c r="L6" s="66"/>
      <c r="M6" s="63"/>
    </row>
    <row r="7" spans="1:13" x14ac:dyDescent="0.25">
      <c r="A7" s="61" t="s">
        <v>133</v>
      </c>
      <c r="B7" s="64">
        <v>1135000</v>
      </c>
      <c r="C7" s="59">
        <v>1135000</v>
      </c>
      <c r="D7" s="59" t="s">
        <v>121</v>
      </c>
      <c r="E7" s="64">
        <v>5000000</v>
      </c>
      <c r="F7" s="59"/>
      <c r="G7" s="63"/>
      <c r="H7" s="66"/>
      <c r="I7" s="63"/>
      <c r="J7" s="63"/>
      <c r="K7" s="63" t="s">
        <v>83</v>
      </c>
      <c r="L7" s="66">
        <v>3200000</v>
      </c>
      <c r="M7" s="63"/>
    </row>
    <row r="8" spans="1:13" x14ac:dyDescent="0.25">
      <c r="A8" s="61"/>
      <c r="B8" s="64"/>
      <c r="C8" s="59"/>
      <c r="D8" s="59"/>
      <c r="E8" s="64"/>
      <c r="F8" s="59"/>
      <c r="G8" s="63"/>
      <c r="H8" s="66"/>
      <c r="I8" s="63"/>
      <c r="J8" s="63"/>
      <c r="K8" s="63"/>
      <c r="L8" s="66"/>
      <c r="M8" s="63"/>
    </row>
    <row r="9" spans="1:13" x14ac:dyDescent="0.25">
      <c r="A9" s="61"/>
      <c r="B9" s="64"/>
      <c r="C9" s="59"/>
      <c r="D9" s="59"/>
      <c r="E9" s="64"/>
      <c r="F9" s="59"/>
      <c r="G9" s="63"/>
      <c r="H9" s="66"/>
      <c r="I9" s="63"/>
      <c r="J9" s="63"/>
      <c r="K9" s="63"/>
      <c r="L9" s="66"/>
      <c r="M9" s="63"/>
    </row>
    <row r="10" spans="1:13" x14ac:dyDescent="0.25">
      <c r="A10" s="61" t="s">
        <v>97</v>
      </c>
      <c r="B10" s="64">
        <f>5*70000</f>
        <v>350000</v>
      </c>
      <c r="C10" s="59"/>
      <c r="D10" s="59" t="s">
        <v>129</v>
      </c>
      <c r="E10" s="64">
        <v>6000000</v>
      </c>
      <c r="F10" s="59"/>
      <c r="G10" s="63" t="s">
        <v>131</v>
      </c>
      <c r="H10" s="66">
        <v>1500000</v>
      </c>
      <c r="I10" s="63"/>
      <c r="J10" s="63"/>
      <c r="K10" s="63"/>
      <c r="L10" s="66"/>
      <c r="M10" s="63"/>
    </row>
    <row r="11" spans="1:13" x14ac:dyDescent="0.25">
      <c r="A11" s="61" t="s">
        <v>98</v>
      </c>
      <c r="B11" s="64">
        <f t="shared" ref="B11:B12" si="0">5*70000</f>
        <v>350000</v>
      </c>
      <c r="C11" s="59"/>
      <c r="D11" s="59" t="s">
        <v>96</v>
      </c>
      <c r="E11" s="64">
        <v>5500000</v>
      </c>
      <c r="F11" s="59"/>
      <c r="G11" s="63"/>
      <c r="H11" s="66"/>
      <c r="I11" s="63"/>
      <c r="J11" s="63"/>
      <c r="K11" s="63"/>
      <c r="L11" s="66"/>
      <c r="M11" s="63"/>
    </row>
    <row r="12" spans="1:13" x14ac:dyDescent="0.25">
      <c r="A12" s="61" t="s">
        <v>99</v>
      </c>
      <c r="B12" s="64">
        <f t="shared" si="0"/>
        <v>350000</v>
      </c>
      <c r="C12" s="59"/>
      <c r="D12" s="59" t="s">
        <v>130</v>
      </c>
      <c r="E12" s="64">
        <v>517000</v>
      </c>
      <c r="F12" s="59"/>
      <c r="G12" s="63"/>
      <c r="H12" s="66"/>
      <c r="I12" s="63"/>
      <c r="J12" s="63"/>
      <c r="K12" s="63"/>
      <c r="L12" s="66"/>
      <c r="M12" s="63"/>
    </row>
    <row r="13" spans="1:13" x14ac:dyDescent="0.25">
      <c r="A13" s="61" t="s">
        <v>100</v>
      </c>
      <c r="B13" s="64">
        <f>B12</f>
        <v>350000</v>
      </c>
      <c r="C13" s="59"/>
      <c r="D13" s="59"/>
      <c r="E13" s="64"/>
      <c r="F13" s="59"/>
      <c r="G13" s="63" t="s">
        <v>132</v>
      </c>
      <c r="H13" s="66">
        <v>8000000</v>
      </c>
      <c r="I13" s="63"/>
      <c r="J13" s="63"/>
      <c r="K13" s="63"/>
      <c r="L13" s="66"/>
      <c r="M13" s="63"/>
    </row>
    <row r="14" spans="1:13" x14ac:dyDescent="0.25">
      <c r="A14" s="61"/>
      <c r="B14" s="64"/>
      <c r="C14" s="59"/>
      <c r="D14" s="59"/>
      <c r="E14" s="64"/>
      <c r="F14" s="59"/>
      <c r="G14" s="63"/>
      <c r="H14" s="66"/>
      <c r="I14" s="63"/>
      <c r="J14" s="63"/>
      <c r="K14" s="63"/>
      <c r="L14" s="66"/>
      <c r="M14" s="63"/>
    </row>
    <row r="15" spans="1:13" x14ac:dyDescent="0.25">
      <c r="A15" s="61"/>
      <c r="B15" s="64"/>
      <c r="C15" s="59"/>
      <c r="D15" s="59"/>
      <c r="E15" s="64"/>
      <c r="F15" s="59"/>
      <c r="G15" s="63"/>
      <c r="H15" s="66"/>
      <c r="I15" s="63"/>
      <c r="J15" s="63"/>
      <c r="K15" s="63"/>
      <c r="L15" s="66"/>
      <c r="M15" s="63"/>
    </row>
    <row r="16" spans="1:13" x14ac:dyDescent="0.25">
      <c r="A16" s="61"/>
      <c r="B16" s="64"/>
      <c r="C16" s="59"/>
      <c r="D16" s="59"/>
      <c r="E16" s="64"/>
      <c r="F16" s="59"/>
      <c r="G16" s="63"/>
      <c r="H16" s="66"/>
      <c r="I16" s="63"/>
      <c r="J16" s="63"/>
      <c r="K16" s="63"/>
      <c r="L16" s="66"/>
      <c r="M16" s="63"/>
    </row>
    <row r="17" spans="1:13" x14ac:dyDescent="0.25">
      <c r="A17" s="61" t="s">
        <v>93</v>
      </c>
      <c r="B17" s="64">
        <v>1135000</v>
      </c>
      <c r="C17" s="59">
        <v>1135000</v>
      </c>
      <c r="D17" s="59"/>
      <c r="E17" s="64"/>
      <c r="F17" s="59"/>
      <c r="G17" s="63"/>
      <c r="H17" s="66"/>
      <c r="I17" s="63"/>
      <c r="J17" s="63"/>
      <c r="K17" s="63"/>
      <c r="L17" s="66"/>
      <c r="M17" s="63"/>
    </row>
    <row r="18" spans="1:13" x14ac:dyDescent="0.25">
      <c r="A18" s="61" t="s">
        <v>54</v>
      </c>
      <c r="B18" s="64">
        <v>1100000</v>
      </c>
      <c r="C18" s="59">
        <v>1100000</v>
      </c>
      <c r="D18" s="59"/>
      <c r="E18" s="64"/>
      <c r="F18" s="59"/>
      <c r="G18" s="63"/>
      <c r="H18" s="66"/>
      <c r="I18" s="63"/>
      <c r="J18" s="63"/>
      <c r="K18" s="63"/>
      <c r="L18" s="66"/>
      <c r="M18" s="63"/>
    </row>
    <row r="19" spans="1:13" x14ac:dyDescent="0.25">
      <c r="A19" s="61"/>
      <c r="B19" s="64"/>
      <c r="C19" s="59"/>
      <c r="D19" s="59"/>
      <c r="E19" s="64"/>
      <c r="F19" s="59"/>
      <c r="G19" s="63"/>
      <c r="H19" s="66"/>
      <c r="I19" s="63"/>
      <c r="J19" s="63"/>
      <c r="K19" s="63"/>
      <c r="L19" s="66"/>
      <c r="M19" s="63"/>
    </row>
    <row r="20" spans="1:13" x14ac:dyDescent="0.25">
      <c r="A20" s="61"/>
      <c r="B20" s="64">
        <f>SUM(B2:B18)</f>
        <v>10010000</v>
      </c>
      <c r="C20" s="59">
        <f>SUM(C2:C18)</f>
        <v>3370000</v>
      </c>
      <c r="D20" s="59"/>
      <c r="E20" s="64">
        <f t="shared" ref="E20:F20" si="1">SUM(E2:E18)</f>
        <v>23534000</v>
      </c>
      <c r="F20" s="59">
        <f t="shared" si="1"/>
        <v>517000</v>
      </c>
      <c r="G20" s="63"/>
      <c r="H20" s="66">
        <f t="shared" ref="H20:I20" si="2">SUM(H2:H18)</f>
        <v>19200000</v>
      </c>
      <c r="I20" s="63">
        <f t="shared" si="2"/>
        <v>3700000</v>
      </c>
      <c r="J20" s="63"/>
      <c r="K20" s="63"/>
      <c r="L20" s="66">
        <f t="shared" ref="L20:M20" si="3">SUM(L2:L18)</f>
        <v>19300000</v>
      </c>
      <c r="M20" s="63">
        <f t="shared" si="3"/>
        <v>0</v>
      </c>
    </row>
    <row r="21" spans="1:13" x14ac:dyDescent="0.25">
      <c r="A21" s="61"/>
      <c r="B21" s="61"/>
      <c r="C21" s="61"/>
      <c r="D21" s="61"/>
      <c r="E21" s="61"/>
      <c r="F21" s="61"/>
      <c r="G21" s="62"/>
      <c r="H21" s="62"/>
      <c r="I21" s="62"/>
      <c r="J21" s="62"/>
      <c r="K21" s="63"/>
      <c r="L21" s="67"/>
      <c r="M21" s="62"/>
    </row>
    <row r="22" spans="1:13" x14ac:dyDescent="0.25">
      <c r="A22" s="61"/>
      <c r="B22" s="61"/>
      <c r="C22" s="59">
        <f>B20-C20</f>
        <v>6640000</v>
      </c>
      <c r="D22" s="61"/>
      <c r="E22" s="61"/>
      <c r="F22" s="59">
        <f>E20-F20</f>
        <v>23017000</v>
      </c>
      <c r="G22" s="62"/>
      <c r="H22" s="62"/>
      <c r="I22" s="59">
        <f>H20-I20</f>
        <v>15500000</v>
      </c>
      <c r="J22" s="62"/>
      <c r="K22" s="63"/>
      <c r="L22" s="62"/>
      <c r="M22" s="59">
        <f>L20-M20</f>
        <v>19300000</v>
      </c>
    </row>
    <row r="23" spans="1:13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5" spans="1:13" x14ac:dyDescent="0.25">
      <c r="E25" s="101">
        <f>C22+F22-I22-M22</f>
        <v>-5143000</v>
      </c>
      <c r="F25" s="102"/>
      <c r="G25" s="102"/>
      <c r="H25" s="102"/>
    </row>
    <row r="26" spans="1:13" x14ac:dyDescent="0.25">
      <c r="E26" s="102"/>
      <c r="F26" s="102"/>
      <c r="G26" s="102"/>
      <c r="H26" s="102"/>
    </row>
  </sheetData>
  <mergeCells count="4">
    <mergeCell ref="A1:C1"/>
    <mergeCell ref="D1:F1"/>
    <mergeCell ref="E25:H26"/>
    <mergeCell ref="K1:M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04E7-778B-4DE4-AF6E-72042FC726DD}">
  <dimension ref="A1:N48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10.85546875" customWidth="1"/>
    <col min="2" max="2" width="10.28515625" customWidth="1"/>
    <col min="3" max="3" width="10" customWidth="1"/>
    <col min="4" max="4" width="11" customWidth="1"/>
    <col min="6" max="6" width="13.7109375" customWidth="1"/>
    <col min="7" max="7" width="10.42578125" customWidth="1"/>
    <col min="8" max="8" width="10.7109375" customWidth="1"/>
    <col min="9" max="9" width="11.140625" customWidth="1"/>
    <col min="13" max="13" width="9.85546875" bestFit="1" customWidth="1"/>
  </cols>
  <sheetData>
    <row r="1" spans="1:14" x14ac:dyDescent="0.25">
      <c r="A1" s="104" t="s">
        <v>134</v>
      </c>
      <c r="B1" s="104"/>
      <c r="C1" s="104"/>
      <c r="D1" s="104"/>
      <c r="E1" s="104"/>
      <c r="F1" s="105" t="s">
        <v>135</v>
      </c>
      <c r="G1" s="105"/>
      <c r="H1" s="105"/>
      <c r="I1" s="105"/>
      <c r="J1" s="105"/>
    </row>
    <row r="2" spans="1:14" x14ac:dyDescent="0.25">
      <c r="A2" s="70"/>
      <c r="B2" s="70" t="s">
        <v>151</v>
      </c>
      <c r="C2" s="70" t="s">
        <v>152</v>
      </c>
      <c r="D2" s="70" t="s">
        <v>153</v>
      </c>
      <c r="E2" s="70"/>
      <c r="F2" s="71"/>
      <c r="G2" s="71" t="s">
        <v>154</v>
      </c>
      <c r="H2" s="71" t="s">
        <v>105</v>
      </c>
      <c r="I2" s="71" t="s">
        <v>153</v>
      </c>
      <c r="J2" s="71"/>
    </row>
    <row r="3" spans="1:14" x14ac:dyDescent="0.25">
      <c r="A3" s="68" t="s">
        <v>127</v>
      </c>
      <c r="B3" s="69">
        <v>5580000</v>
      </c>
      <c r="C3" s="69">
        <f>B3</f>
        <v>5580000</v>
      </c>
      <c r="D3" s="69">
        <f>B3-C3</f>
        <v>0</v>
      </c>
      <c r="E3" s="69"/>
      <c r="F3" s="42" t="s">
        <v>141</v>
      </c>
      <c r="G3" s="42">
        <v>2425000</v>
      </c>
      <c r="H3" s="42">
        <f>G3</f>
        <v>2425000</v>
      </c>
      <c r="I3" s="42">
        <f>G3-H3</f>
        <v>0</v>
      </c>
      <c r="J3" s="42"/>
      <c r="K3" s="35"/>
      <c r="L3" s="35"/>
      <c r="M3" s="35"/>
      <c r="N3" s="35"/>
    </row>
    <row r="4" spans="1:14" x14ac:dyDescent="0.25">
      <c r="A4" s="68" t="s">
        <v>159</v>
      </c>
      <c r="B4" s="69">
        <v>517000</v>
      </c>
      <c r="C4" s="69">
        <v>517000</v>
      </c>
      <c r="D4" s="69">
        <f t="shared" ref="D4:D43" si="0">B4-C4</f>
        <v>0</v>
      </c>
      <c r="E4" s="69"/>
      <c r="F4" s="42" t="s">
        <v>142</v>
      </c>
      <c r="G4" s="42">
        <v>1303000</v>
      </c>
      <c r="H4" s="42">
        <v>1303000</v>
      </c>
      <c r="I4" s="42">
        <f t="shared" ref="I4:I43" si="1">G4-H4</f>
        <v>0</v>
      </c>
      <c r="J4" s="42"/>
      <c r="K4" s="35"/>
      <c r="L4" s="35"/>
      <c r="M4" s="35"/>
      <c r="N4" s="35"/>
    </row>
    <row r="5" spans="1:14" x14ac:dyDescent="0.25">
      <c r="A5" s="68" t="s">
        <v>129</v>
      </c>
      <c r="B5" s="69">
        <v>6000000</v>
      </c>
      <c r="C5" s="69">
        <v>6000000</v>
      </c>
      <c r="D5" s="69">
        <f t="shared" si="0"/>
        <v>0</v>
      </c>
      <c r="E5" s="69"/>
      <c r="F5" s="42" t="s">
        <v>143</v>
      </c>
      <c r="G5" s="42">
        <v>838000</v>
      </c>
      <c r="H5" s="42">
        <f>G5</f>
        <v>838000</v>
      </c>
      <c r="I5" s="42">
        <f t="shared" si="1"/>
        <v>0</v>
      </c>
      <c r="J5" s="42"/>
      <c r="K5" s="35"/>
      <c r="L5" s="35"/>
      <c r="M5" s="35"/>
      <c r="N5" s="35"/>
    </row>
    <row r="6" spans="1:14" x14ac:dyDescent="0.25">
      <c r="A6" s="68" t="s">
        <v>139</v>
      </c>
      <c r="B6" s="69">
        <v>517000</v>
      </c>
      <c r="C6" s="69">
        <v>517000</v>
      </c>
      <c r="D6" s="69">
        <f t="shared" si="0"/>
        <v>0</v>
      </c>
      <c r="E6" s="69"/>
      <c r="F6" s="42" t="s">
        <v>144</v>
      </c>
      <c r="G6" s="42">
        <v>1220000</v>
      </c>
      <c r="H6" s="42">
        <f>G6</f>
        <v>1220000</v>
      </c>
      <c r="I6" s="42">
        <f t="shared" si="1"/>
        <v>0</v>
      </c>
      <c r="J6" s="42"/>
      <c r="K6" s="35"/>
      <c r="L6" s="35"/>
      <c r="M6" s="35"/>
      <c r="N6" s="35"/>
    </row>
    <row r="7" spans="1:14" x14ac:dyDescent="0.25">
      <c r="A7" s="68" t="s">
        <v>156</v>
      </c>
      <c r="B7" s="69">
        <v>4200000</v>
      </c>
      <c r="C7" s="69">
        <v>4200000</v>
      </c>
      <c r="D7" s="69">
        <f t="shared" si="0"/>
        <v>0</v>
      </c>
      <c r="E7" s="69"/>
      <c r="F7" s="42" t="s">
        <v>89</v>
      </c>
      <c r="G7" s="42">
        <v>419000</v>
      </c>
      <c r="H7" s="42">
        <f>G7</f>
        <v>419000</v>
      </c>
      <c r="I7" s="42">
        <f t="shared" si="1"/>
        <v>0</v>
      </c>
      <c r="J7" s="42"/>
      <c r="K7" s="35"/>
      <c r="L7" s="35"/>
      <c r="M7" s="35"/>
      <c r="N7" s="35"/>
    </row>
    <row r="8" spans="1:14" x14ac:dyDescent="0.25">
      <c r="A8" s="68" t="s">
        <v>140</v>
      </c>
      <c r="B8" s="69">
        <v>9600000</v>
      </c>
      <c r="C8" s="69">
        <f>B8</f>
        <v>9600000</v>
      </c>
      <c r="D8" s="69">
        <f t="shared" si="0"/>
        <v>0</v>
      </c>
      <c r="E8" s="69"/>
      <c r="F8" s="42" t="s">
        <v>75</v>
      </c>
      <c r="G8" s="42">
        <f>33000+330000</f>
        <v>363000</v>
      </c>
      <c r="H8" s="42">
        <f>G8</f>
        <v>363000</v>
      </c>
      <c r="I8" s="42">
        <f t="shared" si="1"/>
        <v>0</v>
      </c>
      <c r="J8" s="42"/>
      <c r="K8" s="35"/>
      <c r="L8" s="35"/>
      <c r="M8" s="35"/>
      <c r="N8" s="35"/>
    </row>
    <row r="9" spans="1:14" x14ac:dyDescent="0.25">
      <c r="A9" s="69"/>
      <c r="B9" s="69"/>
      <c r="C9" s="69"/>
      <c r="D9" s="69">
        <f t="shared" si="0"/>
        <v>0</v>
      </c>
      <c r="E9" s="69"/>
      <c r="F9" s="42" t="s">
        <v>145</v>
      </c>
      <c r="G9" s="42">
        <v>171000</v>
      </c>
      <c r="H9" s="42">
        <v>171000</v>
      </c>
      <c r="I9" s="42">
        <f t="shared" si="1"/>
        <v>0</v>
      </c>
      <c r="J9" s="42"/>
      <c r="K9" s="35"/>
      <c r="L9" s="35"/>
      <c r="M9" s="35"/>
      <c r="N9" s="35"/>
    </row>
    <row r="10" spans="1:14" x14ac:dyDescent="0.25">
      <c r="A10" s="69" t="s">
        <v>54</v>
      </c>
      <c r="B10" s="69">
        <v>1100000</v>
      </c>
      <c r="C10" s="69">
        <v>1100000</v>
      </c>
      <c r="D10" s="69">
        <f t="shared" si="0"/>
        <v>0</v>
      </c>
      <c r="E10" s="69"/>
      <c r="F10" s="42" t="s">
        <v>146</v>
      </c>
      <c r="G10" s="42">
        <v>258000</v>
      </c>
      <c r="H10" s="42">
        <v>258000</v>
      </c>
      <c r="I10" s="42">
        <f t="shared" si="1"/>
        <v>0</v>
      </c>
      <c r="J10" s="42"/>
      <c r="K10" s="35"/>
      <c r="L10" s="35"/>
      <c r="M10" s="35"/>
      <c r="N10" s="35"/>
    </row>
    <row r="11" spans="1:14" x14ac:dyDescent="0.25">
      <c r="A11" s="69" t="s">
        <v>136</v>
      </c>
      <c r="B11" s="69">
        <v>1135000</v>
      </c>
      <c r="C11" s="69">
        <v>1135000</v>
      </c>
      <c r="D11" s="69">
        <f t="shared" si="0"/>
        <v>0</v>
      </c>
      <c r="E11" s="69"/>
      <c r="F11" s="42" t="s">
        <v>147</v>
      </c>
      <c r="G11" s="42">
        <v>680000</v>
      </c>
      <c r="H11" s="42">
        <f>G11</f>
        <v>680000</v>
      </c>
      <c r="I11" s="42">
        <f t="shared" si="1"/>
        <v>0</v>
      </c>
      <c r="J11" s="42"/>
      <c r="K11" s="35"/>
      <c r="L11" s="35"/>
      <c r="M11" s="35"/>
      <c r="N11" s="35"/>
    </row>
    <row r="12" spans="1:14" x14ac:dyDescent="0.25">
      <c r="A12" s="69" t="s">
        <v>157</v>
      </c>
      <c r="B12" s="69">
        <f>B11</f>
        <v>1135000</v>
      </c>
      <c r="C12" s="69">
        <f>B12</f>
        <v>1135000</v>
      </c>
      <c r="D12" s="69">
        <f t="shared" si="0"/>
        <v>0</v>
      </c>
      <c r="E12" s="69"/>
      <c r="F12" s="42"/>
      <c r="G12" s="42"/>
      <c r="H12" s="42"/>
      <c r="I12" s="42"/>
      <c r="J12" s="42"/>
      <c r="K12" s="35"/>
      <c r="L12" s="35"/>
      <c r="M12" s="35"/>
      <c r="N12" s="35"/>
    </row>
    <row r="13" spans="1:14" x14ac:dyDescent="0.25">
      <c r="A13" s="69"/>
      <c r="B13" s="69"/>
      <c r="C13" s="69"/>
      <c r="D13" s="69">
        <f t="shared" si="0"/>
        <v>0</v>
      </c>
      <c r="E13" s="69"/>
      <c r="F13" s="42"/>
      <c r="G13" s="42"/>
      <c r="H13" s="42"/>
      <c r="I13" s="42">
        <f t="shared" si="1"/>
        <v>0</v>
      </c>
      <c r="J13" s="42"/>
      <c r="K13" s="35"/>
      <c r="L13" s="35"/>
      <c r="M13" s="35"/>
      <c r="N13" s="35"/>
    </row>
    <row r="14" spans="1:14" x14ac:dyDescent="0.25">
      <c r="A14" s="69" t="s">
        <v>133</v>
      </c>
      <c r="B14" s="69">
        <v>1135000</v>
      </c>
      <c r="C14" s="69">
        <f t="shared" ref="C14:C19" si="2">B14</f>
        <v>1135000</v>
      </c>
      <c r="D14" s="69">
        <f t="shared" si="0"/>
        <v>0</v>
      </c>
      <c r="E14" s="69"/>
      <c r="F14" s="42" t="s">
        <v>102</v>
      </c>
      <c r="G14" s="42">
        <v>7000000</v>
      </c>
      <c r="H14" s="42">
        <v>7000000</v>
      </c>
      <c r="I14" s="42">
        <f t="shared" si="1"/>
        <v>0</v>
      </c>
      <c r="J14" s="42"/>
      <c r="K14" s="35"/>
      <c r="L14" s="35"/>
      <c r="M14" s="35"/>
      <c r="N14" s="35"/>
    </row>
    <row r="15" spans="1:14" x14ac:dyDescent="0.25">
      <c r="A15" s="69" t="s">
        <v>137</v>
      </c>
      <c r="B15" s="69">
        <v>1135000</v>
      </c>
      <c r="C15" s="69">
        <f t="shared" si="2"/>
        <v>1135000</v>
      </c>
      <c r="D15" s="69">
        <f t="shared" si="0"/>
        <v>0</v>
      </c>
      <c r="E15" s="69"/>
      <c r="F15" s="42" t="s">
        <v>103</v>
      </c>
      <c r="G15" s="42">
        <v>1000000</v>
      </c>
      <c r="H15" s="42">
        <v>1000000</v>
      </c>
      <c r="I15" s="42">
        <f t="shared" si="1"/>
        <v>0</v>
      </c>
      <c r="J15" s="42"/>
      <c r="K15" s="35"/>
      <c r="L15" s="35"/>
      <c r="M15" s="35"/>
      <c r="N15" s="35"/>
    </row>
    <row r="16" spans="1:14" x14ac:dyDescent="0.25">
      <c r="A16" s="68" t="s">
        <v>90</v>
      </c>
      <c r="B16" s="69">
        <v>1135000</v>
      </c>
      <c r="C16" s="69">
        <f t="shared" si="2"/>
        <v>1135000</v>
      </c>
      <c r="D16" s="69">
        <f t="shared" si="0"/>
        <v>0</v>
      </c>
      <c r="E16" s="69"/>
      <c r="F16" s="42" t="s">
        <v>115</v>
      </c>
      <c r="G16" s="42">
        <v>1200000</v>
      </c>
      <c r="H16" s="42">
        <v>1200000</v>
      </c>
      <c r="I16" s="42">
        <f t="shared" si="1"/>
        <v>0</v>
      </c>
      <c r="J16" s="42"/>
      <c r="K16" s="35"/>
      <c r="L16" s="35"/>
      <c r="M16" s="35"/>
      <c r="N16" s="35"/>
    </row>
    <row r="17" spans="1:14" x14ac:dyDescent="0.25">
      <c r="A17" s="68" t="s">
        <v>94</v>
      </c>
      <c r="B17" s="69">
        <v>1145000</v>
      </c>
      <c r="C17" s="69">
        <f t="shared" si="2"/>
        <v>1145000</v>
      </c>
      <c r="D17" s="69">
        <f t="shared" si="0"/>
        <v>0</v>
      </c>
      <c r="E17" s="69"/>
      <c r="F17" s="42" t="s">
        <v>155</v>
      </c>
      <c r="G17" s="42">
        <v>2600000</v>
      </c>
      <c r="H17" s="42">
        <v>200000</v>
      </c>
      <c r="I17" s="42">
        <f t="shared" si="1"/>
        <v>2400000</v>
      </c>
      <c r="J17" s="42"/>
      <c r="K17" s="35"/>
      <c r="L17" s="35"/>
      <c r="M17" s="35"/>
      <c r="N17" s="35"/>
    </row>
    <row r="18" spans="1:14" x14ac:dyDescent="0.25">
      <c r="A18" s="68" t="s">
        <v>92</v>
      </c>
      <c r="B18" s="69">
        <v>700000</v>
      </c>
      <c r="C18" s="69">
        <f t="shared" si="2"/>
        <v>700000</v>
      </c>
      <c r="D18" s="69">
        <f t="shared" si="0"/>
        <v>0</v>
      </c>
      <c r="E18" s="69"/>
      <c r="F18" s="42" t="s">
        <v>131</v>
      </c>
      <c r="G18" s="42">
        <v>1800000</v>
      </c>
      <c r="H18" s="42">
        <v>500000</v>
      </c>
      <c r="I18" s="42">
        <f t="shared" si="1"/>
        <v>1300000</v>
      </c>
      <c r="J18" s="42"/>
      <c r="K18" s="35"/>
      <c r="L18" s="35"/>
      <c r="M18" s="35"/>
      <c r="N18" s="35"/>
    </row>
    <row r="19" spans="1:14" x14ac:dyDescent="0.25">
      <c r="A19" s="68" t="s">
        <v>138</v>
      </c>
      <c r="B19" s="69">
        <v>1135000</v>
      </c>
      <c r="C19" s="69">
        <f t="shared" si="2"/>
        <v>1135000</v>
      </c>
      <c r="D19" s="69">
        <f t="shared" si="0"/>
        <v>0</v>
      </c>
      <c r="E19" s="69"/>
      <c r="F19" s="42" t="s">
        <v>148</v>
      </c>
      <c r="G19" s="42">
        <v>1800000</v>
      </c>
      <c r="H19" s="42">
        <v>500000</v>
      </c>
      <c r="I19" s="42">
        <f t="shared" si="1"/>
        <v>1300000</v>
      </c>
      <c r="J19" s="42"/>
      <c r="K19" s="35"/>
      <c r="L19" s="35"/>
      <c r="M19" s="35"/>
      <c r="N19" s="35"/>
    </row>
    <row r="20" spans="1:14" x14ac:dyDescent="0.25">
      <c r="A20" s="68" t="s">
        <v>97</v>
      </c>
      <c r="B20" s="69">
        <v>350000</v>
      </c>
      <c r="C20" s="69">
        <v>350000</v>
      </c>
      <c r="D20" s="69">
        <f t="shared" si="0"/>
        <v>0</v>
      </c>
      <c r="E20" s="69"/>
      <c r="F20" s="42" t="s">
        <v>149</v>
      </c>
      <c r="G20" s="42">
        <v>8500000</v>
      </c>
      <c r="H20" s="42">
        <v>500000</v>
      </c>
      <c r="I20" s="42">
        <f t="shared" si="1"/>
        <v>8000000</v>
      </c>
      <c r="J20" s="42"/>
      <c r="K20" s="35"/>
      <c r="L20" s="35"/>
      <c r="M20" s="35"/>
      <c r="N20" s="35"/>
    </row>
    <row r="21" spans="1:14" x14ac:dyDescent="0.25">
      <c r="A21" s="76" t="s">
        <v>99</v>
      </c>
      <c r="B21" s="42">
        <v>350000</v>
      </c>
      <c r="C21" s="42"/>
      <c r="D21" s="42">
        <f t="shared" si="0"/>
        <v>350000</v>
      </c>
      <c r="E21" s="69"/>
      <c r="F21" s="42"/>
      <c r="G21" s="42"/>
      <c r="H21" s="42"/>
      <c r="I21" s="42">
        <f t="shared" si="1"/>
        <v>0</v>
      </c>
      <c r="J21" s="42"/>
      <c r="K21" s="35"/>
      <c r="L21" s="35"/>
      <c r="M21" s="35"/>
      <c r="N21" s="35"/>
    </row>
    <row r="22" spans="1:14" x14ac:dyDescent="0.25">
      <c r="A22" s="68" t="s">
        <v>98</v>
      </c>
      <c r="B22" s="69">
        <v>350000</v>
      </c>
      <c r="C22" s="69">
        <f>B22</f>
        <v>350000</v>
      </c>
      <c r="D22" s="69">
        <f t="shared" si="0"/>
        <v>0</v>
      </c>
      <c r="E22" s="69"/>
      <c r="F22" s="42" t="s">
        <v>83</v>
      </c>
      <c r="G22" s="42">
        <v>3200000</v>
      </c>
      <c r="H22" s="42"/>
      <c r="I22" s="42"/>
      <c r="J22" s="42"/>
      <c r="K22" s="35"/>
      <c r="L22" s="35"/>
      <c r="M22" s="35"/>
      <c r="N22" s="35"/>
    </row>
    <row r="23" spans="1:14" x14ac:dyDescent="0.25">
      <c r="A23" s="68" t="s">
        <v>150</v>
      </c>
      <c r="B23" s="69">
        <v>350000</v>
      </c>
      <c r="C23" s="69">
        <f>B23</f>
        <v>350000</v>
      </c>
      <c r="D23" s="69">
        <f t="shared" si="0"/>
        <v>0</v>
      </c>
      <c r="E23" s="69"/>
      <c r="F23" s="42" t="s">
        <v>181</v>
      </c>
      <c r="G23" s="42">
        <v>500000</v>
      </c>
      <c r="H23" s="42">
        <v>500000</v>
      </c>
      <c r="I23" s="42">
        <f t="shared" si="1"/>
        <v>0</v>
      </c>
      <c r="J23" s="42"/>
      <c r="K23" s="35"/>
      <c r="L23" s="35"/>
      <c r="M23" s="35"/>
      <c r="N23" s="35"/>
    </row>
    <row r="24" spans="1:14" x14ac:dyDescent="0.25">
      <c r="A24" s="68" t="s">
        <v>161</v>
      </c>
      <c r="B24" s="69">
        <v>1000000</v>
      </c>
      <c r="C24" s="69">
        <v>1000000</v>
      </c>
      <c r="D24" s="69">
        <f t="shared" si="0"/>
        <v>0</v>
      </c>
      <c r="E24" s="69"/>
      <c r="F24" s="42"/>
      <c r="G24" s="42"/>
      <c r="H24" s="42"/>
      <c r="I24" s="42">
        <f t="shared" si="1"/>
        <v>0</v>
      </c>
      <c r="J24" s="42"/>
      <c r="K24" s="35"/>
      <c r="L24" s="35"/>
      <c r="M24" s="35"/>
      <c r="N24" s="35"/>
    </row>
    <row r="25" spans="1:14" x14ac:dyDescent="0.25">
      <c r="A25" s="68" t="s">
        <v>187</v>
      </c>
      <c r="B25" s="69">
        <v>100000</v>
      </c>
      <c r="C25" s="69">
        <f>B25</f>
        <v>100000</v>
      </c>
      <c r="D25" s="69">
        <f t="shared" si="0"/>
        <v>0</v>
      </c>
      <c r="E25" s="69"/>
      <c r="F25" s="42"/>
      <c r="G25" s="42"/>
      <c r="H25" s="42"/>
      <c r="I25" s="42">
        <f t="shared" si="1"/>
        <v>0</v>
      </c>
      <c r="J25" s="42"/>
      <c r="K25" s="35"/>
      <c r="L25" s="35"/>
      <c r="M25" s="35"/>
      <c r="N25" s="35"/>
    </row>
    <row r="26" spans="1:14" x14ac:dyDescent="0.25">
      <c r="A26" s="68"/>
      <c r="B26" s="69"/>
      <c r="C26" s="69"/>
      <c r="D26" s="69">
        <f t="shared" si="0"/>
        <v>0</v>
      </c>
      <c r="E26" s="69"/>
      <c r="F26" s="42" t="s">
        <v>141</v>
      </c>
      <c r="G26" s="42">
        <v>2425000</v>
      </c>
      <c r="H26" s="42">
        <f>G26</f>
        <v>2425000</v>
      </c>
      <c r="I26" s="42">
        <f t="shared" si="1"/>
        <v>0</v>
      </c>
      <c r="J26" s="42"/>
      <c r="K26" s="35"/>
      <c r="L26" s="35"/>
      <c r="M26" s="35"/>
      <c r="N26" s="35"/>
    </row>
    <row r="27" spans="1:14" x14ac:dyDescent="0.25">
      <c r="A27" s="68"/>
      <c r="B27" s="69"/>
      <c r="C27" s="69"/>
      <c r="D27" s="69">
        <f t="shared" si="0"/>
        <v>0</v>
      </c>
      <c r="E27" s="69"/>
      <c r="F27" s="42" t="s">
        <v>142</v>
      </c>
      <c r="G27" s="42">
        <v>1298000</v>
      </c>
      <c r="H27" s="42"/>
      <c r="I27" s="42">
        <f t="shared" si="1"/>
        <v>1298000</v>
      </c>
      <c r="J27" s="42"/>
      <c r="K27" s="35"/>
      <c r="L27" s="35"/>
      <c r="M27" s="35"/>
      <c r="N27" s="35"/>
    </row>
    <row r="28" spans="1:14" x14ac:dyDescent="0.25">
      <c r="A28" s="68"/>
      <c r="B28" s="69"/>
      <c r="C28" s="69"/>
      <c r="D28" s="69">
        <f t="shared" si="0"/>
        <v>0</v>
      </c>
      <c r="E28" s="69"/>
      <c r="F28" s="42" t="s">
        <v>143</v>
      </c>
      <c r="G28" s="42">
        <v>834000</v>
      </c>
      <c r="H28" s="42"/>
      <c r="I28" s="42">
        <f t="shared" si="1"/>
        <v>834000</v>
      </c>
      <c r="J28" s="42"/>
      <c r="K28" s="35"/>
      <c r="L28" s="35"/>
      <c r="M28" s="35"/>
      <c r="N28" s="35"/>
    </row>
    <row r="29" spans="1:14" x14ac:dyDescent="0.25">
      <c r="A29" s="68"/>
      <c r="B29" s="69"/>
      <c r="C29" s="69"/>
      <c r="D29" s="69">
        <f t="shared" si="0"/>
        <v>0</v>
      </c>
      <c r="E29" s="69"/>
      <c r="F29" s="42" t="s">
        <v>144</v>
      </c>
      <c r="G29" s="42">
        <v>1220000</v>
      </c>
      <c r="H29" s="42"/>
      <c r="I29" s="42">
        <f t="shared" si="1"/>
        <v>1220000</v>
      </c>
      <c r="J29" s="42"/>
      <c r="K29" s="35"/>
      <c r="L29" s="35"/>
      <c r="M29" s="35"/>
      <c r="N29" s="35"/>
    </row>
    <row r="30" spans="1:14" x14ac:dyDescent="0.25">
      <c r="A30" s="68"/>
      <c r="B30" s="69"/>
      <c r="C30" s="69"/>
      <c r="D30" s="69">
        <f t="shared" si="0"/>
        <v>0</v>
      </c>
      <c r="E30" s="69"/>
      <c r="F30" s="42" t="s">
        <v>89</v>
      </c>
      <c r="G30" s="42">
        <v>419000</v>
      </c>
      <c r="H30" s="42"/>
      <c r="I30" s="42">
        <f t="shared" si="1"/>
        <v>419000</v>
      </c>
      <c r="J30" s="42"/>
      <c r="K30" s="35"/>
      <c r="L30" s="35"/>
      <c r="M30" s="35"/>
      <c r="N30" s="35"/>
    </row>
    <row r="31" spans="1:14" x14ac:dyDescent="0.25">
      <c r="A31" s="68"/>
      <c r="B31" s="69"/>
      <c r="C31" s="69"/>
      <c r="D31" s="69">
        <f t="shared" si="0"/>
        <v>0</v>
      </c>
      <c r="E31" s="69"/>
      <c r="F31" s="42" t="s">
        <v>75</v>
      </c>
      <c r="G31" s="42">
        <v>330000</v>
      </c>
      <c r="H31" s="42">
        <v>330000</v>
      </c>
      <c r="I31" s="42">
        <f t="shared" si="1"/>
        <v>0</v>
      </c>
      <c r="J31" s="42"/>
      <c r="K31" s="35"/>
      <c r="L31" s="35"/>
      <c r="M31" s="35"/>
      <c r="N31" s="35"/>
    </row>
    <row r="32" spans="1:14" x14ac:dyDescent="0.25">
      <c r="A32" s="68"/>
      <c r="B32" s="69"/>
      <c r="C32" s="69"/>
      <c r="D32" s="69">
        <f t="shared" si="0"/>
        <v>0</v>
      </c>
      <c r="E32" s="69"/>
      <c r="F32" s="42" t="s">
        <v>145</v>
      </c>
      <c r="G32" s="42">
        <v>12000</v>
      </c>
      <c r="H32" s="42"/>
      <c r="I32" s="42">
        <f t="shared" si="1"/>
        <v>12000</v>
      </c>
      <c r="J32" s="42"/>
      <c r="K32" s="35"/>
      <c r="L32" s="35"/>
      <c r="M32" s="35"/>
      <c r="N32" s="35"/>
    </row>
    <row r="33" spans="1:14" x14ac:dyDescent="0.25">
      <c r="A33" s="68"/>
      <c r="B33" s="69"/>
      <c r="C33" s="69"/>
      <c r="D33" s="69">
        <f t="shared" si="0"/>
        <v>0</v>
      </c>
      <c r="E33" s="69"/>
      <c r="F33" s="42" t="s">
        <v>146</v>
      </c>
      <c r="G33" s="42">
        <v>258000</v>
      </c>
      <c r="H33" s="42"/>
      <c r="I33" s="42">
        <f t="shared" si="1"/>
        <v>258000</v>
      </c>
      <c r="J33" s="42"/>
      <c r="K33" s="35"/>
      <c r="L33" s="35"/>
      <c r="M33" s="35"/>
      <c r="N33" s="35"/>
    </row>
    <row r="34" spans="1:14" x14ac:dyDescent="0.25">
      <c r="A34" s="68"/>
      <c r="B34" s="69"/>
      <c r="C34" s="69"/>
      <c r="D34" s="69">
        <f t="shared" si="0"/>
        <v>0</v>
      </c>
      <c r="E34" s="69"/>
      <c r="F34" s="42" t="s">
        <v>147</v>
      </c>
      <c r="G34" s="42">
        <v>680000</v>
      </c>
      <c r="H34" s="42"/>
      <c r="I34" s="42">
        <f t="shared" si="1"/>
        <v>680000</v>
      </c>
      <c r="J34" s="42"/>
      <c r="K34" s="35"/>
      <c r="L34" s="35"/>
      <c r="M34" s="35"/>
      <c r="N34" s="35"/>
    </row>
    <row r="35" spans="1:14" x14ac:dyDescent="0.25">
      <c r="A35" s="68"/>
      <c r="B35" s="69"/>
      <c r="C35" s="69"/>
      <c r="D35" s="69">
        <f t="shared" si="0"/>
        <v>0</v>
      </c>
      <c r="E35" s="69"/>
      <c r="F35" s="42" t="s">
        <v>158</v>
      </c>
      <c r="G35" s="42">
        <v>367000</v>
      </c>
      <c r="H35" s="42">
        <v>85000</v>
      </c>
      <c r="I35" s="42">
        <f t="shared" si="1"/>
        <v>282000</v>
      </c>
      <c r="J35" s="42"/>
      <c r="K35" s="35"/>
      <c r="L35" s="35"/>
      <c r="M35" s="35"/>
      <c r="N35" s="35"/>
    </row>
    <row r="36" spans="1:14" x14ac:dyDescent="0.25">
      <c r="A36" s="68"/>
      <c r="B36" s="69"/>
      <c r="C36" s="69"/>
      <c r="D36" s="69">
        <f t="shared" si="0"/>
        <v>0</v>
      </c>
      <c r="E36" s="69"/>
      <c r="F36" s="42"/>
      <c r="G36" s="42"/>
      <c r="H36" s="42"/>
      <c r="I36" s="42">
        <f t="shared" si="1"/>
        <v>0</v>
      </c>
      <c r="J36" s="42"/>
      <c r="K36" s="35"/>
      <c r="L36" s="35"/>
      <c r="M36" s="35"/>
      <c r="N36" s="35"/>
    </row>
    <row r="37" spans="1:14" x14ac:dyDescent="0.25">
      <c r="A37" s="68"/>
      <c r="B37" s="69"/>
      <c r="C37" s="69"/>
      <c r="D37" s="69">
        <f t="shared" si="0"/>
        <v>0</v>
      </c>
      <c r="E37" s="69"/>
      <c r="F37" s="42"/>
      <c r="G37" s="42"/>
      <c r="H37" s="42"/>
      <c r="I37" s="42">
        <f t="shared" si="1"/>
        <v>0</v>
      </c>
      <c r="J37" s="42"/>
      <c r="K37" s="35"/>
      <c r="L37" s="35"/>
      <c r="M37" s="35"/>
      <c r="N37" s="35"/>
    </row>
    <row r="38" spans="1:14" x14ac:dyDescent="0.25">
      <c r="A38" s="68"/>
      <c r="B38" s="69"/>
      <c r="C38" s="69"/>
      <c r="D38" s="69">
        <f t="shared" si="0"/>
        <v>0</v>
      </c>
      <c r="E38" s="69"/>
      <c r="F38" s="42"/>
      <c r="G38" s="42"/>
      <c r="H38" s="42"/>
      <c r="I38" s="42">
        <f t="shared" si="1"/>
        <v>0</v>
      </c>
      <c r="J38" s="42"/>
      <c r="K38" s="35"/>
      <c r="L38" s="35"/>
      <c r="M38" s="35"/>
      <c r="N38" s="35"/>
    </row>
    <row r="39" spans="1:14" x14ac:dyDescent="0.25">
      <c r="A39" s="68"/>
      <c r="B39" s="69"/>
      <c r="C39" s="69"/>
      <c r="D39" s="69">
        <f t="shared" si="0"/>
        <v>0</v>
      </c>
      <c r="E39" s="69"/>
      <c r="F39" s="42"/>
      <c r="G39" s="42"/>
      <c r="H39" s="42"/>
      <c r="I39" s="42">
        <f t="shared" si="1"/>
        <v>0</v>
      </c>
      <c r="J39" s="42"/>
      <c r="K39" s="35"/>
      <c r="L39" s="35"/>
      <c r="M39" s="35"/>
      <c r="N39" s="35"/>
    </row>
    <row r="40" spans="1:14" x14ac:dyDescent="0.25">
      <c r="A40" s="68"/>
      <c r="B40" s="69"/>
      <c r="C40" s="69"/>
      <c r="D40" s="69">
        <f t="shared" si="0"/>
        <v>0</v>
      </c>
      <c r="E40" s="69"/>
      <c r="F40" s="42"/>
      <c r="G40" s="42"/>
      <c r="H40" s="42"/>
      <c r="I40" s="42">
        <f t="shared" si="1"/>
        <v>0</v>
      </c>
      <c r="J40" s="42"/>
      <c r="K40" s="35"/>
      <c r="L40" s="35"/>
      <c r="M40" s="35"/>
      <c r="N40" s="35"/>
    </row>
    <row r="41" spans="1:14" x14ac:dyDescent="0.25">
      <c r="A41" s="68"/>
      <c r="B41" s="69"/>
      <c r="C41" s="69"/>
      <c r="D41" s="69">
        <f t="shared" si="0"/>
        <v>0</v>
      </c>
      <c r="E41" s="69"/>
      <c r="F41" s="42"/>
      <c r="G41" s="42"/>
      <c r="H41" s="42"/>
      <c r="I41" s="42">
        <f t="shared" si="1"/>
        <v>0</v>
      </c>
      <c r="J41" s="42"/>
      <c r="K41" s="35"/>
      <c r="L41" s="35"/>
      <c r="M41" s="35"/>
      <c r="N41" s="35"/>
    </row>
    <row r="42" spans="1:14" x14ac:dyDescent="0.25">
      <c r="A42" s="68"/>
      <c r="B42" s="69"/>
      <c r="C42" s="69"/>
      <c r="D42" s="69">
        <f t="shared" si="0"/>
        <v>0</v>
      </c>
      <c r="E42" s="69"/>
      <c r="F42" s="42"/>
      <c r="G42" s="42"/>
      <c r="H42" s="42"/>
      <c r="I42" s="42">
        <f t="shared" si="1"/>
        <v>0</v>
      </c>
      <c r="J42" s="42"/>
      <c r="K42" s="35"/>
      <c r="L42" s="35"/>
      <c r="M42" s="35"/>
      <c r="N42" s="35"/>
    </row>
    <row r="43" spans="1:14" x14ac:dyDescent="0.25">
      <c r="A43" s="68"/>
      <c r="B43" s="69"/>
      <c r="C43" s="69"/>
      <c r="D43" s="69">
        <f t="shared" si="0"/>
        <v>0</v>
      </c>
      <c r="E43" s="69"/>
      <c r="F43" s="42"/>
      <c r="G43" s="42"/>
      <c r="H43" s="42"/>
      <c r="I43" s="42">
        <f t="shared" si="1"/>
        <v>0</v>
      </c>
      <c r="J43" s="42"/>
      <c r="K43" s="35"/>
      <c r="L43" s="35"/>
      <c r="M43" s="35"/>
      <c r="N43" s="35"/>
    </row>
    <row r="44" spans="1:14" x14ac:dyDescent="0.25">
      <c r="A44" t="s">
        <v>43</v>
      </c>
      <c r="B44" s="35">
        <f>SUM(B3:B43)</f>
        <v>38669000</v>
      </c>
      <c r="C44" s="35">
        <f>SUM(C3:C43)</f>
        <v>38319000</v>
      </c>
      <c r="D44" s="35">
        <f>SUM(D3:D43)</f>
        <v>350000</v>
      </c>
      <c r="E44" s="35"/>
      <c r="F44" s="35"/>
      <c r="G44" s="35">
        <f>SUM(G3:G43)</f>
        <v>43120000</v>
      </c>
      <c r="H44" s="35">
        <f>SUM(H3:H43)</f>
        <v>21917000</v>
      </c>
      <c r="I44" s="35">
        <f>SUM(I3:I43)</f>
        <v>18003000</v>
      </c>
      <c r="J44" s="35"/>
      <c r="K44" s="35"/>
      <c r="L44" s="35"/>
      <c r="M44" s="35"/>
      <c r="N44" s="35"/>
    </row>
    <row r="47" spans="1:14" x14ac:dyDescent="0.25">
      <c r="D47" s="106">
        <f>D44-I44</f>
        <v>-17653000</v>
      </c>
      <c r="E47" s="107"/>
      <c r="F47" s="107"/>
      <c r="G47" s="107"/>
    </row>
    <row r="48" spans="1:14" x14ac:dyDescent="0.25">
      <c r="D48" s="107"/>
      <c r="E48" s="107"/>
      <c r="F48" s="107"/>
      <c r="G48" s="107"/>
    </row>
  </sheetData>
  <mergeCells count="3">
    <mergeCell ref="A1:E1"/>
    <mergeCell ref="F1:J1"/>
    <mergeCell ref="D47:G48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481B-853A-420C-816B-026A8438C4A2}">
  <dimension ref="A1:CO43"/>
  <sheetViews>
    <sheetView topLeftCell="A13" workbookViewId="0">
      <selection activeCell="Q36" sqref="Q36"/>
    </sheetView>
  </sheetViews>
  <sheetFormatPr defaultRowHeight="15" x14ac:dyDescent="0.25"/>
  <cols>
    <col min="1" max="1" width="6.42578125" style="2" customWidth="1"/>
  </cols>
  <sheetData>
    <row r="1" spans="1:69" x14ac:dyDescent="0.25">
      <c r="A1" s="96" t="s">
        <v>162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69" x14ac:dyDescent="0.25">
      <c r="A2" s="72"/>
      <c r="B2" s="72" t="s">
        <v>163</v>
      </c>
      <c r="C2" s="72" t="s">
        <v>166</v>
      </c>
      <c r="D2" s="72" t="s">
        <v>167</v>
      </c>
      <c r="E2" s="72" t="s">
        <v>168</v>
      </c>
      <c r="F2" s="72" t="s">
        <v>169</v>
      </c>
      <c r="G2" s="72" t="s">
        <v>170</v>
      </c>
      <c r="H2" s="72" t="s">
        <v>171</v>
      </c>
      <c r="I2" s="72" t="s">
        <v>172</v>
      </c>
      <c r="J2" s="72" t="s">
        <v>173</v>
      </c>
      <c r="K2" s="72" t="s">
        <v>174</v>
      </c>
      <c r="L2" s="72" t="s">
        <v>175</v>
      </c>
      <c r="M2" s="72" t="s">
        <v>176</v>
      </c>
      <c r="N2" s="72" t="s">
        <v>177</v>
      </c>
      <c r="O2" s="72" t="s">
        <v>178</v>
      </c>
      <c r="P2" s="72" t="s">
        <v>179</v>
      </c>
      <c r="Q2" s="72" t="s">
        <v>180</v>
      </c>
    </row>
    <row r="3" spans="1:69" x14ac:dyDescent="0.25">
      <c r="A3" s="2">
        <v>1</v>
      </c>
      <c r="B3" s="2">
        <v>5</v>
      </c>
      <c r="C3">
        <v>2</v>
      </c>
      <c r="D3">
        <v>2</v>
      </c>
      <c r="E3">
        <v>1</v>
      </c>
      <c r="F3">
        <v>1</v>
      </c>
      <c r="G3">
        <v>1</v>
      </c>
      <c r="H3">
        <v>0.5</v>
      </c>
      <c r="I3">
        <v>0.5</v>
      </c>
      <c r="J3">
        <v>0.3</v>
      </c>
      <c r="K3">
        <v>1.5</v>
      </c>
      <c r="M3">
        <v>0.2</v>
      </c>
      <c r="N3">
        <v>0.5</v>
      </c>
      <c r="O3">
        <v>0.5</v>
      </c>
      <c r="P3">
        <v>0.5</v>
      </c>
      <c r="Q3">
        <v>12</v>
      </c>
    </row>
    <row r="4" spans="1:69" x14ac:dyDescent="0.25">
      <c r="A4" s="2">
        <v>2</v>
      </c>
      <c r="B4" s="2">
        <v>5</v>
      </c>
      <c r="C4">
        <v>2</v>
      </c>
      <c r="D4">
        <v>2</v>
      </c>
      <c r="E4">
        <v>1</v>
      </c>
      <c r="F4">
        <f>F3</f>
        <v>1</v>
      </c>
      <c r="G4">
        <f t="shared" ref="G4:BQ8" si="0">G3</f>
        <v>1</v>
      </c>
      <c r="H4">
        <f t="shared" si="0"/>
        <v>0.5</v>
      </c>
      <c r="I4">
        <f t="shared" si="0"/>
        <v>0.5</v>
      </c>
      <c r="J4">
        <f t="shared" si="0"/>
        <v>0.3</v>
      </c>
      <c r="K4">
        <f t="shared" si="0"/>
        <v>1.5</v>
      </c>
      <c r="L4">
        <f t="shared" si="0"/>
        <v>0</v>
      </c>
      <c r="M4">
        <f t="shared" si="0"/>
        <v>0.2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12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</row>
    <row r="5" spans="1:69" x14ac:dyDescent="0.25">
      <c r="A5" s="2">
        <v>3</v>
      </c>
      <c r="B5" s="2">
        <v>5</v>
      </c>
      <c r="C5">
        <v>2</v>
      </c>
      <c r="D5">
        <v>2</v>
      </c>
      <c r="E5">
        <v>1</v>
      </c>
      <c r="F5">
        <f t="shared" ref="F5:F32" si="1">F4</f>
        <v>1</v>
      </c>
      <c r="G5">
        <f t="shared" si="0"/>
        <v>1</v>
      </c>
      <c r="H5">
        <f t="shared" si="0"/>
        <v>0.5</v>
      </c>
      <c r="I5">
        <f t="shared" si="0"/>
        <v>0.5</v>
      </c>
      <c r="J5">
        <f t="shared" si="0"/>
        <v>0.3</v>
      </c>
      <c r="K5">
        <f t="shared" si="0"/>
        <v>1.5</v>
      </c>
      <c r="L5">
        <f t="shared" si="0"/>
        <v>0</v>
      </c>
      <c r="M5">
        <f t="shared" si="0"/>
        <v>0.2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12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</row>
    <row r="6" spans="1:69" x14ac:dyDescent="0.25">
      <c r="A6" s="2">
        <v>4</v>
      </c>
      <c r="B6" s="2">
        <v>5</v>
      </c>
      <c r="C6">
        <v>2</v>
      </c>
      <c r="D6">
        <v>2</v>
      </c>
      <c r="E6">
        <v>1</v>
      </c>
      <c r="F6">
        <f t="shared" si="1"/>
        <v>1</v>
      </c>
      <c r="G6">
        <f t="shared" si="0"/>
        <v>1</v>
      </c>
      <c r="H6">
        <f t="shared" si="0"/>
        <v>0.5</v>
      </c>
      <c r="I6">
        <f t="shared" si="0"/>
        <v>0.5</v>
      </c>
      <c r="J6">
        <f t="shared" si="0"/>
        <v>0.3</v>
      </c>
      <c r="K6">
        <f t="shared" si="0"/>
        <v>1.5</v>
      </c>
      <c r="L6">
        <f t="shared" si="0"/>
        <v>0</v>
      </c>
      <c r="M6">
        <f t="shared" si="0"/>
        <v>0.2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12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</row>
    <row r="7" spans="1:69" x14ac:dyDescent="0.25">
      <c r="A7" s="2">
        <v>5</v>
      </c>
      <c r="B7" s="2">
        <v>5</v>
      </c>
      <c r="C7">
        <v>2</v>
      </c>
      <c r="D7">
        <v>2</v>
      </c>
      <c r="E7">
        <v>1</v>
      </c>
      <c r="F7">
        <f t="shared" si="1"/>
        <v>1</v>
      </c>
      <c r="G7">
        <f t="shared" si="0"/>
        <v>1</v>
      </c>
      <c r="H7">
        <f t="shared" si="0"/>
        <v>0.5</v>
      </c>
      <c r="I7">
        <f t="shared" si="0"/>
        <v>0.5</v>
      </c>
      <c r="J7">
        <f t="shared" si="0"/>
        <v>0.3</v>
      </c>
      <c r="K7">
        <f t="shared" si="0"/>
        <v>1.5</v>
      </c>
      <c r="L7">
        <f t="shared" si="0"/>
        <v>0</v>
      </c>
      <c r="M7">
        <f t="shared" si="0"/>
        <v>0.2</v>
      </c>
      <c r="N7">
        <f t="shared" si="0"/>
        <v>0.5</v>
      </c>
      <c r="O7">
        <f t="shared" si="0"/>
        <v>0.5</v>
      </c>
      <c r="P7">
        <f t="shared" si="0"/>
        <v>0.5</v>
      </c>
      <c r="Q7">
        <f t="shared" si="0"/>
        <v>12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</row>
    <row r="8" spans="1:69" x14ac:dyDescent="0.25">
      <c r="A8" s="2">
        <v>6</v>
      </c>
      <c r="B8" s="2">
        <v>5</v>
      </c>
      <c r="C8">
        <v>2</v>
      </c>
      <c r="D8">
        <v>2</v>
      </c>
      <c r="E8">
        <v>1</v>
      </c>
      <c r="F8">
        <f t="shared" si="1"/>
        <v>1</v>
      </c>
      <c r="G8">
        <f t="shared" si="0"/>
        <v>1</v>
      </c>
      <c r="H8">
        <f t="shared" si="0"/>
        <v>0.5</v>
      </c>
      <c r="I8">
        <f t="shared" si="0"/>
        <v>0.5</v>
      </c>
      <c r="J8">
        <f t="shared" ref="J8:J32" si="2">J7</f>
        <v>0.3</v>
      </c>
      <c r="K8">
        <f t="shared" ref="K8:K32" si="3">K7</f>
        <v>1.5</v>
      </c>
      <c r="L8">
        <f t="shared" ref="L8:L32" si="4">L7</f>
        <v>0</v>
      </c>
      <c r="M8">
        <f t="shared" ref="M8:M32" si="5">M7</f>
        <v>0.2</v>
      </c>
      <c r="N8">
        <f t="shared" ref="N8:N32" si="6">N7</f>
        <v>0.5</v>
      </c>
      <c r="O8">
        <f t="shared" ref="O8:O32" si="7">O7</f>
        <v>0.5</v>
      </c>
      <c r="P8">
        <f t="shared" ref="P8:P32" si="8">P7</f>
        <v>0.5</v>
      </c>
      <c r="Q8">
        <f t="shared" ref="Q8:Q32" si="9">Q7</f>
        <v>12</v>
      </c>
      <c r="R8">
        <f t="shared" ref="R8:R32" si="10">R7</f>
        <v>0</v>
      </c>
      <c r="S8">
        <f t="shared" ref="S8:S32" si="11">S7</f>
        <v>0</v>
      </c>
      <c r="T8">
        <f t="shared" ref="T8:T32" si="12">T7</f>
        <v>0</v>
      </c>
      <c r="U8">
        <f t="shared" ref="U8:U32" si="13">U7</f>
        <v>0</v>
      </c>
      <c r="V8">
        <f t="shared" ref="V8:V32" si="14">V7</f>
        <v>0</v>
      </c>
      <c r="W8">
        <f t="shared" ref="W8:W32" si="15">W7</f>
        <v>0</v>
      </c>
      <c r="X8">
        <f t="shared" ref="X8:X32" si="16">X7</f>
        <v>0</v>
      </c>
      <c r="Y8">
        <f t="shared" ref="Y8:Y32" si="17">Y7</f>
        <v>0</v>
      </c>
      <c r="Z8">
        <f t="shared" ref="Z8:Z32" si="18">Z7</f>
        <v>0</v>
      </c>
      <c r="AA8">
        <f t="shared" ref="AA8:AA32" si="19">AA7</f>
        <v>0</v>
      </c>
      <c r="AB8">
        <f t="shared" ref="AB8:AB32" si="20">AB7</f>
        <v>0</v>
      </c>
      <c r="AC8">
        <f t="shared" ref="AC8:AC32" si="21">AC7</f>
        <v>0</v>
      </c>
      <c r="AD8">
        <f t="shared" ref="AD8:AD32" si="22">AD7</f>
        <v>0</v>
      </c>
      <c r="AE8">
        <f t="shared" ref="AE8:AE32" si="23">AE7</f>
        <v>0</v>
      </c>
      <c r="AF8">
        <f t="shared" ref="AF8:AF32" si="24">AF7</f>
        <v>0</v>
      </c>
      <c r="AG8">
        <f t="shared" ref="AG8:AG32" si="25">AG7</f>
        <v>0</v>
      </c>
      <c r="AH8">
        <f t="shared" ref="AH8:AH32" si="26">AH7</f>
        <v>0</v>
      </c>
      <c r="AI8">
        <f t="shared" ref="AI8:AI32" si="27">AI7</f>
        <v>0</v>
      </c>
      <c r="AJ8">
        <f t="shared" ref="AJ8:AJ32" si="28">AJ7</f>
        <v>0</v>
      </c>
      <c r="AK8">
        <f t="shared" ref="AK8:AK32" si="29">AK7</f>
        <v>0</v>
      </c>
      <c r="AL8">
        <f t="shared" ref="AL8:AL32" si="30">AL7</f>
        <v>0</v>
      </c>
      <c r="AM8">
        <f t="shared" ref="AM8:AM32" si="31">AM7</f>
        <v>0</v>
      </c>
      <c r="AN8">
        <f t="shared" ref="AN8:AN32" si="32">AN7</f>
        <v>0</v>
      </c>
      <c r="AO8">
        <f t="shared" ref="AO8:AO32" si="33">AO7</f>
        <v>0</v>
      </c>
      <c r="AP8">
        <f t="shared" ref="AP8:AP32" si="34">AP7</f>
        <v>0</v>
      </c>
      <c r="AQ8">
        <f t="shared" ref="AQ8:AQ32" si="35">AQ7</f>
        <v>0</v>
      </c>
      <c r="AR8">
        <f t="shared" ref="AR8:AR32" si="36">AR7</f>
        <v>0</v>
      </c>
      <c r="AS8">
        <f t="shared" ref="AS8:AS32" si="37">AS7</f>
        <v>0</v>
      </c>
      <c r="AT8">
        <f t="shared" ref="AT8:AT32" si="38">AT7</f>
        <v>0</v>
      </c>
      <c r="AU8">
        <f t="shared" ref="AU8:AU32" si="39">AU7</f>
        <v>0</v>
      </c>
      <c r="AV8">
        <f t="shared" ref="AV8:AV32" si="40">AV7</f>
        <v>0</v>
      </c>
      <c r="AW8">
        <f t="shared" ref="AW8:AW32" si="41">AW7</f>
        <v>0</v>
      </c>
      <c r="AX8">
        <f t="shared" ref="AX8:AX32" si="42">AX7</f>
        <v>0</v>
      </c>
      <c r="AY8">
        <f t="shared" ref="AY8:AY32" si="43">AY7</f>
        <v>0</v>
      </c>
      <c r="AZ8">
        <f t="shared" ref="AZ8:AZ32" si="44">AZ7</f>
        <v>0</v>
      </c>
      <c r="BA8">
        <f t="shared" ref="BA8:BA32" si="45">BA7</f>
        <v>0</v>
      </c>
      <c r="BB8">
        <f t="shared" ref="BB8:BB32" si="46">BB7</f>
        <v>0</v>
      </c>
      <c r="BC8">
        <f t="shared" ref="BC8:BC32" si="47">BC7</f>
        <v>0</v>
      </c>
      <c r="BD8">
        <f t="shared" ref="BD8:BD32" si="48">BD7</f>
        <v>0</v>
      </c>
      <c r="BE8">
        <f t="shared" ref="BE8:BE32" si="49">BE7</f>
        <v>0</v>
      </c>
      <c r="BF8">
        <f t="shared" ref="BF8:BF32" si="50">BF7</f>
        <v>0</v>
      </c>
      <c r="BG8">
        <f t="shared" ref="BG8:BG32" si="51">BG7</f>
        <v>0</v>
      </c>
      <c r="BH8">
        <f t="shared" ref="BH8:BH32" si="52">BH7</f>
        <v>0</v>
      </c>
      <c r="BI8">
        <f t="shared" ref="BI8:BI32" si="53">BI7</f>
        <v>0</v>
      </c>
      <c r="BJ8">
        <f t="shared" ref="BJ8:BJ32" si="54">BJ7</f>
        <v>0</v>
      </c>
      <c r="BK8">
        <f t="shared" ref="BK8:BK32" si="55">BK7</f>
        <v>0</v>
      </c>
      <c r="BL8">
        <f t="shared" ref="BL8:BL32" si="56">BL7</f>
        <v>0</v>
      </c>
      <c r="BM8">
        <f t="shared" ref="BM8:BM32" si="57">BM7</f>
        <v>0</v>
      </c>
      <c r="BN8">
        <f t="shared" ref="BN8:BN32" si="58">BN7</f>
        <v>0</v>
      </c>
      <c r="BO8">
        <f t="shared" ref="BO8:BO32" si="59">BO7</f>
        <v>0</v>
      </c>
      <c r="BP8">
        <f t="shared" ref="BP8:BP32" si="60">BP7</f>
        <v>0</v>
      </c>
      <c r="BQ8">
        <f t="shared" ref="BQ8:BQ32" si="61">BQ7</f>
        <v>0</v>
      </c>
    </row>
    <row r="9" spans="1:69" x14ac:dyDescent="0.25">
      <c r="A9" s="2">
        <v>7</v>
      </c>
      <c r="B9" s="2">
        <v>5</v>
      </c>
      <c r="C9">
        <v>2</v>
      </c>
      <c r="D9">
        <v>2</v>
      </c>
      <c r="E9">
        <v>1</v>
      </c>
      <c r="F9">
        <f t="shared" si="1"/>
        <v>1</v>
      </c>
      <c r="G9">
        <f t="shared" ref="G9:G32" si="62">G8</f>
        <v>1</v>
      </c>
      <c r="H9">
        <f t="shared" ref="H9:H32" si="63">H8</f>
        <v>0.5</v>
      </c>
      <c r="I9">
        <f t="shared" ref="I9:I32" si="64">I8</f>
        <v>0.5</v>
      </c>
      <c r="J9">
        <f t="shared" si="2"/>
        <v>0.3</v>
      </c>
      <c r="K9">
        <f t="shared" si="3"/>
        <v>1.5</v>
      </c>
      <c r="L9">
        <f t="shared" si="4"/>
        <v>0</v>
      </c>
      <c r="M9">
        <f t="shared" si="5"/>
        <v>0.2</v>
      </c>
      <c r="N9">
        <f t="shared" si="6"/>
        <v>0.5</v>
      </c>
      <c r="O9">
        <f t="shared" si="7"/>
        <v>0.5</v>
      </c>
      <c r="P9">
        <f t="shared" si="8"/>
        <v>0.5</v>
      </c>
      <c r="Q9">
        <f t="shared" si="9"/>
        <v>12</v>
      </c>
      <c r="R9">
        <f t="shared" si="10"/>
        <v>0</v>
      </c>
      <c r="S9">
        <f t="shared" si="11"/>
        <v>0</v>
      </c>
      <c r="T9">
        <f t="shared" si="12"/>
        <v>0</v>
      </c>
      <c r="U9">
        <f t="shared" si="13"/>
        <v>0</v>
      </c>
      <c r="V9">
        <f t="shared" si="14"/>
        <v>0</v>
      </c>
      <c r="W9">
        <f t="shared" si="15"/>
        <v>0</v>
      </c>
      <c r="X9">
        <f t="shared" si="16"/>
        <v>0</v>
      </c>
      <c r="Y9">
        <f t="shared" si="17"/>
        <v>0</v>
      </c>
      <c r="Z9">
        <f t="shared" si="18"/>
        <v>0</v>
      </c>
      <c r="AA9">
        <f t="shared" si="19"/>
        <v>0</v>
      </c>
      <c r="AB9">
        <f t="shared" si="20"/>
        <v>0</v>
      </c>
      <c r="AC9">
        <f t="shared" si="21"/>
        <v>0</v>
      </c>
      <c r="AD9">
        <f t="shared" si="22"/>
        <v>0</v>
      </c>
      <c r="AE9">
        <f t="shared" si="23"/>
        <v>0</v>
      </c>
      <c r="AF9">
        <f t="shared" si="24"/>
        <v>0</v>
      </c>
      <c r="AG9">
        <f t="shared" si="25"/>
        <v>0</v>
      </c>
      <c r="AH9">
        <f t="shared" si="26"/>
        <v>0</v>
      </c>
      <c r="AI9">
        <f t="shared" si="27"/>
        <v>0</v>
      </c>
      <c r="AJ9">
        <f t="shared" si="28"/>
        <v>0</v>
      </c>
      <c r="AK9">
        <f t="shared" si="29"/>
        <v>0</v>
      </c>
      <c r="AL9">
        <f t="shared" si="30"/>
        <v>0</v>
      </c>
      <c r="AM9">
        <f t="shared" si="31"/>
        <v>0</v>
      </c>
      <c r="AN9">
        <f t="shared" si="32"/>
        <v>0</v>
      </c>
      <c r="AO9">
        <f t="shared" si="33"/>
        <v>0</v>
      </c>
      <c r="AP9">
        <f t="shared" si="34"/>
        <v>0</v>
      </c>
      <c r="AQ9">
        <f t="shared" si="35"/>
        <v>0</v>
      </c>
      <c r="AR9">
        <f t="shared" si="36"/>
        <v>0</v>
      </c>
      <c r="AS9">
        <f t="shared" si="37"/>
        <v>0</v>
      </c>
      <c r="AT9">
        <f t="shared" si="38"/>
        <v>0</v>
      </c>
      <c r="AU9">
        <f t="shared" si="39"/>
        <v>0</v>
      </c>
      <c r="AV9">
        <f t="shared" si="40"/>
        <v>0</v>
      </c>
      <c r="AW9">
        <f t="shared" si="41"/>
        <v>0</v>
      </c>
      <c r="AX9">
        <f t="shared" si="42"/>
        <v>0</v>
      </c>
      <c r="AY9">
        <f t="shared" si="43"/>
        <v>0</v>
      </c>
      <c r="AZ9">
        <f t="shared" si="44"/>
        <v>0</v>
      </c>
      <c r="BA9">
        <f t="shared" si="45"/>
        <v>0</v>
      </c>
      <c r="BB9">
        <f t="shared" si="46"/>
        <v>0</v>
      </c>
      <c r="BC9">
        <f t="shared" si="47"/>
        <v>0</v>
      </c>
      <c r="BD9">
        <f t="shared" si="48"/>
        <v>0</v>
      </c>
      <c r="BE9">
        <f t="shared" si="49"/>
        <v>0</v>
      </c>
      <c r="BF9">
        <f t="shared" si="50"/>
        <v>0</v>
      </c>
      <c r="BG9">
        <f t="shared" si="51"/>
        <v>0</v>
      </c>
      <c r="BH9">
        <f t="shared" si="52"/>
        <v>0</v>
      </c>
      <c r="BI9">
        <f t="shared" si="53"/>
        <v>0</v>
      </c>
      <c r="BJ9">
        <f t="shared" si="54"/>
        <v>0</v>
      </c>
      <c r="BK9">
        <f t="shared" si="55"/>
        <v>0</v>
      </c>
      <c r="BL9">
        <f t="shared" si="56"/>
        <v>0</v>
      </c>
      <c r="BM9">
        <f t="shared" si="57"/>
        <v>0</v>
      </c>
      <c r="BN9">
        <f t="shared" si="58"/>
        <v>0</v>
      </c>
      <c r="BO9">
        <f t="shared" si="59"/>
        <v>0</v>
      </c>
      <c r="BP9">
        <f t="shared" si="60"/>
        <v>0</v>
      </c>
      <c r="BQ9">
        <f t="shared" si="61"/>
        <v>0</v>
      </c>
    </row>
    <row r="10" spans="1:69" x14ac:dyDescent="0.25">
      <c r="A10" s="2">
        <v>8</v>
      </c>
      <c r="B10" s="2">
        <v>5</v>
      </c>
      <c r="C10">
        <v>2</v>
      </c>
      <c r="D10">
        <v>2</v>
      </c>
      <c r="E10">
        <v>1</v>
      </c>
      <c r="F10">
        <f t="shared" si="1"/>
        <v>1</v>
      </c>
      <c r="G10">
        <f t="shared" si="62"/>
        <v>1</v>
      </c>
      <c r="H10">
        <f t="shared" si="63"/>
        <v>0.5</v>
      </c>
      <c r="I10">
        <f t="shared" si="64"/>
        <v>0.5</v>
      </c>
      <c r="J10">
        <f t="shared" si="2"/>
        <v>0.3</v>
      </c>
      <c r="K10">
        <f t="shared" si="3"/>
        <v>1.5</v>
      </c>
      <c r="L10">
        <f t="shared" si="4"/>
        <v>0</v>
      </c>
      <c r="M10">
        <f t="shared" si="5"/>
        <v>0.2</v>
      </c>
      <c r="N10">
        <f t="shared" si="6"/>
        <v>0.5</v>
      </c>
      <c r="O10">
        <f t="shared" si="7"/>
        <v>0.5</v>
      </c>
      <c r="P10">
        <f t="shared" si="8"/>
        <v>0.5</v>
      </c>
      <c r="Q10">
        <f t="shared" si="9"/>
        <v>12</v>
      </c>
      <c r="R10">
        <f t="shared" si="10"/>
        <v>0</v>
      </c>
      <c r="S10">
        <f t="shared" si="11"/>
        <v>0</v>
      </c>
      <c r="T10">
        <f t="shared" si="12"/>
        <v>0</v>
      </c>
      <c r="U10">
        <f t="shared" si="13"/>
        <v>0</v>
      </c>
      <c r="V10">
        <f t="shared" si="14"/>
        <v>0</v>
      </c>
      <c r="W10">
        <f t="shared" si="15"/>
        <v>0</v>
      </c>
      <c r="X10">
        <f t="shared" si="16"/>
        <v>0</v>
      </c>
      <c r="Y10">
        <f t="shared" si="17"/>
        <v>0</v>
      </c>
      <c r="Z10">
        <f t="shared" si="18"/>
        <v>0</v>
      </c>
      <c r="AA10">
        <f t="shared" si="19"/>
        <v>0</v>
      </c>
      <c r="AB10">
        <f t="shared" si="20"/>
        <v>0</v>
      </c>
      <c r="AC10">
        <f t="shared" si="21"/>
        <v>0</v>
      </c>
      <c r="AD10">
        <f t="shared" si="22"/>
        <v>0</v>
      </c>
      <c r="AE10">
        <f t="shared" si="23"/>
        <v>0</v>
      </c>
      <c r="AF10">
        <f t="shared" si="24"/>
        <v>0</v>
      </c>
      <c r="AG10">
        <f t="shared" si="25"/>
        <v>0</v>
      </c>
      <c r="AH10">
        <f t="shared" si="26"/>
        <v>0</v>
      </c>
      <c r="AI10">
        <f t="shared" si="27"/>
        <v>0</v>
      </c>
      <c r="AJ10">
        <f t="shared" si="28"/>
        <v>0</v>
      </c>
      <c r="AK10">
        <f t="shared" si="29"/>
        <v>0</v>
      </c>
      <c r="AL10">
        <f t="shared" si="30"/>
        <v>0</v>
      </c>
      <c r="AM10">
        <f t="shared" si="31"/>
        <v>0</v>
      </c>
      <c r="AN10">
        <f t="shared" si="32"/>
        <v>0</v>
      </c>
      <c r="AO10">
        <f t="shared" si="33"/>
        <v>0</v>
      </c>
      <c r="AP10">
        <f t="shared" si="34"/>
        <v>0</v>
      </c>
      <c r="AQ10">
        <f t="shared" si="35"/>
        <v>0</v>
      </c>
      <c r="AR10">
        <f t="shared" si="36"/>
        <v>0</v>
      </c>
      <c r="AS10">
        <f t="shared" si="37"/>
        <v>0</v>
      </c>
      <c r="AT10">
        <f t="shared" si="38"/>
        <v>0</v>
      </c>
      <c r="AU10">
        <f t="shared" si="39"/>
        <v>0</v>
      </c>
      <c r="AV10">
        <f t="shared" si="40"/>
        <v>0</v>
      </c>
      <c r="AW10">
        <f t="shared" si="41"/>
        <v>0</v>
      </c>
      <c r="AX10">
        <f t="shared" si="42"/>
        <v>0</v>
      </c>
      <c r="AY10">
        <f t="shared" si="43"/>
        <v>0</v>
      </c>
      <c r="AZ10">
        <f t="shared" si="44"/>
        <v>0</v>
      </c>
      <c r="BA10">
        <f t="shared" si="45"/>
        <v>0</v>
      </c>
      <c r="BB10">
        <f t="shared" si="46"/>
        <v>0</v>
      </c>
      <c r="BC10">
        <f t="shared" si="47"/>
        <v>0</v>
      </c>
      <c r="BD10">
        <f t="shared" si="48"/>
        <v>0</v>
      </c>
      <c r="BE10">
        <f t="shared" si="49"/>
        <v>0</v>
      </c>
      <c r="BF10">
        <f t="shared" si="50"/>
        <v>0</v>
      </c>
      <c r="BG10">
        <f t="shared" si="51"/>
        <v>0</v>
      </c>
      <c r="BH10">
        <f t="shared" si="52"/>
        <v>0</v>
      </c>
      <c r="BI10">
        <f t="shared" si="53"/>
        <v>0</v>
      </c>
      <c r="BJ10">
        <f t="shared" si="54"/>
        <v>0</v>
      </c>
      <c r="BK10">
        <f t="shared" si="55"/>
        <v>0</v>
      </c>
      <c r="BL10">
        <f t="shared" si="56"/>
        <v>0</v>
      </c>
      <c r="BM10">
        <f t="shared" si="57"/>
        <v>0</v>
      </c>
      <c r="BN10">
        <f t="shared" si="58"/>
        <v>0</v>
      </c>
      <c r="BO10">
        <f t="shared" si="59"/>
        <v>0</v>
      </c>
      <c r="BP10">
        <f t="shared" si="60"/>
        <v>0</v>
      </c>
      <c r="BQ10">
        <f t="shared" si="61"/>
        <v>0</v>
      </c>
    </row>
    <row r="11" spans="1:69" x14ac:dyDescent="0.25">
      <c r="A11" s="2">
        <v>9</v>
      </c>
      <c r="B11" s="2">
        <v>5</v>
      </c>
      <c r="C11">
        <v>2</v>
      </c>
      <c r="D11">
        <v>2</v>
      </c>
      <c r="E11">
        <v>1</v>
      </c>
      <c r="F11">
        <f t="shared" si="1"/>
        <v>1</v>
      </c>
      <c r="G11">
        <f t="shared" si="62"/>
        <v>1</v>
      </c>
      <c r="H11">
        <f t="shared" si="63"/>
        <v>0.5</v>
      </c>
      <c r="I11">
        <f t="shared" si="64"/>
        <v>0.5</v>
      </c>
      <c r="J11">
        <f t="shared" si="2"/>
        <v>0.3</v>
      </c>
      <c r="K11">
        <f t="shared" si="3"/>
        <v>1.5</v>
      </c>
      <c r="L11">
        <f t="shared" si="4"/>
        <v>0</v>
      </c>
      <c r="M11">
        <f t="shared" si="5"/>
        <v>0.2</v>
      </c>
      <c r="N11">
        <f t="shared" si="6"/>
        <v>0.5</v>
      </c>
      <c r="O11">
        <f t="shared" si="7"/>
        <v>0.5</v>
      </c>
      <c r="P11">
        <f t="shared" si="8"/>
        <v>0.5</v>
      </c>
      <c r="Q11">
        <f t="shared" si="9"/>
        <v>12</v>
      </c>
      <c r="R11">
        <f t="shared" si="10"/>
        <v>0</v>
      </c>
      <c r="S11">
        <f t="shared" si="11"/>
        <v>0</v>
      </c>
      <c r="T11">
        <f t="shared" si="12"/>
        <v>0</v>
      </c>
      <c r="U11">
        <f t="shared" si="13"/>
        <v>0</v>
      </c>
      <c r="V11">
        <f t="shared" si="14"/>
        <v>0</v>
      </c>
      <c r="W11">
        <f t="shared" si="15"/>
        <v>0</v>
      </c>
      <c r="X11">
        <f t="shared" si="16"/>
        <v>0</v>
      </c>
      <c r="Y11">
        <f t="shared" si="17"/>
        <v>0</v>
      </c>
      <c r="Z11">
        <f t="shared" si="18"/>
        <v>0</v>
      </c>
      <c r="AA11">
        <f t="shared" si="19"/>
        <v>0</v>
      </c>
      <c r="AB11">
        <f t="shared" si="20"/>
        <v>0</v>
      </c>
      <c r="AC11">
        <f t="shared" si="21"/>
        <v>0</v>
      </c>
      <c r="AD11">
        <f t="shared" si="22"/>
        <v>0</v>
      </c>
      <c r="AE11">
        <f t="shared" si="23"/>
        <v>0</v>
      </c>
      <c r="AF11">
        <f t="shared" si="24"/>
        <v>0</v>
      </c>
      <c r="AG11">
        <f t="shared" si="25"/>
        <v>0</v>
      </c>
      <c r="AH11">
        <f t="shared" si="26"/>
        <v>0</v>
      </c>
      <c r="AI11">
        <f t="shared" si="27"/>
        <v>0</v>
      </c>
      <c r="AJ11">
        <f t="shared" si="28"/>
        <v>0</v>
      </c>
      <c r="AK11">
        <f t="shared" si="29"/>
        <v>0</v>
      </c>
      <c r="AL11">
        <f t="shared" si="30"/>
        <v>0</v>
      </c>
      <c r="AM11">
        <f t="shared" si="31"/>
        <v>0</v>
      </c>
      <c r="AN11">
        <f t="shared" si="32"/>
        <v>0</v>
      </c>
      <c r="AO11">
        <f t="shared" si="33"/>
        <v>0</v>
      </c>
      <c r="AP11">
        <f t="shared" si="34"/>
        <v>0</v>
      </c>
      <c r="AQ11">
        <f t="shared" si="35"/>
        <v>0</v>
      </c>
      <c r="AR11">
        <f t="shared" si="36"/>
        <v>0</v>
      </c>
      <c r="AS11">
        <f t="shared" si="37"/>
        <v>0</v>
      </c>
      <c r="AT11">
        <f t="shared" si="38"/>
        <v>0</v>
      </c>
      <c r="AU11">
        <f t="shared" si="39"/>
        <v>0</v>
      </c>
      <c r="AV11">
        <f t="shared" si="40"/>
        <v>0</v>
      </c>
      <c r="AW11">
        <f t="shared" si="41"/>
        <v>0</v>
      </c>
      <c r="AX11">
        <f t="shared" si="42"/>
        <v>0</v>
      </c>
      <c r="AY11">
        <f t="shared" si="43"/>
        <v>0</v>
      </c>
      <c r="AZ11">
        <f t="shared" si="44"/>
        <v>0</v>
      </c>
      <c r="BA11">
        <f t="shared" si="45"/>
        <v>0</v>
      </c>
      <c r="BB11">
        <f t="shared" si="46"/>
        <v>0</v>
      </c>
      <c r="BC11">
        <f t="shared" si="47"/>
        <v>0</v>
      </c>
      <c r="BD11">
        <f t="shared" si="48"/>
        <v>0</v>
      </c>
      <c r="BE11">
        <f t="shared" si="49"/>
        <v>0</v>
      </c>
      <c r="BF11">
        <f t="shared" si="50"/>
        <v>0</v>
      </c>
      <c r="BG11">
        <f t="shared" si="51"/>
        <v>0</v>
      </c>
      <c r="BH11">
        <f t="shared" si="52"/>
        <v>0</v>
      </c>
      <c r="BI11">
        <f t="shared" si="53"/>
        <v>0</v>
      </c>
      <c r="BJ11">
        <f t="shared" si="54"/>
        <v>0</v>
      </c>
      <c r="BK11">
        <f t="shared" si="55"/>
        <v>0</v>
      </c>
      <c r="BL11">
        <f t="shared" si="56"/>
        <v>0</v>
      </c>
      <c r="BM11">
        <f t="shared" si="57"/>
        <v>0</v>
      </c>
      <c r="BN11">
        <f t="shared" si="58"/>
        <v>0</v>
      </c>
      <c r="BO11">
        <f t="shared" si="59"/>
        <v>0</v>
      </c>
      <c r="BP11">
        <f t="shared" si="60"/>
        <v>0</v>
      </c>
      <c r="BQ11">
        <f t="shared" si="61"/>
        <v>0</v>
      </c>
    </row>
    <row r="12" spans="1:69" x14ac:dyDescent="0.25">
      <c r="A12" s="2">
        <v>10</v>
      </c>
      <c r="B12" s="2">
        <v>5</v>
      </c>
      <c r="C12">
        <v>2</v>
      </c>
      <c r="D12">
        <v>2</v>
      </c>
      <c r="E12">
        <v>1</v>
      </c>
      <c r="F12">
        <f t="shared" si="1"/>
        <v>1</v>
      </c>
      <c r="G12">
        <f t="shared" si="62"/>
        <v>1</v>
      </c>
      <c r="H12">
        <f t="shared" si="63"/>
        <v>0.5</v>
      </c>
      <c r="I12">
        <f t="shared" si="64"/>
        <v>0.5</v>
      </c>
      <c r="J12">
        <f t="shared" si="2"/>
        <v>0.3</v>
      </c>
      <c r="K12">
        <f t="shared" si="3"/>
        <v>1.5</v>
      </c>
      <c r="L12">
        <f t="shared" si="4"/>
        <v>0</v>
      </c>
      <c r="M12">
        <f t="shared" si="5"/>
        <v>0.2</v>
      </c>
      <c r="N12">
        <f t="shared" si="6"/>
        <v>0.5</v>
      </c>
      <c r="O12">
        <f t="shared" si="7"/>
        <v>0.5</v>
      </c>
      <c r="P12">
        <f t="shared" si="8"/>
        <v>0.5</v>
      </c>
      <c r="Q12">
        <f t="shared" si="9"/>
        <v>12</v>
      </c>
      <c r="R12">
        <f t="shared" si="10"/>
        <v>0</v>
      </c>
      <c r="S12">
        <f t="shared" si="11"/>
        <v>0</v>
      </c>
      <c r="T12">
        <f t="shared" si="12"/>
        <v>0</v>
      </c>
      <c r="U12">
        <f t="shared" si="13"/>
        <v>0</v>
      </c>
      <c r="V12">
        <f t="shared" si="14"/>
        <v>0</v>
      </c>
      <c r="W12">
        <f t="shared" si="15"/>
        <v>0</v>
      </c>
      <c r="X12">
        <f t="shared" si="16"/>
        <v>0</v>
      </c>
      <c r="Y12">
        <f t="shared" si="17"/>
        <v>0</v>
      </c>
      <c r="Z12">
        <f t="shared" si="18"/>
        <v>0</v>
      </c>
      <c r="AA12">
        <f t="shared" si="19"/>
        <v>0</v>
      </c>
      <c r="AB12">
        <f t="shared" si="20"/>
        <v>0</v>
      </c>
      <c r="AC12">
        <f t="shared" si="21"/>
        <v>0</v>
      </c>
      <c r="AD12">
        <f t="shared" si="22"/>
        <v>0</v>
      </c>
      <c r="AE12">
        <f t="shared" si="23"/>
        <v>0</v>
      </c>
      <c r="AF12">
        <f t="shared" si="24"/>
        <v>0</v>
      </c>
      <c r="AG12">
        <f t="shared" si="25"/>
        <v>0</v>
      </c>
      <c r="AH12">
        <f t="shared" si="26"/>
        <v>0</v>
      </c>
      <c r="AI12">
        <f t="shared" si="27"/>
        <v>0</v>
      </c>
      <c r="AJ12">
        <f t="shared" si="28"/>
        <v>0</v>
      </c>
      <c r="AK12">
        <f t="shared" si="29"/>
        <v>0</v>
      </c>
      <c r="AL12">
        <f t="shared" si="30"/>
        <v>0</v>
      </c>
      <c r="AM12">
        <f t="shared" si="31"/>
        <v>0</v>
      </c>
      <c r="AN12">
        <f t="shared" si="32"/>
        <v>0</v>
      </c>
      <c r="AO12">
        <f t="shared" si="33"/>
        <v>0</v>
      </c>
      <c r="AP12">
        <f t="shared" si="34"/>
        <v>0</v>
      </c>
      <c r="AQ12">
        <f t="shared" si="35"/>
        <v>0</v>
      </c>
      <c r="AR12">
        <f t="shared" si="36"/>
        <v>0</v>
      </c>
      <c r="AS12">
        <f t="shared" si="37"/>
        <v>0</v>
      </c>
      <c r="AT12">
        <f t="shared" si="38"/>
        <v>0</v>
      </c>
      <c r="AU12">
        <f t="shared" si="39"/>
        <v>0</v>
      </c>
      <c r="AV12">
        <f t="shared" si="40"/>
        <v>0</v>
      </c>
      <c r="AW12">
        <f t="shared" si="41"/>
        <v>0</v>
      </c>
      <c r="AX12">
        <f t="shared" si="42"/>
        <v>0</v>
      </c>
      <c r="AY12">
        <f t="shared" si="43"/>
        <v>0</v>
      </c>
      <c r="AZ12">
        <f t="shared" si="44"/>
        <v>0</v>
      </c>
      <c r="BA12">
        <f t="shared" si="45"/>
        <v>0</v>
      </c>
      <c r="BB12">
        <f t="shared" si="46"/>
        <v>0</v>
      </c>
      <c r="BC12">
        <f t="shared" si="47"/>
        <v>0</v>
      </c>
      <c r="BD12">
        <f t="shared" si="48"/>
        <v>0</v>
      </c>
      <c r="BE12">
        <f t="shared" si="49"/>
        <v>0</v>
      </c>
      <c r="BF12">
        <f t="shared" si="50"/>
        <v>0</v>
      </c>
      <c r="BG12">
        <f t="shared" si="51"/>
        <v>0</v>
      </c>
      <c r="BH12">
        <f t="shared" si="52"/>
        <v>0</v>
      </c>
      <c r="BI12">
        <f t="shared" si="53"/>
        <v>0</v>
      </c>
      <c r="BJ12">
        <f t="shared" si="54"/>
        <v>0</v>
      </c>
      <c r="BK12">
        <f t="shared" si="55"/>
        <v>0</v>
      </c>
      <c r="BL12">
        <f t="shared" si="56"/>
        <v>0</v>
      </c>
      <c r="BM12">
        <f t="shared" si="57"/>
        <v>0</v>
      </c>
      <c r="BN12">
        <f t="shared" si="58"/>
        <v>0</v>
      </c>
      <c r="BO12">
        <f t="shared" si="59"/>
        <v>0</v>
      </c>
      <c r="BP12">
        <f t="shared" si="60"/>
        <v>0</v>
      </c>
      <c r="BQ12">
        <f t="shared" si="61"/>
        <v>0</v>
      </c>
    </row>
    <row r="13" spans="1:69" x14ac:dyDescent="0.25">
      <c r="A13" s="2">
        <v>11</v>
      </c>
      <c r="B13" s="2">
        <v>5</v>
      </c>
      <c r="C13">
        <v>2</v>
      </c>
      <c r="D13">
        <v>2</v>
      </c>
      <c r="E13">
        <v>1</v>
      </c>
      <c r="F13">
        <f t="shared" si="1"/>
        <v>1</v>
      </c>
      <c r="G13">
        <f t="shared" si="62"/>
        <v>1</v>
      </c>
      <c r="H13">
        <f t="shared" si="63"/>
        <v>0.5</v>
      </c>
      <c r="I13">
        <f t="shared" si="64"/>
        <v>0.5</v>
      </c>
      <c r="J13">
        <f t="shared" si="2"/>
        <v>0.3</v>
      </c>
      <c r="K13">
        <f t="shared" si="3"/>
        <v>1.5</v>
      </c>
      <c r="L13">
        <f t="shared" si="4"/>
        <v>0</v>
      </c>
      <c r="M13">
        <f t="shared" si="5"/>
        <v>0.2</v>
      </c>
      <c r="N13">
        <f t="shared" si="6"/>
        <v>0.5</v>
      </c>
      <c r="O13">
        <f t="shared" si="7"/>
        <v>0.5</v>
      </c>
      <c r="P13">
        <f t="shared" si="8"/>
        <v>0.5</v>
      </c>
      <c r="Q13">
        <f t="shared" si="9"/>
        <v>12</v>
      </c>
      <c r="R13">
        <f t="shared" si="10"/>
        <v>0</v>
      </c>
      <c r="S13">
        <f t="shared" si="11"/>
        <v>0</v>
      </c>
      <c r="T13">
        <f t="shared" si="12"/>
        <v>0</v>
      </c>
      <c r="U13">
        <f t="shared" si="13"/>
        <v>0</v>
      </c>
      <c r="V13">
        <f t="shared" si="14"/>
        <v>0</v>
      </c>
      <c r="W13">
        <f t="shared" si="15"/>
        <v>0</v>
      </c>
      <c r="X13">
        <f t="shared" si="16"/>
        <v>0</v>
      </c>
      <c r="Y13">
        <f t="shared" si="17"/>
        <v>0</v>
      </c>
      <c r="Z13">
        <f t="shared" si="18"/>
        <v>0</v>
      </c>
      <c r="AA13">
        <f t="shared" si="19"/>
        <v>0</v>
      </c>
      <c r="AB13">
        <f t="shared" si="20"/>
        <v>0</v>
      </c>
      <c r="AC13">
        <f t="shared" si="21"/>
        <v>0</v>
      </c>
      <c r="AD13">
        <f t="shared" si="22"/>
        <v>0</v>
      </c>
      <c r="AE13">
        <f t="shared" si="23"/>
        <v>0</v>
      </c>
      <c r="AF13">
        <f t="shared" si="24"/>
        <v>0</v>
      </c>
      <c r="AG13">
        <f t="shared" si="25"/>
        <v>0</v>
      </c>
      <c r="AH13">
        <f t="shared" si="26"/>
        <v>0</v>
      </c>
      <c r="AI13">
        <f t="shared" si="27"/>
        <v>0</v>
      </c>
      <c r="AJ13">
        <f t="shared" si="28"/>
        <v>0</v>
      </c>
      <c r="AK13">
        <f t="shared" si="29"/>
        <v>0</v>
      </c>
      <c r="AL13">
        <f t="shared" si="30"/>
        <v>0</v>
      </c>
      <c r="AM13">
        <f t="shared" si="31"/>
        <v>0</v>
      </c>
      <c r="AN13">
        <f t="shared" si="32"/>
        <v>0</v>
      </c>
      <c r="AO13">
        <f t="shared" si="33"/>
        <v>0</v>
      </c>
      <c r="AP13">
        <f t="shared" si="34"/>
        <v>0</v>
      </c>
      <c r="AQ13">
        <f t="shared" si="35"/>
        <v>0</v>
      </c>
      <c r="AR13">
        <f t="shared" si="36"/>
        <v>0</v>
      </c>
      <c r="AS13">
        <f t="shared" si="37"/>
        <v>0</v>
      </c>
      <c r="AT13">
        <f t="shared" si="38"/>
        <v>0</v>
      </c>
      <c r="AU13">
        <f t="shared" si="39"/>
        <v>0</v>
      </c>
      <c r="AV13">
        <f t="shared" si="40"/>
        <v>0</v>
      </c>
      <c r="AW13">
        <f t="shared" si="41"/>
        <v>0</v>
      </c>
      <c r="AX13">
        <f t="shared" si="42"/>
        <v>0</v>
      </c>
      <c r="AY13">
        <f t="shared" si="43"/>
        <v>0</v>
      </c>
      <c r="AZ13">
        <f t="shared" si="44"/>
        <v>0</v>
      </c>
      <c r="BA13">
        <f t="shared" si="45"/>
        <v>0</v>
      </c>
      <c r="BB13">
        <f t="shared" si="46"/>
        <v>0</v>
      </c>
      <c r="BC13">
        <f t="shared" si="47"/>
        <v>0</v>
      </c>
      <c r="BD13">
        <f t="shared" si="48"/>
        <v>0</v>
      </c>
      <c r="BE13">
        <f t="shared" si="49"/>
        <v>0</v>
      </c>
      <c r="BF13">
        <f t="shared" si="50"/>
        <v>0</v>
      </c>
      <c r="BG13">
        <f t="shared" si="51"/>
        <v>0</v>
      </c>
      <c r="BH13">
        <f t="shared" si="52"/>
        <v>0</v>
      </c>
      <c r="BI13">
        <f t="shared" si="53"/>
        <v>0</v>
      </c>
      <c r="BJ13">
        <f t="shared" si="54"/>
        <v>0</v>
      </c>
      <c r="BK13">
        <f t="shared" si="55"/>
        <v>0</v>
      </c>
      <c r="BL13">
        <f t="shared" si="56"/>
        <v>0</v>
      </c>
      <c r="BM13">
        <f t="shared" si="57"/>
        <v>0</v>
      </c>
      <c r="BN13">
        <f t="shared" si="58"/>
        <v>0</v>
      </c>
      <c r="BO13">
        <f t="shared" si="59"/>
        <v>0</v>
      </c>
      <c r="BP13">
        <f t="shared" si="60"/>
        <v>0</v>
      </c>
      <c r="BQ13">
        <f t="shared" si="61"/>
        <v>0</v>
      </c>
    </row>
    <row r="14" spans="1:69" x14ac:dyDescent="0.25">
      <c r="A14" s="2">
        <v>12</v>
      </c>
      <c r="B14" s="2">
        <v>5</v>
      </c>
      <c r="C14">
        <v>2</v>
      </c>
      <c r="D14">
        <v>2</v>
      </c>
      <c r="E14">
        <v>1</v>
      </c>
      <c r="F14">
        <f t="shared" si="1"/>
        <v>1</v>
      </c>
      <c r="G14">
        <f t="shared" si="62"/>
        <v>1</v>
      </c>
      <c r="H14">
        <f t="shared" si="63"/>
        <v>0.5</v>
      </c>
      <c r="I14">
        <f t="shared" si="64"/>
        <v>0.5</v>
      </c>
      <c r="J14">
        <f t="shared" si="2"/>
        <v>0.3</v>
      </c>
      <c r="K14">
        <f t="shared" si="3"/>
        <v>1.5</v>
      </c>
      <c r="L14">
        <f t="shared" si="4"/>
        <v>0</v>
      </c>
      <c r="M14">
        <f t="shared" si="5"/>
        <v>0.2</v>
      </c>
      <c r="N14">
        <f t="shared" si="6"/>
        <v>0.5</v>
      </c>
      <c r="O14">
        <f t="shared" si="7"/>
        <v>0.5</v>
      </c>
      <c r="P14">
        <f t="shared" si="8"/>
        <v>0.5</v>
      </c>
      <c r="Q14">
        <f t="shared" si="9"/>
        <v>12</v>
      </c>
      <c r="R14">
        <f t="shared" si="10"/>
        <v>0</v>
      </c>
      <c r="S14">
        <f t="shared" si="11"/>
        <v>0</v>
      </c>
      <c r="T14">
        <f t="shared" si="12"/>
        <v>0</v>
      </c>
      <c r="U14">
        <f t="shared" si="13"/>
        <v>0</v>
      </c>
      <c r="V14">
        <f t="shared" si="14"/>
        <v>0</v>
      </c>
      <c r="W14">
        <f t="shared" si="15"/>
        <v>0</v>
      </c>
      <c r="X14">
        <f t="shared" si="16"/>
        <v>0</v>
      </c>
      <c r="Y14">
        <f t="shared" si="17"/>
        <v>0</v>
      </c>
      <c r="Z14">
        <f t="shared" si="18"/>
        <v>0</v>
      </c>
      <c r="AA14">
        <f t="shared" si="19"/>
        <v>0</v>
      </c>
      <c r="AB14">
        <f t="shared" si="20"/>
        <v>0</v>
      </c>
      <c r="AC14">
        <f t="shared" si="21"/>
        <v>0</v>
      </c>
      <c r="AD14">
        <f t="shared" si="22"/>
        <v>0</v>
      </c>
      <c r="AE14">
        <f t="shared" si="23"/>
        <v>0</v>
      </c>
      <c r="AF14">
        <f t="shared" si="24"/>
        <v>0</v>
      </c>
      <c r="AG14">
        <f t="shared" si="25"/>
        <v>0</v>
      </c>
      <c r="AH14">
        <f t="shared" si="26"/>
        <v>0</v>
      </c>
      <c r="AI14">
        <f t="shared" si="27"/>
        <v>0</v>
      </c>
      <c r="AJ14">
        <f t="shared" si="28"/>
        <v>0</v>
      </c>
      <c r="AK14">
        <f t="shared" si="29"/>
        <v>0</v>
      </c>
      <c r="AL14">
        <f t="shared" si="30"/>
        <v>0</v>
      </c>
      <c r="AM14">
        <f t="shared" si="31"/>
        <v>0</v>
      </c>
      <c r="AN14">
        <f t="shared" si="32"/>
        <v>0</v>
      </c>
      <c r="AO14">
        <f t="shared" si="33"/>
        <v>0</v>
      </c>
      <c r="AP14">
        <f t="shared" si="34"/>
        <v>0</v>
      </c>
      <c r="AQ14">
        <f t="shared" si="35"/>
        <v>0</v>
      </c>
      <c r="AR14">
        <f t="shared" si="36"/>
        <v>0</v>
      </c>
      <c r="AS14">
        <f t="shared" si="37"/>
        <v>0</v>
      </c>
      <c r="AT14">
        <f t="shared" si="38"/>
        <v>0</v>
      </c>
      <c r="AU14">
        <f t="shared" si="39"/>
        <v>0</v>
      </c>
      <c r="AV14">
        <f t="shared" si="40"/>
        <v>0</v>
      </c>
      <c r="AW14">
        <f t="shared" si="41"/>
        <v>0</v>
      </c>
      <c r="AX14">
        <f t="shared" si="42"/>
        <v>0</v>
      </c>
      <c r="AY14">
        <f t="shared" si="43"/>
        <v>0</v>
      </c>
      <c r="AZ14">
        <f t="shared" si="44"/>
        <v>0</v>
      </c>
      <c r="BA14">
        <f t="shared" si="45"/>
        <v>0</v>
      </c>
      <c r="BB14">
        <f t="shared" si="46"/>
        <v>0</v>
      </c>
      <c r="BC14">
        <f t="shared" si="47"/>
        <v>0</v>
      </c>
      <c r="BD14">
        <f t="shared" si="48"/>
        <v>0</v>
      </c>
      <c r="BE14">
        <f t="shared" si="49"/>
        <v>0</v>
      </c>
      <c r="BF14">
        <f t="shared" si="50"/>
        <v>0</v>
      </c>
      <c r="BG14">
        <f t="shared" si="51"/>
        <v>0</v>
      </c>
      <c r="BH14">
        <f t="shared" si="52"/>
        <v>0</v>
      </c>
      <c r="BI14">
        <f t="shared" si="53"/>
        <v>0</v>
      </c>
      <c r="BJ14">
        <f t="shared" si="54"/>
        <v>0</v>
      </c>
      <c r="BK14">
        <f t="shared" si="55"/>
        <v>0</v>
      </c>
      <c r="BL14">
        <f t="shared" si="56"/>
        <v>0</v>
      </c>
      <c r="BM14">
        <f t="shared" si="57"/>
        <v>0</v>
      </c>
      <c r="BN14">
        <f t="shared" si="58"/>
        <v>0</v>
      </c>
      <c r="BO14">
        <f t="shared" si="59"/>
        <v>0</v>
      </c>
      <c r="BP14">
        <f t="shared" si="60"/>
        <v>0</v>
      </c>
      <c r="BQ14">
        <f t="shared" si="61"/>
        <v>0</v>
      </c>
    </row>
    <row r="15" spans="1:69" x14ac:dyDescent="0.25">
      <c r="A15" s="2">
        <v>13</v>
      </c>
      <c r="B15" s="2">
        <v>5</v>
      </c>
      <c r="C15">
        <v>2</v>
      </c>
      <c r="D15">
        <v>2</v>
      </c>
      <c r="E15">
        <v>1</v>
      </c>
      <c r="F15">
        <f t="shared" si="1"/>
        <v>1</v>
      </c>
      <c r="G15">
        <f t="shared" si="62"/>
        <v>1</v>
      </c>
      <c r="H15">
        <f t="shared" si="63"/>
        <v>0.5</v>
      </c>
      <c r="I15">
        <f t="shared" si="64"/>
        <v>0.5</v>
      </c>
      <c r="J15">
        <f t="shared" si="2"/>
        <v>0.3</v>
      </c>
      <c r="K15">
        <f t="shared" si="3"/>
        <v>1.5</v>
      </c>
      <c r="L15">
        <f t="shared" si="4"/>
        <v>0</v>
      </c>
      <c r="M15">
        <f t="shared" si="5"/>
        <v>0.2</v>
      </c>
      <c r="N15">
        <f t="shared" si="6"/>
        <v>0.5</v>
      </c>
      <c r="O15">
        <f t="shared" si="7"/>
        <v>0.5</v>
      </c>
      <c r="P15">
        <f t="shared" si="8"/>
        <v>0.5</v>
      </c>
      <c r="Q15">
        <f t="shared" si="9"/>
        <v>12</v>
      </c>
      <c r="R15">
        <f t="shared" si="10"/>
        <v>0</v>
      </c>
      <c r="S15">
        <f t="shared" si="11"/>
        <v>0</v>
      </c>
      <c r="T15">
        <f t="shared" si="12"/>
        <v>0</v>
      </c>
      <c r="U15">
        <f t="shared" si="13"/>
        <v>0</v>
      </c>
      <c r="V15">
        <f t="shared" si="14"/>
        <v>0</v>
      </c>
      <c r="W15">
        <f t="shared" si="15"/>
        <v>0</v>
      </c>
      <c r="X15">
        <f t="shared" si="16"/>
        <v>0</v>
      </c>
      <c r="Y15">
        <f t="shared" si="17"/>
        <v>0</v>
      </c>
      <c r="Z15">
        <f t="shared" si="18"/>
        <v>0</v>
      </c>
      <c r="AA15">
        <f t="shared" si="19"/>
        <v>0</v>
      </c>
      <c r="AB15">
        <f t="shared" si="20"/>
        <v>0</v>
      </c>
      <c r="AC15">
        <f t="shared" si="21"/>
        <v>0</v>
      </c>
      <c r="AD15">
        <f t="shared" si="22"/>
        <v>0</v>
      </c>
      <c r="AE15">
        <f t="shared" si="23"/>
        <v>0</v>
      </c>
      <c r="AF15">
        <f t="shared" si="24"/>
        <v>0</v>
      </c>
      <c r="AG15">
        <f t="shared" si="25"/>
        <v>0</v>
      </c>
      <c r="AH15">
        <f t="shared" si="26"/>
        <v>0</v>
      </c>
      <c r="AI15">
        <f t="shared" si="27"/>
        <v>0</v>
      </c>
      <c r="AJ15">
        <f t="shared" si="28"/>
        <v>0</v>
      </c>
      <c r="AK15">
        <f t="shared" si="29"/>
        <v>0</v>
      </c>
      <c r="AL15">
        <f t="shared" si="30"/>
        <v>0</v>
      </c>
      <c r="AM15">
        <f t="shared" si="31"/>
        <v>0</v>
      </c>
      <c r="AN15">
        <f t="shared" si="32"/>
        <v>0</v>
      </c>
      <c r="AO15">
        <f t="shared" si="33"/>
        <v>0</v>
      </c>
      <c r="AP15">
        <f t="shared" si="34"/>
        <v>0</v>
      </c>
      <c r="AQ15">
        <f t="shared" si="35"/>
        <v>0</v>
      </c>
      <c r="AR15">
        <f t="shared" si="36"/>
        <v>0</v>
      </c>
      <c r="AS15">
        <f t="shared" si="37"/>
        <v>0</v>
      </c>
      <c r="AT15">
        <f t="shared" si="38"/>
        <v>0</v>
      </c>
      <c r="AU15">
        <f t="shared" si="39"/>
        <v>0</v>
      </c>
      <c r="AV15">
        <f t="shared" si="40"/>
        <v>0</v>
      </c>
      <c r="AW15">
        <f t="shared" si="41"/>
        <v>0</v>
      </c>
      <c r="AX15">
        <f t="shared" si="42"/>
        <v>0</v>
      </c>
      <c r="AY15">
        <f t="shared" si="43"/>
        <v>0</v>
      </c>
      <c r="AZ15">
        <f t="shared" si="44"/>
        <v>0</v>
      </c>
      <c r="BA15">
        <f t="shared" si="45"/>
        <v>0</v>
      </c>
      <c r="BB15">
        <f t="shared" si="46"/>
        <v>0</v>
      </c>
      <c r="BC15">
        <f t="shared" si="47"/>
        <v>0</v>
      </c>
      <c r="BD15">
        <f t="shared" si="48"/>
        <v>0</v>
      </c>
      <c r="BE15">
        <f t="shared" si="49"/>
        <v>0</v>
      </c>
      <c r="BF15">
        <f t="shared" si="50"/>
        <v>0</v>
      </c>
      <c r="BG15">
        <f t="shared" si="51"/>
        <v>0</v>
      </c>
      <c r="BH15">
        <f t="shared" si="52"/>
        <v>0</v>
      </c>
      <c r="BI15">
        <f t="shared" si="53"/>
        <v>0</v>
      </c>
      <c r="BJ15">
        <f t="shared" si="54"/>
        <v>0</v>
      </c>
      <c r="BK15">
        <f t="shared" si="55"/>
        <v>0</v>
      </c>
      <c r="BL15">
        <f t="shared" si="56"/>
        <v>0</v>
      </c>
      <c r="BM15">
        <f t="shared" si="57"/>
        <v>0</v>
      </c>
      <c r="BN15">
        <f t="shared" si="58"/>
        <v>0</v>
      </c>
      <c r="BO15">
        <f t="shared" si="59"/>
        <v>0</v>
      </c>
      <c r="BP15">
        <f t="shared" si="60"/>
        <v>0</v>
      </c>
      <c r="BQ15">
        <f t="shared" si="61"/>
        <v>0</v>
      </c>
    </row>
    <row r="16" spans="1:69" x14ac:dyDescent="0.25">
      <c r="A16" s="2">
        <v>14</v>
      </c>
      <c r="B16" s="2">
        <v>5</v>
      </c>
      <c r="C16">
        <v>2</v>
      </c>
      <c r="D16">
        <v>2</v>
      </c>
      <c r="E16">
        <v>1</v>
      </c>
      <c r="F16">
        <f t="shared" si="1"/>
        <v>1</v>
      </c>
      <c r="G16">
        <f t="shared" si="62"/>
        <v>1</v>
      </c>
      <c r="H16">
        <f t="shared" si="63"/>
        <v>0.5</v>
      </c>
      <c r="I16">
        <f t="shared" si="64"/>
        <v>0.5</v>
      </c>
      <c r="J16">
        <f t="shared" si="2"/>
        <v>0.3</v>
      </c>
      <c r="K16">
        <f t="shared" si="3"/>
        <v>1.5</v>
      </c>
      <c r="L16">
        <f t="shared" si="4"/>
        <v>0</v>
      </c>
      <c r="M16">
        <f t="shared" si="5"/>
        <v>0.2</v>
      </c>
      <c r="N16">
        <f t="shared" si="6"/>
        <v>0.5</v>
      </c>
      <c r="O16">
        <f t="shared" si="7"/>
        <v>0.5</v>
      </c>
      <c r="P16">
        <f t="shared" si="8"/>
        <v>0.5</v>
      </c>
      <c r="Q16">
        <f t="shared" si="9"/>
        <v>12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0</v>
      </c>
      <c r="W16">
        <f t="shared" si="15"/>
        <v>0</v>
      </c>
      <c r="X16">
        <f t="shared" si="16"/>
        <v>0</v>
      </c>
      <c r="Y16">
        <f t="shared" si="17"/>
        <v>0</v>
      </c>
      <c r="Z16">
        <f t="shared" si="18"/>
        <v>0</v>
      </c>
      <c r="AA16">
        <f t="shared" si="19"/>
        <v>0</v>
      </c>
      <c r="AB16">
        <f t="shared" si="20"/>
        <v>0</v>
      </c>
      <c r="AC16">
        <f t="shared" si="21"/>
        <v>0</v>
      </c>
      <c r="AD16">
        <f t="shared" si="22"/>
        <v>0</v>
      </c>
      <c r="AE16">
        <f t="shared" si="23"/>
        <v>0</v>
      </c>
      <c r="AF16">
        <f t="shared" si="24"/>
        <v>0</v>
      </c>
      <c r="AG16">
        <f t="shared" si="25"/>
        <v>0</v>
      </c>
      <c r="AH16">
        <f t="shared" si="26"/>
        <v>0</v>
      </c>
      <c r="AI16">
        <f t="shared" si="27"/>
        <v>0</v>
      </c>
      <c r="AJ16">
        <f t="shared" si="28"/>
        <v>0</v>
      </c>
      <c r="AK16">
        <f t="shared" si="29"/>
        <v>0</v>
      </c>
      <c r="AL16">
        <f t="shared" si="30"/>
        <v>0</v>
      </c>
      <c r="AM16">
        <f t="shared" si="31"/>
        <v>0</v>
      </c>
      <c r="AN16">
        <f t="shared" si="32"/>
        <v>0</v>
      </c>
      <c r="AO16">
        <f t="shared" si="33"/>
        <v>0</v>
      </c>
      <c r="AP16">
        <f t="shared" si="34"/>
        <v>0</v>
      </c>
      <c r="AQ16">
        <f t="shared" si="35"/>
        <v>0</v>
      </c>
      <c r="AR16">
        <f t="shared" si="36"/>
        <v>0</v>
      </c>
      <c r="AS16">
        <f t="shared" si="37"/>
        <v>0</v>
      </c>
      <c r="AT16">
        <f t="shared" si="38"/>
        <v>0</v>
      </c>
      <c r="AU16">
        <f t="shared" si="39"/>
        <v>0</v>
      </c>
      <c r="AV16">
        <f t="shared" si="40"/>
        <v>0</v>
      </c>
      <c r="AW16">
        <f t="shared" si="41"/>
        <v>0</v>
      </c>
      <c r="AX16">
        <f t="shared" si="42"/>
        <v>0</v>
      </c>
      <c r="AY16">
        <f t="shared" si="43"/>
        <v>0</v>
      </c>
      <c r="AZ16">
        <f t="shared" si="44"/>
        <v>0</v>
      </c>
      <c r="BA16">
        <f t="shared" si="45"/>
        <v>0</v>
      </c>
      <c r="BB16">
        <f t="shared" si="46"/>
        <v>0</v>
      </c>
      <c r="BC16">
        <f t="shared" si="47"/>
        <v>0</v>
      </c>
      <c r="BD16">
        <f t="shared" si="48"/>
        <v>0</v>
      </c>
      <c r="BE16">
        <f t="shared" si="49"/>
        <v>0</v>
      </c>
      <c r="BF16">
        <f t="shared" si="50"/>
        <v>0</v>
      </c>
      <c r="BG16">
        <f t="shared" si="51"/>
        <v>0</v>
      </c>
      <c r="BH16">
        <f t="shared" si="52"/>
        <v>0</v>
      </c>
      <c r="BI16">
        <f t="shared" si="53"/>
        <v>0</v>
      </c>
      <c r="BJ16">
        <f t="shared" si="54"/>
        <v>0</v>
      </c>
      <c r="BK16">
        <f t="shared" si="55"/>
        <v>0</v>
      </c>
      <c r="BL16">
        <f t="shared" si="56"/>
        <v>0</v>
      </c>
      <c r="BM16">
        <f t="shared" si="57"/>
        <v>0</v>
      </c>
      <c r="BN16">
        <f t="shared" si="58"/>
        <v>0</v>
      </c>
      <c r="BO16">
        <f t="shared" si="59"/>
        <v>0</v>
      </c>
      <c r="BP16">
        <f t="shared" si="60"/>
        <v>0</v>
      </c>
      <c r="BQ16">
        <f t="shared" si="61"/>
        <v>0</v>
      </c>
    </row>
    <row r="17" spans="1:69" x14ac:dyDescent="0.25">
      <c r="A17" s="2">
        <v>15</v>
      </c>
      <c r="B17" s="2">
        <v>5</v>
      </c>
      <c r="C17">
        <v>2</v>
      </c>
      <c r="D17">
        <v>2</v>
      </c>
      <c r="E17">
        <v>1</v>
      </c>
      <c r="F17">
        <f t="shared" si="1"/>
        <v>1</v>
      </c>
      <c r="G17">
        <f t="shared" si="62"/>
        <v>1</v>
      </c>
      <c r="H17">
        <f t="shared" si="63"/>
        <v>0.5</v>
      </c>
      <c r="I17">
        <f t="shared" si="64"/>
        <v>0.5</v>
      </c>
      <c r="J17">
        <f t="shared" si="2"/>
        <v>0.3</v>
      </c>
      <c r="K17">
        <f t="shared" si="3"/>
        <v>1.5</v>
      </c>
      <c r="L17">
        <f t="shared" si="4"/>
        <v>0</v>
      </c>
      <c r="M17">
        <f t="shared" si="5"/>
        <v>0.2</v>
      </c>
      <c r="N17">
        <f t="shared" si="6"/>
        <v>0.5</v>
      </c>
      <c r="O17">
        <f t="shared" si="7"/>
        <v>0.5</v>
      </c>
      <c r="P17">
        <f t="shared" si="8"/>
        <v>0.5</v>
      </c>
      <c r="Q17">
        <f t="shared" si="9"/>
        <v>12</v>
      </c>
      <c r="R17">
        <f t="shared" si="10"/>
        <v>0</v>
      </c>
      <c r="S17">
        <f t="shared" si="11"/>
        <v>0</v>
      </c>
      <c r="T17">
        <f t="shared" si="12"/>
        <v>0</v>
      </c>
      <c r="U17">
        <f t="shared" si="13"/>
        <v>0</v>
      </c>
      <c r="V17">
        <f t="shared" si="14"/>
        <v>0</v>
      </c>
      <c r="W17">
        <f t="shared" si="15"/>
        <v>0</v>
      </c>
      <c r="X17">
        <f t="shared" si="16"/>
        <v>0</v>
      </c>
      <c r="Y17">
        <f t="shared" si="17"/>
        <v>0</v>
      </c>
      <c r="Z17">
        <f t="shared" si="18"/>
        <v>0</v>
      </c>
      <c r="AA17">
        <f t="shared" si="19"/>
        <v>0</v>
      </c>
      <c r="AB17">
        <f t="shared" si="20"/>
        <v>0</v>
      </c>
      <c r="AC17">
        <f t="shared" si="21"/>
        <v>0</v>
      </c>
      <c r="AD17">
        <f t="shared" si="22"/>
        <v>0</v>
      </c>
      <c r="AE17">
        <f t="shared" si="23"/>
        <v>0</v>
      </c>
      <c r="AF17">
        <f t="shared" si="24"/>
        <v>0</v>
      </c>
      <c r="AG17">
        <f t="shared" si="25"/>
        <v>0</v>
      </c>
      <c r="AH17">
        <f t="shared" si="26"/>
        <v>0</v>
      </c>
      <c r="AI17">
        <f t="shared" si="27"/>
        <v>0</v>
      </c>
      <c r="AJ17">
        <f t="shared" si="28"/>
        <v>0</v>
      </c>
      <c r="AK17">
        <f t="shared" si="29"/>
        <v>0</v>
      </c>
      <c r="AL17">
        <f t="shared" si="30"/>
        <v>0</v>
      </c>
      <c r="AM17">
        <f t="shared" si="31"/>
        <v>0</v>
      </c>
      <c r="AN17">
        <f t="shared" si="32"/>
        <v>0</v>
      </c>
      <c r="AO17">
        <f t="shared" si="33"/>
        <v>0</v>
      </c>
      <c r="AP17">
        <f t="shared" si="34"/>
        <v>0</v>
      </c>
      <c r="AQ17">
        <f t="shared" si="35"/>
        <v>0</v>
      </c>
      <c r="AR17">
        <f t="shared" si="36"/>
        <v>0</v>
      </c>
      <c r="AS17">
        <f t="shared" si="37"/>
        <v>0</v>
      </c>
      <c r="AT17">
        <f t="shared" si="38"/>
        <v>0</v>
      </c>
      <c r="AU17">
        <f t="shared" si="39"/>
        <v>0</v>
      </c>
      <c r="AV17">
        <f t="shared" si="40"/>
        <v>0</v>
      </c>
      <c r="AW17">
        <f t="shared" si="41"/>
        <v>0</v>
      </c>
      <c r="AX17">
        <f t="shared" si="42"/>
        <v>0</v>
      </c>
      <c r="AY17">
        <f t="shared" si="43"/>
        <v>0</v>
      </c>
      <c r="AZ17">
        <f t="shared" si="44"/>
        <v>0</v>
      </c>
      <c r="BA17">
        <f t="shared" si="45"/>
        <v>0</v>
      </c>
      <c r="BB17">
        <f t="shared" si="46"/>
        <v>0</v>
      </c>
      <c r="BC17">
        <f t="shared" si="47"/>
        <v>0</v>
      </c>
      <c r="BD17">
        <f t="shared" si="48"/>
        <v>0</v>
      </c>
      <c r="BE17">
        <f t="shared" si="49"/>
        <v>0</v>
      </c>
      <c r="BF17">
        <f t="shared" si="50"/>
        <v>0</v>
      </c>
      <c r="BG17">
        <f t="shared" si="51"/>
        <v>0</v>
      </c>
      <c r="BH17">
        <f t="shared" si="52"/>
        <v>0</v>
      </c>
      <c r="BI17">
        <f t="shared" si="53"/>
        <v>0</v>
      </c>
      <c r="BJ17">
        <f t="shared" si="54"/>
        <v>0</v>
      </c>
      <c r="BK17">
        <f t="shared" si="55"/>
        <v>0</v>
      </c>
      <c r="BL17">
        <f t="shared" si="56"/>
        <v>0</v>
      </c>
      <c r="BM17">
        <f t="shared" si="57"/>
        <v>0</v>
      </c>
      <c r="BN17">
        <f t="shared" si="58"/>
        <v>0</v>
      </c>
      <c r="BO17">
        <f t="shared" si="59"/>
        <v>0</v>
      </c>
      <c r="BP17">
        <f t="shared" si="60"/>
        <v>0</v>
      </c>
      <c r="BQ17">
        <f t="shared" si="61"/>
        <v>0</v>
      </c>
    </row>
    <row r="18" spans="1:69" x14ac:dyDescent="0.25">
      <c r="A18" s="2">
        <v>16</v>
      </c>
      <c r="B18" s="2">
        <v>5</v>
      </c>
      <c r="C18">
        <v>2</v>
      </c>
      <c r="D18">
        <v>2</v>
      </c>
      <c r="E18">
        <v>1</v>
      </c>
      <c r="F18">
        <f t="shared" si="1"/>
        <v>1</v>
      </c>
      <c r="G18">
        <f t="shared" si="62"/>
        <v>1</v>
      </c>
      <c r="H18">
        <f t="shared" si="63"/>
        <v>0.5</v>
      </c>
      <c r="I18">
        <f t="shared" si="64"/>
        <v>0.5</v>
      </c>
      <c r="J18">
        <f t="shared" si="2"/>
        <v>0.3</v>
      </c>
      <c r="K18">
        <f t="shared" si="3"/>
        <v>1.5</v>
      </c>
      <c r="L18">
        <f t="shared" si="4"/>
        <v>0</v>
      </c>
      <c r="M18">
        <f t="shared" si="5"/>
        <v>0.2</v>
      </c>
      <c r="N18">
        <f t="shared" si="6"/>
        <v>0.5</v>
      </c>
      <c r="O18">
        <f t="shared" si="7"/>
        <v>0.5</v>
      </c>
      <c r="P18">
        <f t="shared" si="8"/>
        <v>0.5</v>
      </c>
      <c r="Q18">
        <f t="shared" si="9"/>
        <v>12</v>
      </c>
      <c r="R18">
        <f t="shared" si="10"/>
        <v>0</v>
      </c>
      <c r="S18">
        <f t="shared" si="11"/>
        <v>0</v>
      </c>
      <c r="T18">
        <f t="shared" si="12"/>
        <v>0</v>
      </c>
      <c r="U18">
        <f t="shared" si="13"/>
        <v>0</v>
      </c>
      <c r="V18">
        <f t="shared" si="14"/>
        <v>0</v>
      </c>
      <c r="W18">
        <f t="shared" si="15"/>
        <v>0</v>
      </c>
      <c r="X18">
        <f t="shared" si="16"/>
        <v>0</v>
      </c>
      <c r="Y18">
        <f t="shared" si="17"/>
        <v>0</v>
      </c>
      <c r="Z18">
        <f t="shared" si="18"/>
        <v>0</v>
      </c>
      <c r="AA18">
        <f t="shared" si="19"/>
        <v>0</v>
      </c>
      <c r="AB18">
        <f t="shared" si="20"/>
        <v>0</v>
      </c>
      <c r="AC18">
        <f t="shared" si="21"/>
        <v>0</v>
      </c>
      <c r="AD18">
        <f t="shared" si="22"/>
        <v>0</v>
      </c>
      <c r="AE18">
        <f t="shared" si="23"/>
        <v>0</v>
      </c>
      <c r="AF18">
        <f t="shared" si="24"/>
        <v>0</v>
      </c>
      <c r="AG18">
        <f t="shared" si="25"/>
        <v>0</v>
      </c>
      <c r="AH18">
        <f t="shared" si="26"/>
        <v>0</v>
      </c>
      <c r="AI18">
        <f t="shared" si="27"/>
        <v>0</v>
      </c>
      <c r="AJ18">
        <f t="shared" si="28"/>
        <v>0</v>
      </c>
      <c r="AK18">
        <f t="shared" si="29"/>
        <v>0</v>
      </c>
      <c r="AL18">
        <f t="shared" si="30"/>
        <v>0</v>
      </c>
      <c r="AM18">
        <f t="shared" si="31"/>
        <v>0</v>
      </c>
      <c r="AN18">
        <f t="shared" si="32"/>
        <v>0</v>
      </c>
      <c r="AO18">
        <f t="shared" si="33"/>
        <v>0</v>
      </c>
      <c r="AP18">
        <f t="shared" si="34"/>
        <v>0</v>
      </c>
      <c r="AQ18">
        <f t="shared" si="35"/>
        <v>0</v>
      </c>
      <c r="AR18">
        <f t="shared" si="36"/>
        <v>0</v>
      </c>
      <c r="AS18">
        <f t="shared" si="37"/>
        <v>0</v>
      </c>
      <c r="AT18">
        <f t="shared" si="38"/>
        <v>0</v>
      </c>
      <c r="AU18">
        <f t="shared" si="39"/>
        <v>0</v>
      </c>
      <c r="AV18">
        <f t="shared" si="40"/>
        <v>0</v>
      </c>
      <c r="AW18">
        <f t="shared" si="41"/>
        <v>0</v>
      </c>
      <c r="AX18">
        <f t="shared" si="42"/>
        <v>0</v>
      </c>
      <c r="AY18">
        <f t="shared" si="43"/>
        <v>0</v>
      </c>
      <c r="AZ18">
        <f t="shared" si="44"/>
        <v>0</v>
      </c>
      <c r="BA18">
        <f t="shared" si="45"/>
        <v>0</v>
      </c>
      <c r="BB18">
        <f t="shared" si="46"/>
        <v>0</v>
      </c>
      <c r="BC18">
        <f t="shared" si="47"/>
        <v>0</v>
      </c>
      <c r="BD18">
        <f t="shared" si="48"/>
        <v>0</v>
      </c>
      <c r="BE18">
        <f t="shared" si="49"/>
        <v>0</v>
      </c>
      <c r="BF18">
        <f t="shared" si="50"/>
        <v>0</v>
      </c>
      <c r="BG18">
        <f t="shared" si="51"/>
        <v>0</v>
      </c>
      <c r="BH18">
        <f t="shared" si="52"/>
        <v>0</v>
      </c>
      <c r="BI18">
        <f t="shared" si="53"/>
        <v>0</v>
      </c>
      <c r="BJ18">
        <f t="shared" si="54"/>
        <v>0</v>
      </c>
      <c r="BK18">
        <f t="shared" si="55"/>
        <v>0</v>
      </c>
      <c r="BL18">
        <f t="shared" si="56"/>
        <v>0</v>
      </c>
      <c r="BM18">
        <f t="shared" si="57"/>
        <v>0</v>
      </c>
      <c r="BN18">
        <f t="shared" si="58"/>
        <v>0</v>
      </c>
      <c r="BO18">
        <f t="shared" si="59"/>
        <v>0</v>
      </c>
      <c r="BP18">
        <f t="shared" si="60"/>
        <v>0</v>
      </c>
      <c r="BQ18">
        <f t="shared" si="61"/>
        <v>0</v>
      </c>
    </row>
    <row r="19" spans="1:69" x14ac:dyDescent="0.25">
      <c r="A19" s="2">
        <v>17</v>
      </c>
      <c r="B19" s="2">
        <v>5</v>
      </c>
      <c r="C19">
        <v>2</v>
      </c>
      <c r="D19">
        <v>2</v>
      </c>
      <c r="E19">
        <v>1</v>
      </c>
      <c r="F19">
        <f t="shared" si="1"/>
        <v>1</v>
      </c>
      <c r="G19">
        <f t="shared" si="62"/>
        <v>1</v>
      </c>
      <c r="H19">
        <f t="shared" si="63"/>
        <v>0.5</v>
      </c>
      <c r="I19">
        <f t="shared" si="64"/>
        <v>0.5</v>
      </c>
      <c r="J19">
        <f t="shared" si="2"/>
        <v>0.3</v>
      </c>
      <c r="K19">
        <f t="shared" si="3"/>
        <v>1.5</v>
      </c>
      <c r="L19">
        <f t="shared" si="4"/>
        <v>0</v>
      </c>
      <c r="M19">
        <f t="shared" si="5"/>
        <v>0.2</v>
      </c>
      <c r="N19">
        <f t="shared" si="6"/>
        <v>0.5</v>
      </c>
      <c r="O19">
        <f t="shared" si="7"/>
        <v>0.5</v>
      </c>
      <c r="P19">
        <f t="shared" si="8"/>
        <v>0.5</v>
      </c>
      <c r="Q19">
        <f t="shared" si="9"/>
        <v>12</v>
      </c>
      <c r="R19">
        <f t="shared" si="10"/>
        <v>0</v>
      </c>
      <c r="S19">
        <f t="shared" si="11"/>
        <v>0</v>
      </c>
      <c r="T19">
        <f t="shared" si="12"/>
        <v>0</v>
      </c>
      <c r="U19">
        <f t="shared" si="13"/>
        <v>0</v>
      </c>
      <c r="V19">
        <f t="shared" si="14"/>
        <v>0</v>
      </c>
      <c r="W19">
        <f t="shared" si="15"/>
        <v>0</v>
      </c>
      <c r="X19">
        <f t="shared" si="16"/>
        <v>0</v>
      </c>
      <c r="Y19">
        <f t="shared" si="17"/>
        <v>0</v>
      </c>
      <c r="Z19">
        <f t="shared" si="18"/>
        <v>0</v>
      </c>
      <c r="AA19">
        <f t="shared" si="19"/>
        <v>0</v>
      </c>
      <c r="AB19">
        <f t="shared" si="20"/>
        <v>0</v>
      </c>
      <c r="AC19">
        <f t="shared" si="21"/>
        <v>0</v>
      </c>
      <c r="AD19">
        <f t="shared" si="22"/>
        <v>0</v>
      </c>
      <c r="AE19">
        <f t="shared" si="23"/>
        <v>0</v>
      </c>
      <c r="AF19">
        <f t="shared" si="24"/>
        <v>0</v>
      </c>
      <c r="AG19">
        <f t="shared" si="25"/>
        <v>0</v>
      </c>
      <c r="AH19">
        <f t="shared" si="26"/>
        <v>0</v>
      </c>
      <c r="AI19">
        <f t="shared" si="27"/>
        <v>0</v>
      </c>
      <c r="AJ19">
        <f t="shared" si="28"/>
        <v>0</v>
      </c>
      <c r="AK19">
        <f t="shared" si="29"/>
        <v>0</v>
      </c>
      <c r="AL19">
        <f t="shared" si="30"/>
        <v>0</v>
      </c>
      <c r="AM19">
        <f t="shared" si="31"/>
        <v>0</v>
      </c>
      <c r="AN19">
        <f t="shared" si="32"/>
        <v>0</v>
      </c>
      <c r="AO19">
        <f t="shared" si="33"/>
        <v>0</v>
      </c>
      <c r="AP19">
        <f t="shared" si="34"/>
        <v>0</v>
      </c>
      <c r="AQ19">
        <f t="shared" si="35"/>
        <v>0</v>
      </c>
      <c r="AR19">
        <f t="shared" si="36"/>
        <v>0</v>
      </c>
      <c r="AS19">
        <f t="shared" si="37"/>
        <v>0</v>
      </c>
      <c r="AT19">
        <f t="shared" si="38"/>
        <v>0</v>
      </c>
      <c r="AU19">
        <f t="shared" si="39"/>
        <v>0</v>
      </c>
      <c r="AV19">
        <f t="shared" si="40"/>
        <v>0</v>
      </c>
      <c r="AW19">
        <f t="shared" si="41"/>
        <v>0</v>
      </c>
      <c r="AX19">
        <f t="shared" si="42"/>
        <v>0</v>
      </c>
      <c r="AY19">
        <f t="shared" si="43"/>
        <v>0</v>
      </c>
      <c r="AZ19">
        <f t="shared" si="44"/>
        <v>0</v>
      </c>
      <c r="BA19">
        <f t="shared" si="45"/>
        <v>0</v>
      </c>
      <c r="BB19">
        <f t="shared" si="46"/>
        <v>0</v>
      </c>
      <c r="BC19">
        <f t="shared" si="47"/>
        <v>0</v>
      </c>
      <c r="BD19">
        <f t="shared" si="48"/>
        <v>0</v>
      </c>
      <c r="BE19">
        <f t="shared" si="49"/>
        <v>0</v>
      </c>
      <c r="BF19">
        <f t="shared" si="50"/>
        <v>0</v>
      </c>
      <c r="BG19">
        <f t="shared" si="51"/>
        <v>0</v>
      </c>
      <c r="BH19">
        <f t="shared" si="52"/>
        <v>0</v>
      </c>
      <c r="BI19">
        <f t="shared" si="53"/>
        <v>0</v>
      </c>
      <c r="BJ19">
        <f t="shared" si="54"/>
        <v>0</v>
      </c>
      <c r="BK19">
        <f t="shared" si="55"/>
        <v>0</v>
      </c>
      <c r="BL19">
        <f t="shared" si="56"/>
        <v>0</v>
      </c>
      <c r="BM19">
        <f t="shared" si="57"/>
        <v>0</v>
      </c>
      <c r="BN19">
        <f t="shared" si="58"/>
        <v>0</v>
      </c>
      <c r="BO19">
        <f t="shared" si="59"/>
        <v>0</v>
      </c>
      <c r="BP19">
        <f t="shared" si="60"/>
        <v>0</v>
      </c>
      <c r="BQ19">
        <f t="shared" si="61"/>
        <v>0</v>
      </c>
    </row>
    <row r="20" spans="1:69" x14ac:dyDescent="0.25">
      <c r="A20" s="2">
        <v>18</v>
      </c>
      <c r="B20" s="2">
        <v>5</v>
      </c>
      <c r="C20">
        <v>2</v>
      </c>
      <c r="D20">
        <v>2</v>
      </c>
      <c r="E20">
        <v>1</v>
      </c>
      <c r="F20">
        <f t="shared" si="1"/>
        <v>1</v>
      </c>
      <c r="G20">
        <f t="shared" si="62"/>
        <v>1</v>
      </c>
      <c r="H20">
        <f t="shared" si="63"/>
        <v>0.5</v>
      </c>
      <c r="I20">
        <f t="shared" si="64"/>
        <v>0.5</v>
      </c>
      <c r="J20">
        <f t="shared" si="2"/>
        <v>0.3</v>
      </c>
      <c r="K20">
        <f t="shared" si="3"/>
        <v>1.5</v>
      </c>
      <c r="L20">
        <f t="shared" si="4"/>
        <v>0</v>
      </c>
      <c r="M20">
        <f t="shared" si="5"/>
        <v>0.2</v>
      </c>
      <c r="N20">
        <f t="shared" si="6"/>
        <v>0.5</v>
      </c>
      <c r="O20">
        <f t="shared" si="7"/>
        <v>0.5</v>
      </c>
      <c r="P20">
        <f t="shared" si="8"/>
        <v>0.5</v>
      </c>
      <c r="Q20">
        <f t="shared" si="9"/>
        <v>12</v>
      </c>
      <c r="R20">
        <f t="shared" si="10"/>
        <v>0</v>
      </c>
      <c r="S20">
        <f t="shared" si="11"/>
        <v>0</v>
      </c>
      <c r="T20">
        <f t="shared" si="12"/>
        <v>0</v>
      </c>
      <c r="U20">
        <f t="shared" si="13"/>
        <v>0</v>
      </c>
      <c r="V20">
        <f t="shared" si="14"/>
        <v>0</v>
      </c>
      <c r="W20">
        <f t="shared" si="15"/>
        <v>0</v>
      </c>
      <c r="X20">
        <f t="shared" si="16"/>
        <v>0</v>
      </c>
      <c r="Y20">
        <f t="shared" si="17"/>
        <v>0</v>
      </c>
      <c r="Z20">
        <f t="shared" si="18"/>
        <v>0</v>
      </c>
      <c r="AA20">
        <f t="shared" si="19"/>
        <v>0</v>
      </c>
      <c r="AB20">
        <f t="shared" si="20"/>
        <v>0</v>
      </c>
      <c r="AC20">
        <f t="shared" si="21"/>
        <v>0</v>
      </c>
      <c r="AD20">
        <f t="shared" si="22"/>
        <v>0</v>
      </c>
      <c r="AE20">
        <f t="shared" si="23"/>
        <v>0</v>
      </c>
      <c r="AF20">
        <f t="shared" si="24"/>
        <v>0</v>
      </c>
      <c r="AG20">
        <f t="shared" si="25"/>
        <v>0</v>
      </c>
      <c r="AH20">
        <f t="shared" si="26"/>
        <v>0</v>
      </c>
      <c r="AI20">
        <f t="shared" si="27"/>
        <v>0</v>
      </c>
      <c r="AJ20">
        <f t="shared" si="28"/>
        <v>0</v>
      </c>
      <c r="AK20">
        <f t="shared" si="29"/>
        <v>0</v>
      </c>
      <c r="AL20">
        <f t="shared" si="30"/>
        <v>0</v>
      </c>
      <c r="AM20">
        <f t="shared" si="31"/>
        <v>0</v>
      </c>
      <c r="AN20">
        <f t="shared" si="32"/>
        <v>0</v>
      </c>
      <c r="AO20">
        <f t="shared" si="33"/>
        <v>0</v>
      </c>
      <c r="AP20">
        <f t="shared" si="34"/>
        <v>0</v>
      </c>
      <c r="AQ20">
        <f t="shared" si="35"/>
        <v>0</v>
      </c>
      <c r="AR20">
        <f t="shared" si="36"/>
        <v>0</v>
      </c>
      <c r="AS20">
        <f t="shared" si="37"/>
        <v>0</v>
      </c>
      <c r="AT20">
        <f t="shared" si="38"/>
        <v>0</v>
      </c>
      <c r="AU20">
        <f t="shared" si="39"/>
        <v>0</v>
      </c>
      <c r="AV20">
        <f t="shared" si="40"/>
        <v>0</v>
      </c>
      <c r="AW20">
        <f t="shared" si="41"/>
        <v>0</v>
      </c>
      <c r="AX20">
        <f t="shared" si="42"/>
        <v>0</v>
      </c>
      <c r="AY20">
        <f t="shared" si="43"/>
        <v>0</v>
      </c>
      <c r="AZ20">
        <f t="shared" si="44"/>
        <v>0</v>
      </c>
      <c r="BA20">
        <f t="shared" si="45"/>
        <v>0</v>
      </c>
      <c r="BB20">
        <f t="shared" si="46"/>
        <v>0</v>
      </c>
      <c r="BC20">
        <f t="shared" si="47"/>
        <v>0</v>
      </c>
      <c r="BD20">
        <f t="shared" si="48"/>
        <v>0</v>
      </c>
      <c r="BE20">
        <f t="shared" si="49"/>
        <v>0</v>
      </c>
      <c r="BF20">
        <f t="shared" si="50"/>
        <v>0</v>
      </c>
      <c r="BG20">
        <f t="shared" si="51"/>
        <v>0</v>
      </c>
      <c r="BH20">
        <f t="shared" si="52"/>
        <v>0</v>
      </c>
      <c r="BI20">
        <f t="shared" si="53"/>
        <v>0</v>
      </c>
      <c r="BJ20">
        <f t="shared" si="54"/>
        <v>0</v>
      </c>
      <c r="BK20">
        <f t="shared" si="55"/>
        <v>0</v>
      </c>
      <c r="BL20">
        <f t="shared" si="56"/>
        <v>0</v>
      </c>
      <c r="BM20">
        <f t="shared" si="57"/>
        <v>0</v>
      </c>
      <c r="BN20">
        <f t="shared" si="58"/>
        <v>0</v>
      </c>
      <c r="BO20">
        <f t="shared" si="59"/>
        <v>0</v>
      </c>
      <c r="BP20">
        <f t="shared" si="60"/>
        <v>0</v>
      </c>
      <c r="BQ20">
        <f t="shared" si="61"/>
        <v>0</v>
      </c>
    </row>
    <row r="21" spans="1:69" x14ac:dyDescent="0.25">
      <c r="A21" s="2">
        <v>19</v>
      </c>
      <c r="B21" s="2">
        <v>5</v>
      </c>
      <c r="C21">
        <v>2</v>
      </c>
      <c r="D21">
        <v>2</v>
      </c>
      <c r="E21">
        <v>1</v>
      </c>
      <c r="F21">
        <f t="shared" si="1"/>
        <v>1</v>
      </c>
      <c r="G21">
        <f t="shared" si="62"/>
        <v>1</v>
      </c>
      <c r="H21">
        <f t="shared" si="63"/>
        <v>0.5</v>
      </c>
      <c r="I21">
        <f t="shared" si="64"/>
        <v>0.5</v>
      </c>
      <c r="J21">
        <f t="shared" si="2"/>
        <v>0.3</v>
      </c>
      <c r="K21">
        <f t="shared" si="3"/>
        <v>1.5</v>
      </c>
      <c r="L21">
        <f t="shared" si="4"/>
        <v>0</v>
      </c>
      <c r="M21">
        <f t="shared" si="5"/>
        <v>0.2</v>
      </c>
      <c r="N21">
        <f t="shared" si="6"/>
        <v>0.5</v>
      </c>
      <c r="O21">
        <f t="shared" si="7"/>
        <v>0.5</v>
      </c>
      <c r="P21">
        <f t="shared" si="8"/>
        <v>0.5</v>
      </c>
      <c r="Q21">
        <f t="shared" si="9"/>
        <v>12</v>
      </c>
      <c r="R21">
        <f t="shared" si="10"/>
        <v>0</v>
      </c>
      <c r="S21">
        <f t="shared" si="11"/>
        <v>0</v>
      </c>
      <c r="T21">
        <f t="shared" si="12"/>
        <v>0</v>
      </c>
      <c r="U21">
        <f t="shared" si="13"/>
        <v>0</v>
      </c>
      <c r="V21">
        <f t="shared" si="14"/>
        <v>0</v>
      </c>
      <c r="W21">
        <f t="shared" si="15"/>
        <v>0</v>
      </c>
      <c r="X21">
        <f t="shared" si="16"/>
        <v>0</v>
      </c>
      <c r="Y21">
        <f t="shared" si="17"/>
        <v>0</v>
      </c>
      <c r="Z21">
        <f t="shared" si="18"/>
        <v>0</v>
      </c>
      <c r="AA21">
        <f t="shared" si="19"/>
        <v>0</v>
      </c>
      <c r="AB21">
        <f t="shared" si="20"/>
        <v>0</v>
      </c>
      <c r="AC21">
        <f t="shared" si="21"/>
        <v>0</v>
      </c>
      <c r="AD21">
        <f t="shared" si="22"/>
        <v>0</v>
      </c>
      <c r="AE21">
        <f t="shared" si="23"/>
        <v>0</v>
      </c>
      <c r="AF21">
        <f t="shared" si="24"/>
        <v>0</v>
      </c>
      <c r="AG21">
        <f t="shared" si="25"/>
        <v>0</v>
      </c>
      <c r="AH21">
        <f t="shared" si="26"/>
        <v>0</v>
      </c>
      <c r="AI21">
        <f t="shared" si="27"/>
        <v>0</v>
      </c>
      <c r="AJ21">
        <f t="shared" si="28"/>
        <v>0</v>
      </c>
      <c r="AK21">
        <f t="shared" si="29"/>
        <v>0</v>
      </c>
      <c r="AL21">
        <f t="shared" si="30"/>
        <v>0</v>
      </c>
      <c r="AM21">
        <f t="shared" si="31"/>
        <v>0</v>
      </c>
      <c r="AN21">
        <f t="shared" si="32"/>
        <v>0</v>
      </c>
      <c r="AO21">
        <f t="shared" si="33"/>
        <v>0</v>
      </c>
      <c r="AP21">
        <f t="shared" si="34"/>
        <v>0</v>
      </c>
      <c r="AQ21">
        <f t="shared" si="35"/>
        <v>0</v>
      </c>
      <c r="AR21">
        <f t="shared" si="36"/>
        <v>0</v>
      </c>
      <c r="AS21">
        <f t="shared" si="37"/>
        <v>0</v>
      </c>
      <c r="AT21">
        <f t="shared" si="38"/>
        <v>0</v>
      </c>
      <c r="AU21">
        <f t="shared" si="39"/>
        <v>0</v>
      </c>
      <c r="AV21">
        <f t="shared" si="40"/>
        <v>0</v>
      </c>
      <c r="AW21">
        <f t="shared" si="41"/>
        <v>0</v>
      </c>
      <c r="AX21">
        <f t="shared" si="42"/>
        <v>0</v>
      </c>
      <c r="AY21">
        <f t="shared" si="43"/>
        <v>0</v>
      </c>
      <c r="AZ21">
        <f t="shared" si="44"/>
        <v>0</v>
      </c>
      <c r="BA21">
        <f t="shared" si="45"/>
        <v>0</v>
      </c>
      <c r="BB21">
        <f t="shared" si="46"/>
        <v>0</v>
      </c>
      <c r="BC21">
        <f t="shared" si="47"/>
        <v>0</v>
      </c>
      <c r="BD21">
        <f t="shared" si="48"/>
        <v>0</v>
      </c>
      <c r="BE21">
        <f t="shared" si="49"/>
        <v>0</v>
      </c>
      <c r="BF21">
        <f t="shared" si="50"/>
        <v>0</v>
      </c>
      <c r="BG21">
        <f t="shared" si="51"/>
        <v>0</v>
      </c>
      <c r="BH21">
        <f t="shared" si="52"/>
        <v>0</v>
      </c>
      <c r="BI21">
        <f t="shared" si="53"/>
        <v>0</v>
      </c>
      <c r="BJ21">
        <f t="shared" si="54"/>
        <v>0</v>
      </c>
      <c r="BK21">
        <f t="shared" si="55"/>
        <v>0</v>
      </c>
      <c r="BL21">
        <f t="shared" si="56"/>
        <v>0</v>
      </c>
      <c r="BM21">
        <f t="shared" si="57"/>
        <v>0</v>
      </c>
      <c r="BN21">
        <f t="shared" si="58"/>
        <v>0</v>
      </c>
      <c r="BO21">
        <f t="shared" si="59"/>
        <v>0</v>
      </c>
      <c r="BP21">
        <f t="shared" si="60"/>
        <v>0</v>
      </c>
      <c r="BQ21">
        <f t="shared" si="61"/>
        <v>0</v>
      </c>
    </row>
    <row r="22" spans="1:69" x14ac:dyDescent="0.25">
      <c r="A22" s="2">
        <v>20</v>
      </c>
      <c r="B22" s="2">
        <v>5</v>
      </c>
      <c r="C22">
        <v>2</v>
      </c>
      <c r="D22">
        <v>2</v>
      </c>
      <c r="E22">
        <v>1</v>
      </c>
      <c r="F22">
        <f t="shared" si="1"/>
        <v>1</v>
      </c>
      <c r="G22">
        <f t="shared" si="62"/>
        <v>1</v>
      </c>
      <c r="H22">
        <f t="shared" si="63"/>
        <v>0.5</v>
      </c>
      <c r="I22">
        <f t="shared" si="64"/>
        <v>0.5</v>
      </c>
      <c r="J22">
        <f t="shared" si="2"/>
        <v>0.3</v>
      </c>
      <c r="K22">
        <f t="shared" si="3"/>
        <v>1.5</v>
      </c>
      <c r="L22">
        <f t="shared" si="4"/>
        <v>0</v>
      </c>
      <c r="M22">
        <f t="shared" si="5"/>
        <v>0.2</v>
      </c>
      <c r="N22">
        <f t="shared" si="6"/>
        <v>0.5</v>
      </c>
      <c r="O22">
        <f t="shared" si="7"/>
        <v>0.5</v>
      </c>
      <c r="P22">
        <f t="shared" si="8"/>
        <v>0.5</v>
      </c>
      <c r="Q22">
        <f t="shared" si="9"/>
        <v>12</v>
      </c>
      <c r="R22">
        <f t="shared" si="10"/>
        <v>0</v>
      </c>
      <c r="S22">
        <f t="shared" si="11"/>
        <v>0</v>
      </c>
      <c r="T22">
        <f t="shared" si="12"/>
        <v>0</v>
      </c>
      <c r="U22">
        <f t="shared" si="13"/>
        <v>0</v>
      </c>
      <c r="V22">
        <f t="shared" si="14"/>
        <v>0</v>
      </c>
      <c r="W22">
        <f t="shared" si="15"/>
        <v>0</v>
      </c>
      <c r="X22">
        <f t="shared" si="16"/>
        <v>0</v>
      </c>
      <c r="Y22">
        <f t="shared" si="17"/>
        <v>0</v>
      </c>
      <c r="Z22">
        <f t="shared" si="18"/>
        <v>0</v>
      </c>
      <c r="AA22">
        <f t="shared" si="19"/>
        <v>0</v>
      </c>
      <c r="AB22">
        <f t="shared" si="20"/>
        <v>0</v>
      </c>
      <c r="AC22">
        <f t="shared" si="21"/>
        <v>0</v>
      </c>
      <c r="AD22">
        <f t="shared" si="22"/>
        <v>0</v>
      </c>
      <c r="AE22">
        <f t="shared" si="23"/>
        <v>0</v>
      </c>
      <c r="AF22">
        <f t="shared" si="24"/>
        <v>0</v>
      </c>
      <c r="AG22">
        <f t="shared" si="25"/>
        <v>0</v>
      </c>
      <c r="AH22">
        <f t="shared" si="26"/>
        <v>0</v>
      </c>
      <c r="AI22">
        <f t="shared" si="27"/>
        <v>0</v>
      </c>
      <c r="AJ22">
        <f t="shared" si="28"/>
        <v>0</v>
      </c>
      <c r="AK22">
        <f t="shared" si="29"/>
        <v>0</v>
      </c>
      <c r="AL22">
        <f t="shared" si="30"/>
        <v>0</v>
      </c>
      <c r="AM22">
        <f t="shared" si="31"/>
        <v>0</v>
      </c>
      <c r="AN22">
        <f t="shared" si="32"/>
        <v>0</v>
      </c>
      <c r="AO22">
        <f t="shared" si="33"/>
        <v>0</v>
      </c>
      <c r="AP22">
        <f t="shared" si="34"/>
        <v>0</v>
      </c>
      <c r="AQ22">
        <f t="shared" si="35"/>
        <v>0</v>
      </c>
      <c r="AR22">
        <f t="shared" si="36"/>
        <v>0</v>
      </c>
      <c r="AS22">
        <f t="shared" si="37"/>
        <v>0</v>
      </c>
      <c r="AT22">
        <f t="shared" si="38"/>
        <v>0</v>
      </c>
      <c r="AU22">
        <f t="shared" si="39"/>
        <v>0</v>
      </c>
      <c r="AV22">
        <f t="shared" si="40"/>
        <v>0</v>
      </c>
      <c r="AW22">
        <f t="shared" si="41"/>
        <v>0</v>
      </c>
      <c r="AX22">
        <f t="shared" si="42"/>
        <v>0</v>
      </c>
      <c r="AY22">
        <f t="shared" si="43"/>
        <v>0</v>
      </c>
      <c r="AZ22">
        <f t="shared" si="44"/>
        <v>0</v>
      </c>
      <c r="BA22">
        <f t="shared" si="45"/>
        <v>0</v>
      </c>
      <c r="BB22">
        <f t="shared" si="46"/>
        <v>0</v>
      </c>
      <c r="BC22">
        <f t="shared" si="47"/>
        <v>0</v>
      </c>
      <c r="BD22">
        <f t="shared" si="48"/>
        <v>0</v>
      </c>
      <c r="BE22">
        <f t="shared" si="49"/>
        <v>0</v>
      </c>
      <c r="BF22">
        <f t="shared" si="50"/>
        <v>0</v>
      </c>
      <c r="BG22">
        <f t="shared" si="51"/>
        <v>0</v>
      </c>
      <c r="BH22">
        <f t="shared" si="52"/>
        <v>0</v>
      </c>
      <c r="BI22">
        <f t="shared" si="53"/>
        <v>0</v>
      </c>
      <c r="BJ22">
        <f t="shared" si="54"/>
        <v>0</v>
      </c>
      <c r="BK22">
        <f t="shared" si="55"/>
        <v>0</v>
      </c>
      <c r="BL22">
        <f t="shared" si="56"/>
        <v>0</v>
      </c>
      <c r="BM22">
        <f t="shared" si="57"/>
        <v>0</v>
      </c>
      <c r="BN22">
        <f t="shared" si="58"/>
        <v>0</v>
      </c>
      <c r="BO22">
        <f t="shared" si="59"/>
        <v>0</v>
      </c>
      <c r="BP22">
        <f t="shared" si="60"/>
        <v>0</v>
      </c>
      <c r="BQ22">
        <f t="shared" si="61"/>
        <v>0</v>
      </c>
    </row>
    <row r="23" spans="1:69" x14ac:dyDescent="0.25">
      <c r="A23" s="2">
        <v>21</v>
      </c>
      <c r="B23" s="2">
        <v>5</v>
      </c>
      <c r="C23">
        <v>2</v>
      </c>
      <c r="D23">
        <v>2</v>
      </c>
      <c r="E23">
        <v>1</v>
      </c>
      <c r="F23">
        <f t="shared" si="1"/>
        <v>1</v>
      </c>
      <c r="G23">
        <f t="shared" si="62"/>
        <v>1</v>
      </c>
      <c r="H23">
        <f t="shared" si="63"/>
        <v>0.5</v>
      </c>
      <c r="I23">
        <f t="shared" si="64"/>
        <v>0.5</v>
      </c>
      <c r="J23">
        <f t="shared" si="2"/>
        <v>0.3</v>
      </c>
      <c r="K23">
        <f t="shared" si="3"/>
        <v>1.5</v>
      </c>
      <c r="L23">
        <f t="shared" si="4"/>
        <v>0</v>
      </c>
      <c r="M23">
        <f t="shared" si="5"/>
        <v>0.2</v>
      </c>
      <c r="N23">
        <f t="shared" si="6"/>
        <v>0.5</v>
      </c>
      <c r="O23">
        <f t="shared" si="7"/>
        <v>0.5</v>
      </c>
      <c r="P23">
        <f t="shared" si="8"/>
        <v>0.5</v>
      </c>
      <c r="Q23">
        <f t="shared" si="9"/>
        <v>12</v>
      </c>
      <c r="R23">
        <f t="shared" si="10"/>
        <v>0</v>
      </c>
      <c r="S23">
        <f t="shared" si="11"/>
        <v>0</v>
      </c>
      <c r="T23">
        <f t="shared" si="12"/>
        <v>0</v>
      </c>
      <c r="U23">
        <f t="shared" si="13"/>
        <v>0</v>
      </c>
      <c r="V23">
        <f t="shared" si="14"/>
        <v>0</v>
      </c>
      <c r="W23">
        <f t="shared" si="15"/>
        <v>0</v>
      </c>
      <c r="X23">
        <f t="shared" si="16"/>
        <v>0</v>
      </c>
      <c r="Y23">
        <f t="shared" si="17"/>
        <v>0</v>
      </c>
      <c r="Z23">
        <f t="shared" si="18"/>
        <v>0</v>
      </c>
      <c r="AA23">
        <f t="shared" si="19"/>
        <v>0</v>
      </c>
      <c r="AB23">
        <f t="shared" si="20"/>
        <v>0</v>
      </c>
      <c r="AC23">
        <f t="shared" si="21"/>
        <v>0</v>
      </c>
      <c r="AD23">
        <f t="shared" si="22"/>
        <v>0</v>
      </c>
      <c r="AE23">
        <f t="shared" si="23"/>
        <v>0</v>
      </c>
      <c r="AF23">
        <f t="shared" si="24"/>
        <v>0</v>
      </c>
      <c r="AG23">
        <f t="shared" si="25"/>
        <v>0</v>
      </c>
      <c r="AH23">
        <f t="shared" si="26"/>
        <v>0</v>
      </c>
      <c r="AI23">
        <f t="shared" si="27"/>
        <v>0</v>
      </c>
      <c r="AJ23">
        <f t="shared" si="28"/>
        <v>0</v>
      </c>
      <c r="AK23">
        <f t="shared" si="29"/>
        <v>0</v>
      </c>
      <c r="AL23">
        <f t="shared" si="30"/>
        <v>0</v>
      </c>
      <c r="AM23">
        <f t="shared" si="31"/>
        <v>0</v>
      </c>
      <c r="AN23">
        <f t="shared" si="32"/>
        <v>0</v>
      </c>
      <c r="AO23">
        <f t="shared" si="33"/>
        <v>0</v>
      </c>
      <c r="AP23">
        <f t="shared" si="34"/>
        <v>0</v>
      </c>
      <c r="AQ23">
        <f t="shared" si="35"/>
        <v>0</v>
      </c>
      <c r="AR23">
        <f t="shared" si="36"/>
        <v>0</v>
      </c>
      <c r="AS23">
        <f t="shared" si="37"/>
        <v>0</v>
      </c>
      <c r="AT23">
        <f t="shared" si="38"/>
        <v>0</v>
      </c>
      <c r="AU23">
        <f t="shared" si="39"/>
        <v>0</v>
      </c>
      <c r="AV23">
        <f t="shared" si="40"/>
        <v>0</v>
      </c>
      <c r="AW23">
        <f t="shared" si="41"/>
        <v>0</v>
      </c>
      <c r="AX23">
        <f t="shared" si="42"/>
        <v>0</v>
      </c>
      <c r="AY23">
        <f t="shared" si="43"/>
        <v>0</v>
      </c>
      <c r="AZ23">
        <f t="shared" si="44"/>
        <v>0</v>
      </c>
      <c r="BA23">
        <f t="shared" si="45"/>
        <v>0</v>
      </c>
      <c r="BB23">
        <f t="shared" si="46"/>
        <v>0</v>
      </c>
      <c r="BC23">
        <f t="shared" si="47"/>
        <v>0</v>
      </c>
      <c r="BD23">
        <f t="shared" si="48"/>
        <v>0</v>
      </c>
      <c r="BE23">
        <f t="shared" si="49"/>
        <v>0</v>
      </c>
      <c r="BF23">
        <f t="shared" si="50"/>
        <v>0</v>
      </c>
      <c r="BG23">
        <f t="shared" si="51"/>
        <v>0</v>
      </c>
      <c r="BH23">
        <f t="shared" si="52"/>
        <v>0</v>
      </c>
      <c r="BI23">
        <f t="shared" si="53"/>
        <v>0</v>
      </c>
      <c r="BJ23">
        <f t="shared" si="54"/>
        <v>0</v>
      </c>
      <c r="BK23">
        <f t="shared" si="55"/>
        <v>0</v>
      </c>
      <c r="BL23">
        <f t="shared" si="56"/>
        <v>0</v>
      </c>
      <c r="BM23">
        <f t="shared" si="57"/>
        <v>0</v>
      </c>
      <c r="BN23">
        <f t="shared" si="58"/>
        <v>0</v>
      </c>
      <c r="BO23">
        <f t="shared" si="59"/>
        <v>0</v>
      </c>
      <c r="BP23">
        <f t="shared" si="60"/>
        <v>0</v>
      </c>
      <c r="BQ23">
        <f t="shared" si="61"/>
        <v>0</v>
      </c>
    </row>
    <row r="24" spans="1:69" x14ac:dyDescent="0.25">
      <c r="A24" s="2">
        <v>22</v>
      </c>
      <c r="B24" s="2">
        <v>5</v>
      </c>
      <c r="C24">
        <v>2</v>
      </c>
      <c r="D24">
        <v>2</v>
      </c>
      <c r="E24">
        <v>1</v>
      </c>
      <c r="F24">
        <f t="shared" si="1"/>
        <v>1</v>
      </c>
      <c r="G24">
        <f t="shared" si="62"/>
        <v>1</v>
      </c>
      <c r="H24">
        <f t="shared" si="63"/>
        <v>0.5</v>
      </c>
      <c r="I24">
        <f t="shared" si="64"/>
        <v>0.5</v>
      </c>
      <c r="J24">
        <f t="shared" si="2"/>
        <v>0.3</v>
      </c>
      <c r="K24">
        <f t="shared" si="3"/>
        <v>1.5</v>
      </c>
      <c r="L24">
        <f t="shared" si="4"/>
        <v>0</v>
      </c>
      <c r="M24">
        <f t="shared" si="5"/>
        <v>0.2</v>
      </c>
      <c r="N24">
        <f t="shared" si="6"/>
        <v>0.5</v>
      </c>
      <c r="O24">
        <f t="shared" si="7"/>
        <v>0.5</v>
      </c>
      <c r="P24">
        <f t="shared" si="8"/>
        <v>0.5</v>
      </c>
      <c r="Q24">
        <f t="shared" si="9"/>
        <v>12</v>
      </c>
      <c r="R24">
        <f t="shared" si="10"/>
        <v>0</v>
      </c>
      <c r="S24">
        <f t="shared" si="11"/>
        <v>0</v>
      </c>
      <c r="T24">
        <f t="shared" si="12"/>
        <v>0</v>
      </c>
      <c r="U24">
        <f t="shared" si="13"/>
        <v>0</v>
      </c>
      <c r="V24">
        <f t="shared" si="14"/>
        <v>0</v>
      </c>
      <c r="W24">
        <f t="shared" si="15"/>
        <v>0</v>
      </c>
      <c r="X24">
        <f t="shared" si="16"/>
        <v>0</v>
      </c>
      <c r="Y24">
        <f t="shared" si="17"/>
        <v>0</v>
      </c>
      <c r="Z24">
        <f t="shared" si="18"/>
        <v>0</v>
      </c>
      <c r="AA24">
        <f t="shared" si="19"/>
        <v>0</v>
      </c>
      <c r="AB24">
        <f t="shared" si="20"/>
        <v>0</v>
      </c>
      <c r="AC24">
        <f t="shared" si="21"/>
        <v>0</v>
      </c>
      <c r="AD24">
        <f t="shared" si="22"/>
        <v>0</v>
      </c>
      <c r="AE24">
        <f t="shared" si="23"/>
        <v>0</v>
      </c>
      <c r="AF24">
        <f t="shared" si="24"/>
        <v>0</v>
      </c>
      <c r="AG24">
        <f t="shared" si="25"/>
        <v>0</v>
      </c>
      <c r="AH24">
        <f t="shared" si="26"/>
        <v>0</v>
      </c>
      <c r="AI24">
        <f t="shared" si="27"/>
        <v>0</v>
      </c>
      <c r="AJ24">
        <f t="shared" si="28"/>
        <v>0</v>
      </c>
      <c r="AK24">
        <f t="shared" si="29"/>
        <v>0</v>
      </c>
      <c r="AL24">
        <f t="shared" si="30"/>
        <v>0</v>
      </c>
      <c r="AM24">
        <f t="shared" si="31"/>
        <v>0</v>
      </c>
      <c r="AN24">
        <f t="shared" si="32"/>
        <v>0</v>
      </c>
      <c r="AO24">
        <f t="shared" si="33"/>
        <v>0</v>
      </c>
      <c r="AP24">
        <f t="shared" si="34"/>
        <v>0</v>
      </c>
      <c r="AQ24">
        <f t="shared" si="35"/>
        <v>0</v>
      </c>
      <c r="AR24">
        <f t="shared" si="36"/>
        <v>0</v>
      </c>
      <c r="AS24">
        <f t="shared" si="37"/>
        <v>0</v>
      </c>
      <c r="AT24">
        <f t="shared" si="38"/>
        <v>0</v>
      </c>
      <c r="AU24">
        <f t="shared" si="39"/>
        <v>0</v>
      </c>
      <c r="AV24">
        <f t="shared" si="40"/>
        <v>0</v>
      </c>
      <c r="AW24">
        <f t="shared" si="41"/>
        <v>0</v>
      </c>
      <c r="AX24">
        <f t="shared" si="42"/>
        <v>0</v>
      </c>
      <c r="AY24">
        <f t="shared" si="43"/>
        <v>0</v>
      </c>
      <c r="AZ24">
        <f t="shared" si="44"/>
        <v>0</v>
      </c>
      <c r="BA24">
        <f t="shared" si="45"/>
        <v>0</v>
      </c>
      <c r="BB24">
        <f t="shared" si="46"/>
        <v>0</v>
      </c>
      <c r="BC24">
        <f t="shared" si="47"/>
        <v>0</v>
      </c>
      <c r="BD24">
        <f t="shared" si="48"/>
        <v>0</v>
      </c>
      <c r="BE24">
        <f t="shared" si="49"/>
        <v>0</v>
      </c>
      <c r="BF24">
        <f t="shared" si="50"/>
        <v>0</v>
      </c>
      <c r="BG24">
        <f t="shared" si="51"/>
        <v>0</v>
      </c>
      <c r="BH24">
        <f t="shared" si="52"/>
        <v>0</v>
      </c>
      <c r="BI24">
        <f t="shared" si="53"/>
        <v>0</v>
      </c>
      <c r="BJ24">
        <f t="shared" si="54"/>
        <v>0</v>
      </c>
      <c r="BK24">
        <f t="shared" si="55"/>
        <v>0</v>
      </c>
      <c r="BL24">
        <f t="shared" si="56"/>
        <v>0</v>
      </c>
      <c r="BM24">
        <f t="shared" si="57"/>
        <v>0</v>
      </c>
      <c r="BN24">
        <f t="shared" si="58"/>
        <v>0</v>
      </c>
      <c r="BO24">
        <f t="shared" si="59"/>
        <v>0</v>
      </c>
      <c r="BP24">
        <f t="shared" si="60"/>
        <v>0</v>
      </c>
      <c r="BQ24">
        <f t="shared" si="61"/>
        <v>0</v>
      </c>
    </row>
    <row r="25" spans="1:69" x14ac:dyDescent="0.25">
      <c r="A25" s="2">
        <v>23</v>
      </c>
      <c r="B25" s="2">
        <v>5</v>
      </c>
      <c r="C25">
        <v>2</v>
      </c>
      <c r="D25">
        <v>2</v>
      </c>
      <c r="E25">
        <v>1</v>
      </c>
      <c r="F25">
        <f t="shared" si="1"/>
        <v>1</v>
      </c>
      <c r="G25">
        <f t="shared" si="62"/>
        <v>1</v>
      </c>
      <c r="H25">
        <f t="shared" si="63"/>
        <v>0.5</v>
      </c>
      <c r="I25">
        <f t="shared" si="64"/>
        <v>0.5</v>
      </c>
      <c r="J25">
        <f t="shared" si="2"/>
        <v>0.3</v>
      </c>
      <c r="K25">
        <f t="shared" si="3"/>
        <v>1.5</v>
      </c>
      <c r="L25">
        <f t="shared" si="4"/>
        <v>0</v>
      </c>
      <c r="M25">
        <f t="shared" si="5"/>
        <v>0.2</v>
      </c>
      <c r="N25">
        <f t="shared" si="6"/>
        <v>0.5</v>
      </c>
      <c r="O25">
        <f t="shared" si="7"/>
        <v>0.5</v>
      </c>
      <c r="P25">
        <f t="shared" si="8"/>
        <v>0.5</v>
      </c>
      <c r="Q25">
        <f t="shared" si="9"/>
        <v>12</v>
      </c>
      <c r="R25">
        <f t="shared" si="10"/>
        <v>0</v>
      </c>
      <c r="S25">
        <f t="shared" si="11"/>
        <v>0</v>
      </c>
      <c r="T25">
        <f t="shared" si="12"/>
        <v>0</v>
      </c>
      <c r="U25">
        <f t="shared" si="13"/>
        <v>0</v>
      </c>
      <c r="V25">
        <f t="shared" si="14"/>
        <v>0</v>
      </c>
      <c r="W25">
        <f t="shared" si="15"/>
        <v>0</v>
      </c>
      <c r="X25">
        <f t="shared" si="16"/>
        <v>0</v>
      </c>
      <c r="Y25">
        <f t="shared" si="17"/>
        <v>0</v>
      </c>
      <c r="Z25">
        <f t="shared" si="18"/>
        <v>0</v>
      </c>
      <c r="AA25">
        <f t="shared" si="19"/>
        <v>0</v>
      </c>
      <c r="AB25">
        <f t="shared" si="20"/>
        <v>0</v>
      </c>
      <c r="AC25">
        <f t="shared" si="21"/>
        <v>0</v>
      </c>
      <c r="AD25">
        <f t="shared" si="22"/>
        <v>0</v>
      </c>
      <c r="AE25">
        <f t="shared" si="23"/>
        <v>0</v>
      </c>
      <c r="AF25">
        <f t="shared" si="24"/>
        <v>0</v>
      </c>
      <c r="AG25">
        <f t="shared" si="25"/>
        <v>0</v>
      </c>
      <c r="AH25">
        <f t="shared" si="26"/>
        <v>0</v>
      </c>
      <c r="AI25">
        <f t="shared" si="27"/>
        <v>0</v>
      </c>
      <c r="AJ25">
        <f t="shared" si="28"/>
        <v>0</v>
      </c>
      <c r="AK25">
        <f t="shared" si="29"/>
        <v>0</v>
      </c>
      <c r="AL25">
        <f t="shared" si="30"/>
        <v>0</v>
      </c>
      <c r="AM25">
        <f t="shared" si="31"/>
        <v>0</v>
      </c>
      <c r="AN25">
        <f t="shared" si="32"/>
        <v>0</v>
      </c>
      <c r="AO25">
        <f t="shared" si="33"/>
        <v>0</v>
      </c>
      <c r="AP25">
        <f t="shared" si="34"/>
        <v>0</v>
      </c>
      <c r="AQ25">
        <f t="shared" si="35"/>
        <v>0</v>
      </c>
      <c r="AR25">
        <f t="shared" si="36"/>
        <v>0</v>
      </c>
      <c r="AS25">
        <f t="shared" si="37"/>
        <v>0</v>
      </c>
      <c r="AT25">
        <f t="shared" si="38"/>
        <v>0</v>
      </c>
      <c r="AU25">
        <f t="shared" si="39"/>
        <v>0</v>
      </c>
      <c r="AV25">
        <f t="shared" si="40"/>
        <v>0</v>
      </c>
      <c r="AW25">
        <f t="shared" si="41"/>
        <v>0</v>
      </c>
      <c r="AX25">
        <f t="shared" si="42"/>
        <v>0</v>
      </c>
      <c r="AY25">
        <f t="shared" si="43"/>
        <v>0</v>
      </c>
      <c r="AZ25">
        <f t="shared" si="44"/>
        <v>0</v>
      </c>
      <c r="BA25">
        <f t="shared" si="45"/>
        <v>0</v>
      </c>
      <c r="BB25">
        <f t="shared" si="46"/>
        <v>0</v>
      </c>
      <c r="BC25">
        <f t="shared" si="47"/>
        <v>0</v>
      </c>
      <c r="BD25">
        <f t="shared" si="48"/>
        <v>0</v>
      </c>
      <c r="BE25">
        <f t="shared" si="49"/>
        <v>0</v>
      </c>
      <c r="BF25">
        <f t="shared" si="50"/>
        <v>0</v>
      </c>
      <c r="BG25">
        <f t="shared" si="51"/>
        <v>0</v>
      </c>
      <c r="BH25">
        <f t="shared" si="52"/>
        <v>0</v>
      </c>
      <c r="BI25">
        <f t="shared" si="53"/>
        <v>0</v>
      </c>
      <c r="BJ25">
        <f t="shared" si="54"/>
        <v>0</v>
      </c>
      <c r="BK25">
        <f t="shared" si="55"/>
        <v>0</v>
      </c>
      <c r="BL25">
        <f t="shared" si="56"/>
        <v>0</v>
      </c>
      <c r="BM25">
        <f t="shared" si="57"/>
        <v>0</v>
      </c>
      <c r="BN25">
        <f t="shared" si="58"/>
        <v>0</v>
      </c>
      <c r="BO25">
        <f t="shared" si="59"/>
        <v>0</v>
      </c>
      <c r="BP25">
        <f t="shared" si="60"/>
        <v>0</v>
      </c>
      <c r="BQ25">
        <f t="shared" si="61"/>
        <v>0</v>
      </c>
    </row>
    <row r="26" spans="1:69" x14ac:dyDescent="0.25">
      <c r="A26" s="2">
        <v>24</v>
      </c>
      <c r="B26" s="2">
        <v>5</v>
      </c>
      <c r="C26">
        <v>2</v>
      </c>
      <c r="D26">
        <v>2</v>
      </c>
      <c r="E26">
        <v>1</v>
      </c>
      <c r="F26">
        <f t="shared" si="1"/>
        <v>1</v>
      </c>
      <c r="G26">
        <f t="shared" si="62"/>
        <v>1</v>
      </c>
      <c r="H26">
        <f t="shared" si="63"/>
        <v>0.5</v>
      </c>
      <c r="I26">
        <f t="shared" si="64"/>
        <v>0.5</v>
      </c>
      <c r="J26">
        <f t="shared" si="2"/>
        <v>0.3</v>
      </c>
      <c r="K26">
        <f t="shared" si="3"/>
        <v>1.5</v>
      </c>
      <c r="L26">
        <f t="shared" si="4"/>
        <v>0</v>
      </c>
      <c r="M26">
        <f t="shared" si="5"/>
        <v>0.2</v>
      </c>
      <c r="N26">
        <f t="shared" si="6"/>
        <v>0.5</v>
      </c>
      <c r="O26">
        <f t="shared" si="7"/>
        <v>0.5</v>
      </c>
      <c r="P26">
        <f t="shared" si="8"/>
        <v>0.5</v>
      </c>
      <c r="Q26">
        <f t="shared" si="9"/>
        <v>12</v>
      </c>
      <c r="R26">
        <f t="shared" si="10"/>
        <v>0</v>
      </c>
      <c r="S26">
        <f t="shared" si="11"/>
        <v>0</v>
      </c>
      <c r="T26">
        <f t="shared" si="12"/>
        <v>0</v>
      </c>
      <c r="U26">
        <f t="shared" si="13"/>
        <v>0</v>
      </c>
      <c r="V26">
        <f t="shared" si="14"/>
        <v>0</v>
      </c>
      <c r="W26">
        <f t="shared" si="15"/>
        <v>0</v>
      </c>
      <c r="X26">
        <f t="shared" si="16"/>
        <v>0</v>
      </c>
      <c r="Y26">
        <f t="shared" si="17"/>
        <v>0</v>
      </c>
      <c r="Z26">
        <f t="shared" si="18"/>
        <v>0</v>
      </c>
      <c r="AA26">
        <f t="shared" si="19"/>
        <v>0</v>
      </c>
      <c r="AB26">
        <f t="shared" si="20"/>
        <v>0</v>
      </c>
      <c r="AC26">
        <f t="shared" si="21"/>
        <v>0</v>
      </c>
      <c r="AD26">
        <f t="shared" si="22"/>
        <v>0</v>
      </c>
      <c r="AE26">
        <f t="shared" si="23"/>
        <v>0</v>
      </c>
      <c r="AF26">
        <f t="shared" si="24"/>
        <v>0</v>
      </c>
      <c r="AG26">
        <f t="shared" si="25"/>
        <v>0</v>
      </c>
      <c r="AH26">
        <f t="shared" si="26"/>
        <v>0</v>
      </c>
      <c r="AI26">
        <f t="shared" si="27"/>
        <v>0</v>
      </c>
      <c r="AJ26">
        <f t="shared" si="28"/>
        <v>0</v>
      </c>
      <c r="AK26">
        <f t="shared" si="29"/>
        <v>0</v>
      </c>
      <c r="AL26">
        <f t="shared" si="30"/>
        <v>0</v>
      </c>
      <c r="AM26">
        <f t="shared" si="31"/>
        <v>0</v>
      </c>
      <c r="AN26">
        <f t="shared" si="32"/>
        <v>0</v>
      </c>
      <c r="AO26">
        <f t="shared" si="33"/>
        <v>0</v>
      </c>
      <c r="AP26">
        <f t="shared" si="34"/>
        <v>0</v>
      </c>
      <c r="AQ26">
        <f t="shared" si="35"/>
        <v>0</v>
      </c>
      <c r="AR26">
        <f t="shared" si="36"/>
        <v>0</v>
      </c>
      <c r="AS26">
        <f t="shared" si="37"/>
        <v>0</v>
      </c>
      <c r="AT26">
        <f t="shared" si="38"/>
        <v>0</v>
      </c>
      <c r="AU26">
        <f t="shared" si="39"/>
        <v>0</v>
      </c>
      <c r="AV26">
        <f t="shared" si="40"/>
        <v>0</v>
      </c>
      <c r="AW26">
        <f t="shared" si="41"/>
        <v>0</v>
      </c>
      <c r="AX26">
        <f t="shared" si="42"/>
        <v>0</v>
      </c>
      <c r="AY26">
        <f t="shared" si="43"/>
        <v>0</v>
      </c>
      <c r="AZ26">
        <f t="shared" si="44"/>
        <v>0</v>
      </c>
      <c r="BA26">
        <f t="shared" si="45"/>
        <v>0</v>
      </c>
      <c r="BB26">
        <f t="shared" si="46"/>
        <v>0</v>
      </c>
      <c r="BC26">
        <f t="shared" si="47"/>
        <v>0</v>
      </c>
      <c r="BD26">
        <f t="shared" si="48"/>
        <v>0</v>
      </c>
      <c r="BE26">
        <f t="shared" si="49"/>
        <v>0</v>
      </c>
      <c r="BF26">
        <f t="shared" si="50"/>
        <v>0</v>
      </c>
      <c r="BG26">
        <f t="shared" si="51"/>
        <v>0</v>
      </c>
      <c r="BH26">
        <f t="shared" si="52"/>
        <v>0</v>
      </c>
      <c r="BI26">
        <f t="shared" si="53"/>
        <v>0</v>
      </c>
      <c r="BJ26">
        <f t="shared" si="54"/>
        <v>0</v>
      </c>
      <c r="BK26">
        <f t="shared" si="55"/>
        <v>0</v>
      </c>
      <c r="BL26">
        <f t="shared" si="56"/>
        <v>0</v>
      </c>
      <c r="BM26">
        <f t="shared" si="57"/>
        <v>0</v>
      </c>
      <c r="BN26">
        <f t="shared" si="58"/>
        <v>0</v>
      </c>
      <c r="BO26">
        <f t="shared" si="59"/>
        <v>0</v>
      </c>
      <c r="BP26">
        <f t="shared" si="60"/>
        <v>0</v>
      </c>
      <c r="BQ26">
        <f t="shared" si="61"/>
        <v>0</v>
      </c>
    </row>
    <row r="27" spans="1:69" x14ac:dyDescent="0.25">
      <c r="A27" s="2">
        <v>25</v>
      </c>
      <c r="B27" s="2">
        <v>5</v>
      </c>
      <c r="C27">
        <v>2</v>
      </c>
      <c r="D27">
        <v>2</v>
      </c>
      <c r="E27">
        <v>1</v>
      </c>
      <c r="F27">
        <f t="shared" si="1"/>
        <v>1</v>
      </c>
      <c r="G27">
        <f t="shared" si="62"/>
        <v>1</v>
      </c>
      <c r="H27">
        <f t="shared" si="63"/>
        <v>0.5</v>
      </c>
      <c r="I27">
        <f t="shared" si="64"/>
        <v>0.5</v>
      </c>
      <c r="J27">
        <f t="shared" si="2"/>
        <v>0.3</v>
      </c>
      <c r="K27">
        <f t="shared" si="3"/>
        <v>1.5</v>
      </c>
      <c r="L27">
        <f t="shared" si="4"/>
        <v>0</v>
      </c>
      <c r="M27">
        <f t="shared" si="5"/>
        <v>0.2</v>
      </c>
      <c r="N27">
        <f t="shared" si="6"/>
        <v>0.5</v>
      </c>
      <c r="O27">
        <f t="shared" si="7"/>
        <v>0.5</v>
      </c>
      <c r="P27">
        <f t="shared" si="8"/>
        <v>0.5</v>
      </c>
      <c r="Q27">
        <f t="shared" si="9"/>
        <v>12</v>
      </c>
      <c r="R27">
        <f t="shared" si="10"/>
        <v>0</v>
      </c>
      <c r="S27">
        <f t="shared" si="11"/>
        <v>0</v>
      </c>
      <c r="T27">
        <f t="shared" si="12"/>
        <v>0</v>
      </c>
      <c r="U27">
        <f t="shared" si="13"/>
        <v>0</v>
      </c>
      <c r="V27">
        <f t="shared" si="14"/>
        <v>0</v>
      </c>
      <c r="W27">
        <f t="shared" si="15"/>
        <v>0</v>
      </c>
      <c r="X27">
        <f t="shared" si="16"/>
        <v>0</v>
      </c>
      <c r="Y27">
        <f t="shared" si="17"/>
        <v>0</v>
      </c>
      <c r="Z27">
        <f t="shared" si="18"/>
        <v>0</v>
      </c>
      <c r="AA27">
        <f t="shared" si="19"/>
        <v>0</v>
      </c>
      <c r="AB27">
        <f t="shared" si="20"/>
        <v>0</v>
      </c>
      <c r="AC27">
        <f t="shared" si="21"/>
        <v>0</v>
      </c>
      <c r="AD27">
        <f t="shared" si="22"/>
        <v>0</v>
      </c>
      <c r="AE27">
        <f t="shared" si="23"/>
        <v>0</v>
      </c>
      <c r="AF27">
        <f t="shared" si="24"/>
        <v>0</v>
      </c>
      <c r="AG27">
        <f t="shared" si="25"/>
        <v>0</v>
      </c>
      <c r="AH27">
        <f t="shared" si="26"/>
        <v>0</v>
      </c>
      <c r="AI27">
        <f t="shared" si="27"/>
        <v>0</v>
      </c>
      <c r="AJ27">
        <f t="shared" si="28"/>
        <v>0</v>
      </c>
      <c r="AK27">
        <f t="shared" si="29"/>
        <v>0</v>
      </c>
      <c r="AL27">
        <f t="shared" si="30"/>
        <v>0</v>
      </c>
      <c r="AM27">
        <f t="shared" si="31"/>
        <v>0</v>
      </c>
      <c r="AN27">
        <f t="shared" si="32"/>
        <v>0</v>
      </c>
      <c r="AO27">
        <f t="shared" si="33"/>
        <v>0</v>
      </c>
      <c r="AP27">
        <f t="shared" si="34"/>
        <v>0</v>
      </c>
      <c r="AQ27">
        <f t="shared" si="35"/>
        <v>0</v>
      </c>
      <c r="AR27">
        <f t="shared" si="36"/>
        <v>0</v>
      </c>
      <c r="AS27">
        <f t="shared" si="37"/>
        <v>0</v>
      </c>
      <c r="AT27">
        <f t="shared" si="38"/>
        <v>0</v>
      </c>
      <c r="AU27">
        <f t="shared" si="39"/>
        <v>0</v>
      </c>
      <c r="AV27">
        <f t="shared" si="40"/>
        <v>0</v>
      </c>
      <c r="AW27">
        <f t="shared" si="41"/>
        <v>0</v>
      </c>
      <c r="AX27">
        <f t="shared" si="42"/>
        <v>0</v>
      </c>
      <c r="AY27">
        <f t="shared" si="43"/>
        <v>0</v>
      </c>
      <c r="AZ27">
        <f t="shared" si="44"/>
        <v>0</v>
      </c>
      <c r="BA27">
        <f t="shared" si="45"/>
        <v>0</v>
      </c>
      <c r="BB27">
        <f t="shared" si="46"/>
        <v>0</v>
      </c>
      <c r="BC27">
        <f t="shared" si="47"/>
        <v>0</v>
      </c>
      <c r="BD27">
        <f t="shared" si="48"/>
        <v>0</v>
      </c>
      <c r="BE27">
        <f t="shared" si="49"/>
        <v>0</v>
      </c>
      <c r="BF27">
        <f t="shared" si="50"/>
        <v>0</v>
      </c>
      <c r="BG27">
        <f t="shared" si="51"/>
        <v>0</v>
      </c>
      <c r="BH27">
        <f t="shared" si="52"/>
        <v>0</v>
      </c>
      <c r="BI27">
        <f t="shared" si="53"/>
        <v>0</v>
      </c>
      <c r="BJ27">
        <f t="shared" si="54"/>
        <v>0</v>
      </c>
      <c r="BK27">
        <f t="shared" si="55"/>
        <v>0</v>
      </c>
      <c r="BL27">
        <f t="shared" si="56"/>
        <v>0</v>
      </c>
      <c r="BM27">
        <f t="shared" si="57"/>
        <v>0</v>
      </c>
      <c r="BN27">
        <f t="shared" si="58"/>
        <v>0</v>
      </c>
      <c r="BO27">
        <f t="shared" si="59"/>
        <v>0</v>
      </c>
      <c r="BP27">
        <f t="shared" si="60"/>
        <v>0</v>
      </c>
      <c r="BQ27">
        <f t="shared" si="61"/>
        <v>0</v>
      </c>
    </row>
    <row r="28" spans="1:69" x14ac:dyDescent="0.25">
      <c r="A28" s="2">
        <v>26</v>
      </c>
      <c r="B28" s="2">
        <v>5</v>
      </c>
      <c r="C28">
        <v>2</v>
      </c>
      <c r="D28">
        <v>2</v>
      </c>
      <c r="E28">
        <v>1</v>
      </c>
      <c r="F28">
        <f t="shared" si="1"/>
        <v>1</v>
      </c>
      <c r="G28">
        <f t="shared" si="62"/>
        <v>1</v>
      </c>
      <c r="H28">
        <f t="shared" si="63"/>
        <v>0.5</v>
      </c>
      <c r="I28">
        <f t="shared" si="64"/>
        <v>0.5</v>
      </c>
      <c r="J28">
        <f t="shared" si="2"/>
        <v>0.3</v>
      </c>
      <c r="K28">
        <f t="shared" si="3"/>
        <v>1.5</v>
      </c>
      <c r="L28">
        <f t="shared" si="4"/>
        <v>0</v>
      </c>
      <c r="M28">
        <f t="shared" si="5"/>
        <v>0.2</v>
      </c>
      <c r="N28">
        <f t="shared" si="6"/>
        <v>0.5</v>
      </c>
      <c r="O28">
        <f t="shared" si="7"/>
        <v>0.5</v>
      </c>
      <c r="P28">
        <f t="shared" si="8"/>
        <v>0.5</v>
      </c>
      <c r="Q28">
        <f t="shared" si="9"/>
        <v>12</v>
      </c>
      <c r="R28">
        <f t="shared" si="10"/>
        <v>0</v>
      </c>
      <c r="S28">
        <f t="shared" si="11"/>
        <v>0</v>
      </c>
      <c r="T28">
        <f t="shared" si="12"/>
        <v>0</v>
      </c>
      <c r="U28">
        <f t="shared" si="13"/>
        <v>0</v>
      </c>
      <c r="V28">
        <f t="shared" si="14"/>
        <v>0</v>
      </c>
      <c r="W28">
        <f t="shared" si="15"/>
        <v>0</v>
      </c>
      <c r="X28">
        <f t="shared" si="16"/>
        <v>0</v>
      </c>
      <c r="Y28">
        <f t="shared" si="17"/>
        <v>0</v>
      </c>
      <c r="Z28">
        <f t="shared" si="18"/>
        <v>0</v>
      </c>
      <c r="AA28">
        <f t="shared" si="19"/>
        <v>0</v>
      </c>
      <c r="AB28">
        <f t="shared" si="20"/>
        <v>0</v>
      </c>
      <c r="AC28">
        <f t="shared" si="21"/>
        <v>0</v>
      </c>
      <c r="AD28">
        <f t="shared" si="22"/>
        <v>0</v>
      </c>
      <c r="AE28">
        <f t="shared" si="23"/>
        <v>0</v>
      </c>
      <c r="AF28">
        <f t="shared" si="24"/>
        <v>0</v>
      </c>
      <c r="AG28">
        <f t="shared" si="25"/>
        <v>0</v>
      </c>
      <c r="AH28">
        <f t="shared" si="26"/>
        <v>0</v>
      </c>
      <c r="AI28">
        <f t="shared" si="27"/>
        <v>0</v>
      </c>
      <c r="AJ28">
        <f t="shared" si="28"/>
        <v>0</v>
      </c>
      <c r="AK28">
        <f t="shared" si="29"/>
        <v>0</v>
      </c>
      <c r="AL28">
        <f t="shared" si="30"/>
        <v>0</v>
      </c>
      <c r="AM28">
        <f t="shared" si="31"/>
        <v>0</v>
      </c>
      <c r="AN28">
        <f t="shared" si="32"/>
        <v>0</v>
      </c>
      <c r="AO28">
        <f t="shared" si="33"/>
        <v>0</v>
      </c>
      <c r="AP28">
        <f t="shared" si="34"/>
        <v>0</v>
      </c>
      <c r="AQ28">
        <f t="shared" si="35"/>
        <v>0</v>
      </c>
      <c r="AR28">
        <f t="shared" si="36"/>
        <v>0</v>
      </c>
      <c r="AS28">
        <f t="shared" si="37"/>
        <v>0</v>
      </c>
      <c r="AT28">
        <f t="shared" si="38"/>
        <v>0</v>
      </c>
      <c r="AU28">
        <f t="shared" si="39"/>
        <v>0</v>
      </c>
      <c r="AV28">
        <f t="shared" si="40"/>
        <v>0</v>
      </c>
      <c r="AW28">
        <f t="shared" si="41"/>
        <v>0</v>
      </c>
      <c r="AX28">
        <f t="shared" si="42"/>
        <v>0</v>
      </c>
      <c r="AY28">
        <f t="shared" si="43"/>
        <v>0</v>
      </c>
      <c r="AZ28">
        <f t="shared" si="44"/>
        <v>0</v>
      </c>
      <c r="BA28">
        <f t="shared" si="45"/>
        <v>0</v>
      </c>
      <c r="BB28">
        <f t="shared" si="46"/>
        <v>0</v>
      </c>
      <c r="BC28">
        <f t="shared" si="47"/>
        <v>0</v>
      </c>
      <c r="BD28">
        <f t="shared" si="48"/>
        <v>0</v>
      </c>
      <c r="BE28">
        <f t="shared" si="49"/>
        <v>0</v>
      </c>
      <c r="BF28">
        <f t="shared" si="50"/>
        <v>0</v>
      </c>
      <c r="BG28">
        <f t="shared" si="51"/>
        <v>0</v>
      </c>
      <c r="BH28">
        <f t="shared" si="52"/>
        <v>0</v>
      </c>
      <c r="BI28">
        <f t="shared" si="53"/>
        <v>0</v>
      </c>
      <c r="BJ28">
        <f t="shared" si="54"/>
        <v>0</v>
      </c>
      <c r="BK28">
        <f t="shared" si="55"/>
        <v>0</v>
      </c>
      <c r="BL28">
        <f t="shared" si="56"/>
        <v>0</v>
      </c>
      <c r="BM28">
        <f t="shared" si="57"/>
        <v>0</v>
      </c>
      <c r="BN28">
        <f t="shared" si="58"/>
        <v>0</v>
      </c>
      <c r="BO28">
        <f t="shared" si="59"/>
        <v>0</v>
      </c>
      <c r="BP28">
        <f t="shared" si="60"/>
        <v>0</v>
      </c>
      <c r="BQ28">
        <f t="shared" si="61"/>
        <v>0</v>
      </c>
    </row>
    <row r="29" spans="1:69" x14ac:dyDescent="0.25">
      <c r="A29" s="2">
        <v>27</v>
      </c>
      <c r="B29" s="2">
        <v>5</v>
      </c>
      <c r="C29">
        <v>2</v>
      </c>
      <c r="D29">
        <v>2</v>
      </c>
      <c r="E29">
        <v>1</v>
      </c>
      <c r="F29">
        <f t="shared" si="1"/>
        <v>1</v>
      </c>
      <c r="G29">
        <f t="shared" si="62"/>
        <v>1</v>
      </c>
      <c r="H29">
        <f t="shared" si="63"/>
        <v>0.5</v>
      </c>
      <c r="I29">
        <f t="shared" si="64"/>
        <v>0.5</v>
      </c>
      <c r="J29">
        <f t="shared" si="2"/>
        <v>0.3</v>
      </c>
      <c r="K29">
        <f t="shared" si="3"/>
        <v>1.5</v>
      </c>
      <c r="L29">
        <f t="shared" si="4"/>
        <v>0</v>
      </c>
      <c r="M29">
        <f t="shared" si="5"/>
        <v>0.2</v>
      </c>
      <c r="N29">
        <f t="shared" si="6"/>
        <v>0.5</v>
      </c>
      <c r="O29">
        <f t="shared" si="7"/>
        <v>0.5</v>
      </c>
      <c r="P29">
        <f t="shared" si="8"/>
        <v>0.5</v>
      </c>
      <c r="Q29">
        <f t="shared" si="9"/>
        <v>12</v>
      </c>
      <c r="R29">
        <f t="shared" si="10"/>
        <v>0</v>
      </c>
      <c r="S29">
        <f t="shared" si="11"/>
        <v>0</v>
      </c>
      <c r="T29">
        <f t="shared" si="12"/>
        <v>0</v>
      </c>
      <c r="U29">
        <f t="shared" si="13"/>
        <v>0</v>
      </c>
      <c r="V29">
        <f t="shared" si="14"/>
        <v>0</v>
      </c>
      <c r="W29">
        <f t="shared" si="15"/>
        <v>0</v>
      </c>
      <c r="X29">
        <f t="shared" si="16"/>
        <v>0</v>
      </c>
      <c r="Y29">
        <f t="shared" si="17"/>
        <v>0</v>
      </c>
      <c r="Z29">
        <f t="shared" si="18"/>
        <v>0</v>
      </c>
      <c r="AA29">
        <f t="shared" si="19"/>
        <v>0</v>
      </c>
      <c r="AB29">
        <f t="shared" si="20"/>
        <v>0</v>
      </c>
      <c r="AC29">
        <f t="shared" si="21"/>
        <v>0</v>
      </c>
      <c r="AD29">
        <f t="shared" si="22"/>
        <v>0</v>
      </c>
      <c r="AE29">
        <f t="shared" si="23"/>
        <v>0</v>
      </c>
      <c r="AF29">
        <f t="shared" si="24"/>
        <v>0</v>
      </c>
      <c r="AG29">
        <f t="shared" si="25"/>
        <v>0</v>
      </c>
      <c r="AH29">
        <f t="shared" si="26"/>
        <v>0</v>
      </c>
      <c r="AI29">
        <f t="shared" si="27"/>
        <v>0</v>
      </c>
      <c r="AJ29">
        <f t="shared" si="28"/>
        <v>0</v>
      </c>
      <c r="AK29">
        <f t="shared" si="29"/>
        <v>0</v>
      </c>
      <c r="AL29">
        <f t="shared" si="30"/>
        <v>0</v>
      </c>
      <c r="AM29">
        <f t="shared" si="31"/>
        <v>0</v>
      </c>
      <c r="AN29">
        <f t="shared" si="32"/>
        <v>0</v>
      </c>
      <c r="AO29">
        <f t="shared" si="33"/>
        <v>0</v>
      </c>
      <c r="AP29">
        <f t="shared" si="34"/>
        <v>0</v>
      </c>
      <c r="AQ29">
        <f t="shared" si="35"/>
        <v>0</v>
      </c>
      <c r="AR29">
        <f t="shared" si="36"/>
        <v>0</v>
      </c>
      <c r="AS29">
        <f t="shared" si="37"/>
        <v>0</v>
      </c>
      <c r="AT29">
        <f t="shared" si="38"/>
        <v>0</v>
      </c>
      <c r="AU29">
        <f t="shared" si="39"/>
        <v>0</v>
      </c>
      <c r="AV29">
        <f t="shared" si="40"/>
        <v>0</v>
      </c>
      <c r="AW29">
        <f t="shared" si="41"/>
        <v>0</v>
      </c>
      <c r="AX29">
        <f t="shared" si="42"/>
        <v>0</v>
      </c>
      <c r="AY29">
        <f t="shared" si="43"/>
        <v>0</v>
      </c>
      <c r="AZ29">
        <f t="shared" si="44"/>
        <v>0</v>
      </c>
      <c r="BA29">
        <f t="shared" si="45"/>
        <v>0</v>
      </c>
      <c r="BB29">
        <f t="shared" si="46"/>
        <v>0</v>
      </c>
      <c r="BC29">
        <f t="shared" si="47"/>
        <v>0</v>
      </c>
      <c r="BD29">
        <f t="shared" si="48"/>
        <v>0</v>
      </c>
      <c r="BE29">
        <f t="shared" si="49"/>
        <v>0</v>
      </c>
      <c r="BF29">
        <f t="shared" si="50"/>
        <v>0</v>
      </c>
      <c r="BG29">
        <f t="shared" si="51"/>
        <v>0</v>
      </c>
      <c r="BH29">
        <f t="shared" si="52"/>
        <v>0</v>
      </c>
      <c r="BI29">
        <f t="shared" si="53"/>
        <v>0</v>
      </c>
      <c r="BJ29">
        <f t="shared" si="54"/>
        <v>0</v>
      </c>
      <c r="BK29">
        <f t="shared" si="55"/>
        <v>0</v>
      </c>
      <c r="BL29">
        <f t="shared" si="56"/>
        <v>0</v>
      </c>
      <c r="BM29">
        <f t="shared" si="57"/>
        <v>0</v>
      </c>
      <c r="BN29">
        <f t="shared" si="58"/>
        <v>0</v>
      </c>
      <c r="BO29">
        <f t="shared" si="59"/>
        <v>0</v>
      </c>
      <c r="BP29">
        <f t="shared" si="60"/>
        <v>0</v>
      </c>
      <c r="BQ29">
        <f t="shared" si="61"/>
        <v>0</v>
      </c>
    </row>
    <row r="30" spans="1:69" x14ac:dyDescent="0.25">
      <c r="A30" s="2">
        <v>28</v>
      </c>
      <c r="B30" s="2">
        <v>5</v>
      </c>
      <c r="C30">
        <v>2</v>
      </c>
      <c r="D30">
        <v>2</v>
      </c>
      <c r="E30">
        <v>1</v>
      </c>
      <c r="F30">
        <f t="shared" si="1"/>
        <v>1</v>
      </c>
      <c r="G30">
        <f t="shared" si="62"/>
        <v>1</v>
      </c>
      <c r="H30">
        <f t="shared" si="63"/>
        <v>0.5</v>
      </c>
      <c r="I30">
        <f t="shared" si="64"/>
        <v>0.5</v>
      </c>
      <c r="J30">
        <f t="shared" si="2"/>
        <v>0.3</v>
      </c>
      <c r="K30">
        <f t="shared" si="3"/>
        <v>1.5</v>
      </c>
      <c r="L30">
        <f t="shared" si="4"/>
        <v>0</v>
      </c>
      <c r="M30">
        <f t="shared" si="5"/>
        <v>0.2</v>
      </c>
      <c r="N30">
        <f t="shared" si="6"/>
        <v>0.5</v>
      </c>
      <c r="O30">
        <f t="shared" si="7"/>
        <v>0.5</v>
      </c>
      <c r="P30">
        <f t="shared" si="8"/>
        <v>0.5</v>
      </c>
      <c r="Q30">
        <f t="shared" si="9"/>
        <v>12</v>
      </c>
      <c r="R30">
        <f t="shared" si="10"/>
        <v>0</v>
      </c>
      <c r="S30">
        <f t="shared" si="11"/>
        <v>0</v>
      </c>
      <c r="T30">
        <f t="shared" si="12"/>
        <v>0</v>
      </c>
      <c r="U30">
        <f t="shared" si="13"/>
        <v>0</v>
      </c>
      <c r="V30">
        <f t="shared" si="14"/>
        <v>0</v>
      </c>
      <c r="W30">
        <f t="shared" si="15"/>
        <v>0</v>
      </c>
      <c r="X30">
        <f t="shared" si="16"/>
        <v>0</v>
      </c>
      <c r="Y30">
        <f t="shared" si="17"/>
        <v>0</v>
      </c>
      <c r="Z30">
        <f t="shared" si="18"/>
        <v>0</v>
      </c>
      <c r="AA30">
        <f t="shared" si="19"/>
        <v>0</v>
      </c>
      <c r="AB30">
        <f t="shared" si="20"/>
        <v>0</v>
      </c>
      <c r="AC30">
        <f t="shared" si="21"/>
        <v>0</v>
      </c>
      <c r="AD30">
        <f t="shared" si="22"/>
        <v>0</v>
      </c>
      <c r="AE30">
        <f t="shared" si="23"/>
        <v>0</v>
      </c>
      <c r="AF30">
        <f t="shared" si="24"/>
        <v>0</v>
      </c>
      <c r="AG30">
        <f t="shared" si="25"/>
        <v>0</v>
      </c>
      <c r="AH30">
        <f t="shared" si="26"/>
        <v>0</v>
      </c>
      <c r="AI30">
        <f t="shared" si="27"/>
        <v>0</v>
      </c>
      <c r="AJ30">
        <f t="shared" si="28"/>
        <v>0</v>
      </c>
      <c r="AK30">
        <f t="shared" si="29"/>
        <v>0</v>
      </c>
      <c r="AL30">
        <f t="shared" si="30"/>
        <v>0</v>
      </c>
      <c r="AM30">
        <f t="shared" si="31"/>
        <v>0</v>
      </c>
      <c r="AN30">
        <f t="shared" si="32"/>
        <v>0</v>
      </c>
      <c r="AO30">
        <f t="shared" si="33"/>
        <v>0</v>
      </c>
      <c r="AP30">
        <f t="shared" si="34"/>
        <v>0</v>
      </c>
      <c r="AQ30">
        <f t="shared" si="35"/>
        <v>0</v>
      </c>
      <c r="AR30">
        <f t="shared" si="36"/>
        <v>0</v>
      </c>
      <c r="AS30">
        <f t="shared" si="37"/>
        <v>0</v>
      </c>
      <c r="AT30">
        <f t="shared" si="38"/>
        <v>0</v>
      </c>
      <c r="AU30">
        <f t="shared" si="39"/>
        <v>0</v>
      </c>
      <c r="AV30">
        <f t="shared" si="40"/>
        <v>0</v>
      </c>
      <c r="AW30">
        <f t="shared" si="41"/>
        <v>0</v>
      </c>
      <c r="AX30">
        <f t="shared" si="42"/>
        <v>0</v>
      </c>
      <c r="AY30">
        <f t="shared" si="43"/>
        <v>0</v>
      </c>
      <c r="AZ30">
        <f t="shared" si="44"/>
        <v>0</v>
      </c>
      <c r="BA30">
        <f t="shared" si="45"/>
        <v>0</v>
      </c>
      <c r="BB30">
        <f t="shared" si="46"/>
        <v>0</v>
      </c>
      <c r="BC30">
        <f t="shared" si="47"/>
        <v>0</v>
      </c>
      <c r="BD30">
        <f t="shared" si="48"/>
        <v>0</v>
      </c>
      <c r="BE30">
        <f t="shared" si="49"/>
        <v>0</v>
      </c>
      <c r="BF30">
        <f t="shared" si="50"/>
        <v>0</v>
      </c>
      <c r="BG30">
        <f t="shared" si="51"/>
        <v>0</v>
      </c>
      <c r="BH30">
        <f t="shared" si="52"/>
        <v>0</v>
      </c>
      <c r="BI30">
        <f t="shared" si="53"/>
        <v>0</v>
      </c>
      <c r="BJ30">
        <f t="shared" si="54"/>
        <v>0</v>
      </c>
      <c r="BK30">
        <f t="shared" si="55"/>
        <v>0</v>
      </c>
      <c r="BL30">
        <f t="shared" si="56"/>
        <v>0</v>
      </c>
      <c r="BM30">
        <f t="shared" si="57"/>
        <v>0</v>
      </c>
      <c r="BN30">
        <f t="shared" si="58"/>
        <v>0</v>
      </c>
      <c r="BO30">
        <f t="shared" si="59"/>
        <v>0</v>
      </c>
      <c r="BP30">
        <f t="shared" si="60"/>
        <v>0</v>
      </c>
      <c r="BQ30">
        <f t="shared" si="61"/>
        <v>0</v>
      </c>
    </row>
    <row r="31" spans="1:69" x14ac:dyDescent="0.25">
      <c r="A31" s="2">
        <v>29</v>
      </c>
      <c r="B31" s="2">
        <v>5</v>
      </c>
      <c r="C31">
        <v>2</v>
      </c>
      <c r="D31">
        <v>2</v>
      </c>
      <c r="E31">
        <v>1</v>
      </c>
      <c r="F31">
        <f t="shared" si="1"/>
        <v>1</v>
      </c>
      <c r="G31">
        <f t="shared" si="62"/>
        <v>1</v>
      </c>
      <c r="H31">
        <f t="shared" si="63"/>
        <v>0.5</v>
      </c>
      <c r="I31">
        <f t="shared" si="64"/>
        <v>0.5</v>
      </c>
      <c r="J31">
        <f t="shared" si="2"/>
        <v>0.3</v>
      </c>
      <c r="K31">
        <f t="shared" si="3"/>
        <v>1.5</v>
      </c>
      <c r="L31">
        <f t="shared" si="4"/>
        <v>0</v>
      </c>
      <c r="M31">
        <f t="shared" si="5"/>
        <v>0.2</v>
      </c>
      <c r="N31">
        <f t="shared" si="6"/>
        <v>0.5</v>
      </c>
      <c r="O31">
        <f t="shared" si="7"/>
        <v>0.5</v>
      </c>
      <c r="P31">
        <f t="shared" si="8"/>
        <v>0.5</v>
      </c>
      <c r="Q31">
        <f t="shared" si="9"/>
        <v>12</v>
      </c>
      <c r="R31">
        <f t="shared" si="10"/>
        <v>0</v>
      </c>
      <c r="S31">
        <f t="shared" si="11"/>
        <v>0</v>
      </c>
      <c r="T31">
        <f t="shared" si="12"/>
        <v>0</v>
      </c>
      <c r="U31">
        <f t="shared" si="13"/>
        <v>0</v>
      </c>
      <c r="V31">
        <f t="shared" si="14"/>
        <v>0</v>
      </c>
      <c r="W31">
        <f t="shared" si="15"/>
        <v>0</v>
      </c>
      <c r="X31">
        <f t="shared" si="16"/>
        <v>0</v>
      </c>
      <c r="Y31">
        <f t="shared" si="17"/>
        <v>0</v>
      </c>
      <c r="Z31">
        <f t="shared" si="18"/>
        <v>0</v>
      </c>
      <c r="AA31">
        <f t="shared" si="19"/>
        <v>0</v>
      </c>
      <c r="AB31">
        <f t="shared" si="20"/>
        <v>0</v>
      </c>
      <c r="AC31">
        <f t="shared" si="21"/>
        <v>0</v>
      </c>
      <c r="AD31">
        <f t="shared" si="22"/>
        <v>0</v>
      </c>
      <c r="AE31">
        <f t="shared" si="23"/>
        <v>0</v>
      </c>
      <c r="AF31">
        <f t="shared" si="24"/>
        <v>0</v>
      </c>
      <c r="AG31">
        <f t="shared" si="25"/>
        <v>0</v>
      </c>
      <c r="AH31">
        <f t="shared" si="26"/>
        <v>0</v>
      </c>
      <c r="AI31">
        <f t="shared" si="27"/>
        <v>0</v>
      </c>
      <c r="AJ31">
        <f t="shared" si="28"/>
        <v>0</v>
      </c>
      <c r="AK31">
        <f t="shared" si="29"/>
        <v>0</v>
      </c>
      <c r="AL31">
        <f t="shared" si="30"/>
        <v>0</v>
      </c>
      <c r="AM31">
        <f t="shared" si="31"/>
        <v>0</v>
      </c>
      <c r="AN31">
        <f t="shared" si="32"/>
        <v>0</v>
      </c>
      <c r="AO31">
        <f t="shared" si="33"/>
        <v>0</v>
      </c>
      <c r="AP31">
        <f t="shared" si="34"/>
        <v>0</v>
      </c>
      <c r="AQ31">
        <f t="shared" si="35"/>
        <v>0</v>
      </c>
      <c r="AR31">
        <f t="shared" si="36"/>
        <v>0</v>
      </c>
      <c r="AS31">
        <f t="shared" si="37"/>
        <v>0</v>
      </c>
      <c r="AT31">
        <f t="shared" si="38"/>
        <v>0</v>
      </c>
      <c r="AU31">
        <f t="shared" si="39"/>
        <v>0</v>
      </c>
      <c r="AV31">
        <f t="shared" si="40"/>
        <v>0</v>
      </c>
      <c r="AW31">
        <f t="shared" si="41"/>
        <v>0</v>
      </c>
      <c r="AX31">
        <f t="shared" si="42"/>
        <v>0</v>
      </c>
      <c r="AY31">
        <f t="shared" si="43"/>
        <v>0</v>
      </c>
      <c r="AZ31">
        <f t="shared" si="44"/>
        <v>0</v>
      </c>
      <c r="BA31">
        <f t="shared" si="45"/>
        <v>0</v>
      </c>
      <c r="BB31">
        <f t="shared" si="46"/>
        <v>0</v>
      </c>
      <c r="BC31">
        <f t="shared" si="47"/>
        <v>0</v>
      </c>
      <c r="BD31">
        <f t="shared" si="48"/>
        <v>0</v>
      </c>
      <c r="BE31">
        <f t="shared" si="49"/>
        <v>0</v>
      </c>
      <c r="BF31">
        <f t="shared" si="50"/>
        <v>0</v>
      </c>
      <c r="BG31">
        <f t="shared" si="51"/>
        <v>0</v>
      </c>
      <c r="BH31">
        <f t="shared" si="52"/>
        <v>0</v>
      </c>
      <c r="BI31">
        <f t="shared" si="53"/>
        <v>0</v>
      </c>
      <c r="BJ31">
        <f t="shared" si="54"/>
        <v>0</v>
      </c>
      <c r="BK31">
        <f t="shared" si="55"/>
        <v>0</v>
      </c>
      <c r="BL31">
        <f t="shared" si="56"/>
        <v>0</v>
      </c>
      <c r="BM31">
        <f t="shared" si="57"/>
        <v>0</v>
      </c>
      <c r="BN31">
        <f t="shared" si="58"/>
        <v>0</v>
      </c>
      <c r="BO31">
        <f t="shared" si="59"/>
        <v>0</v>
      </c>
      <c r="BP31">
        <f t="shared" si="60"/>
        <v>0</v>
      </c>
      <c r="BQ31">
        <f t="shared" si="61"/>
        <v>0</v>
      </c>
    </row>
    <row r="32" spans="1:69" x14ac:dyDescent="0.25">
      <c r="A32" s="2">
        <v>30</v>
      </c>
      <c r="B32" s="2">
        <v>5</v>
      </c>
      <c r="C32">
        <v>2</v>
      </c>
      <c r="D32">
        <v>2</v>
      </c>
      <c r="E32">
        <v>1</v>
      </c>
      <c r="F32">
        <f t="shared" si="1"/>
        <v>1</v>
      </c>
      <c r="G32">
        <f t="shared" si="62"/>
        <v>1</v>
      </c>
      <c r="H32">
        <f t="shared" si="63"/>
        <v>0.5</v>
      </c>
      <c r="I32">
        <f t="shared" si="64"/>
        <v>0.5</v>
      </c>
      <c r="J32">
        <f t="shared" si="2"/>
        <v>0.3</v>
      </c>
      <c r="K32">
        <f t="shared" si="3"/>
        <v>1.5</v>
      </c>
      <c r="L32">
        <f t="shared" si="4"/>
        <v>0</v>
      </c>
      <c r="M32">
        <f t="shared" si="5"/>
        <v>0.2</v>
      </c>
      <c r="N32">
        <f t="shared" si="6"/>
        <v>0.5</v>
      </c>
      <c r="O32">
        <f t="shared" si="7"/>
        <v>0.5</v>
      </c>
      <c r="P32">
        <f t="shared" si="8"/>
        <v>0.5</v>
      </c>
      <c r="Q32">
        <f t="shared" si="9"/>
        <v>12</v>
      </c>
      <c r="R32">
        <f t="shared" si="10"/>
        <v>0</v>
      </c>
      <c r="S32">
        <f t="shared" si="11"/>
        <v>0</v>
      </c>
      <c r="T32">
        <f t="shared" si="12"/>
        <v>0</v>
      </c>
      <c r="U32">
        <f t="shared" si="13"/>
        <v>0</v>
      </c>
      <c r="V32">
        <f t="shared" si="14"/>
        <v>0</v>
      </c>
      <c r="W32">
        <f t="shared" si="15"/>
        <v>0</v>
      </c>
      <c r="X32">
        <f t="shared" si="16"/>
        <v>0</v>
      </c>
      <c r="Y32">
        <f t="shared" si="17"/>
        <v>0</v>
      </c>
      <c r="Z32">
        <f t="shared" si="18"/>
        <v>0</v>
      </c>
      <c r="AA32">
        <f t="shared" si="19"/>
        <v>0</v>
      </c>
      <c r="AB32">
        <f t="shared" si="20"/>
        <v>0</v>
      </c>
      <c r="AC32">
        <f t="shared" si="21"/>
        <v>0</v>
      </c>
      <c r="AD32">
        <f t="shared" si="22"/>
        <v>0</v>
      </c>
      <c r="AE32">
        <f t="shared" si="23"/>
        <v>0</v>
      </c>
      <c r="AF32">
        <f t="shared" si="24"/>
        <v>0</v>
      </c>
      <c r="AG32">
        <f t="shared" si="25"/>
        <v>0</v>
      </c>
      <c r="AH32">
        <f t="shared" si="26"/>
        <v>0</v>
      </c>
      <c r="AI32">
        <f t="shared" si="27"/>
        <v>0</v>
      </c>
      <c r="AJ32">
        <f t="shared" si="28"/>
        <v>0</v>
      </c>
      <c r="AK32">
        <f t="shared" si="29"/>
        <v>0</v>
      </c>
      <c r="AL32">
        <f t="shared" si="30"/>
        <v>0</v>
      </c>
      <c r="AM32">
        <f t="shared" si="31"/>
        <v>0</v>
      </c>
      <c r="AN32">
        <f t="shared" si="32"/>
        <v>0</v>
      </c>
      <c r="AO32">
        <f t="shared" si="33"/>
        <v>0</v>
      </c>
      <c r="AP32">
        <f t="shared" si="34"/>
        <v>0</v>
      </c>
      <c r="AQ32">
        <f t="shared" si="35"/>
        <v>0</v>
      </c>
      <c r="AR32">
        <f t="shared" si="36"/>
        <v>0</v>
      </c>
      <c r="AS32">
        <f t="shared" si="37"/>
        <v>0</v>
      </c>
      <c r="AT32">
        <f t="shared" si="38"/>
        <v>0</v>
      </c>
      <c r="AU32">
        <f t="shared" si="39"/>
        <v>0</v>
      </c>
      <c r="AV32">
        <f t="shared" si="40"/>
        <v>0</v>
      </c>
      <c r="AW32">
        <f t="shared" si="41"/>
        <v>0</v>
      </c>
      <c r="AX32">
        <f t="shared" si="42"/>
        <v>0</v>
      </c>
      <c r="AY32">
        <f t="shared" si="43"/>
        <v>0</v>
      </c>
      <c r="AZ32">
        <f t="shared" si="44"/>
        <v>0</v>
      </c>
      <c r="BA32">
        <f t="shared" si="45"/>
        <v>0</v>
      </c>
      <c r="BB32">
        <f t="shared" si="46"/>
        <v>0</v>
      </c>
      <c r="BC32">
        <f t="shared" si="47"/>
        <v>0</v>
      </c>
      <c r="BD32">
        <f t="shared" si="48"/>
        <v>0</v>
      </c>
      <c r="BE32">
        <f t="shared" si="49"/>
        <v>0</v>
      </c>
      <c r="BF32">
        <f t="shared" si="50"/>
        <v>0</v>
      </c>
      <c r="BG32">
        <f t="shared" si="51"/>
        <v>0</v>
      </c>
      <c r="BH32">
        <f t="shared" si="52"/>
        <v>0</v>
      </c>
      <c r="BI32">
        <f t="shared" si="53"/>
        <v>0</v>
      </c>
      <c r="BJ32">
        <f t="shared" si="54"/>
        <v>0</v>
      </c>
      <c r="BK32">
        <f t="shared" si="55"/>
        <v>0</v>
      </c>
      <c r="BL32">
        <f t="shared" si="56"/>
        <v>0</v>
      </c>
      <c r="BM32">
        <f t="shared" si="57"/>
        <v>0</v>
      </c>
      <c r="BN32">
        <f t="shared" si="58"/>
        <v>0</v>
      </c>
      <c r="BO32">
        <f t="shared" si="59"/>
        <v>0</v>
      </c>
      <c r="BP32">
        <f t="shared" si="60"/>
        <v>0</v>
      </c>
      <c r="BQ32">
        <f t="shared" si="61"/>
        <v>0</v>
      </c>
    </row>
    <row r="33" spans="1:93" x14ac:dyDescent="0.25">
      <c r="A33" s="2" t="s">
        <v>165</v>
      </c>
      <c r="B33" s="2"/>
      <c r="C33">
        <v>30</v>
      </c>
      <c r="D33">
        <v>40</v>
      </c>
      <c r="E33">
        <v>20</v>
      </c>
      <c r="F33">
        <v>20</v>
      </c>
      <c r="G33">
        <v>10</v>
      </c>
      <c r="L33">
        <v>100</v>
      </c>
    </row>
    <row r="34" spans="1:93" x14ac:dyDescent="0.25">
      <c r="A34" s="2" t="s">
        <v>43</v>
      </c>
      <c r="B34" s="2">
        <f>SUM(B3:B33)</f>
        <v>150</v>
      </c>
      <c r="C34" s="2">
        <f t="shared" ref="C34:BN34" si="65">SUM(C3:C33)</f>
        <v>90</v>
      </c>
      <c r="D34" s="2">
        <f t="shared" si="65"/>
        <v>100</v>
      </c>
      <c r="E34" s="2">
        <f t="shared" si="65"/>
        <v>50</v>
      </c>
      <c r="F34" s="2">
        <f t="shared" si="65"/>
        <v>50</v>
      </c>
      <c r="G34" s="2">
        <f t="shared" si="65"/>
        <v>40</v>
      </c>
      <c r="H34" s="2">
        <f t="shared" si="65"/>
        <v>15</v>
      </c>
      <c r="I34" s="2">
        <f t="shared" si="65"/>
        <v>15</v>
      </c>
      <c r="J34" s="2">
        <f t="shared" si="65"/>
        <v>9</v>
      </c>
      <c r="K34" s="2">
        <f t="shared" si="65"/>
        <v>45</v>
      </c>
      <c r="L34" s="2">
        <f t="shared" si="65"/>
        <v>100</v>
      </c>
      <c r="M34" s="2">
        <f t="shared" si="65"/>
        <v>6.0000000000000027</v>
      </c>
      <c r="N34" s="2">
        <f t="shared" si="65"/>
        <v>15</v>
      </c>
      <c r="O34" s="2">
        <f t="shared" si="65"/>
        <v>15</v>
      </c>
      <c r="P34" s="2">
        <f t="shared" si="65"/>
        <v>15</v>
      </c>
      <c r="Q34" s="2">
        <f t="shared" si="65"/>
        <v>360</v>
      </c>
      <c r="R34" s="2">
        <f t="shared" si="65"/>
        <v>0</v>
      </c>
      <c r="S34" s="2">
        <f t="shared" si="65"/>
        <v>0</v>
      </c>
      <c r="T34" s="2">
        <f t="shared" si="65"/>
        <v>0</v>
      </c>
      <c r="U34" s="2">
        <f t="shared" si="65"/>
        <v>0</v>
      </c>
      <c r="V34" s="2">
        <f t="shared" si="65"/>
        <v>0</v>
      </c>
      <c r="W34" s="2">
        <f t="shared" si="65"/>
        <v>0</v>
      </c>
      <c r="X34" s="2">
        <f t="shared" si="65"/>
        <v>0</v>
      </c>
      <c r="Y34" s="2">
        <f t="shared" si="65"/>
        <v>0</v>
      </c>
      <c r="Z34" s="2">
        <f t="shared" si="65"/>
        <v>0</v>
      </c>
      <c r="AA34" s="2">
        <f t="shared" si="65"/>
        <v>0</v>
      </c>
      <c r="AB34" s="2">
        <f t="shared" si="65"/>
        <v>0</v>
      </c>
      <c r="AC34" s="2">
        <f t="shared" si="65"/>
        <v>0</v>
      </c>
      <c r="AD34" s="2">
        <f t="shared" si="65"/>
        <v>0</v>
      </c>
      <c r="AE34" s="2">
        <f t="shared" si="65"/>
        <v>0</v>
      </c>
      <c r="AF34" s="2">
        <f t="shared" si="65"/>
        <v>0</v>
      </c>
      <c r="AG34" s="2">
        <f t="shared" si="65"/>
        <v>0</v>
      </c>
      <c r="AH34" s="2">
        <f t="shared" si="65"/>
        <v>0</v>
      </c>
      <c r="AI34" s="2">
        <f t="shared" si="65"/>
        <v>0</v>
      </c>
      <c r="AJ34" s="2">
        <f t="shared" si="65"/>
        <v>0</v>
      </c>
      <c r="AK34" s="2">
        <f t="shared" si="65"/>
        <v>0</v>
      </c>
      <c r="AL34" s="2">
        <f t="shared" si="65"/>
        <v>0</v>
      </c>
      <c r="AM34" s="2">
        <f t="shared" si="65"/>
        <v>0</v>
      </c>
      <c r="AN34" s="2">
        <f t="shared" si="65"/>
        <v>0</v>
      </c>
      <c r="AO34" s="2">
        <f t="shared" si="65"/>
        <v>0</v>
      </c>
      <c r="AP34" s="2">
        <f t="shared" si="65"/>
        <v>0</v>
      </c>
      <c r="AQ34" s="2">
        <f t="shared" si="65"/>
        <v>0</v>
      </c>
      <c r="AR34" s="2">
        <f t="shared" si="65"/>
        <v>0</v>
      </c>
      <c r="AS34" s="2">
        <f t="shared" si="65"/>
        <v>0</v>
      </c>
      <c r="AT34" s="2">
        <f t="shared" si="65"/>
        <v>0</v>
      </c>
      <c r="AU34" s="2">
        <f t="shared" si="65"/>
        <v>0</v>
      </c>
      <c r="AV34" s="2">
        <f t="shared" si="65"/>
        <v>0</v>
      </c>
      <c r="AW34" s="2">
        <f t="shared" si="65"/>
        <v>0</v>
      </c>
      <c r="AX34" s="2">
        <f t="shared" si="65"/>
        <v>0</v>
      </c>
      <c r="AY34" s="2">
        <f t="shared" si="65"/>
        <v>0</v>
      </c>
      <c r="AZ34" s="2">
        <f t="shared" si="65"/>
        <v>0</v>
      </c>
      <c r="BA34" s="2">
        <f t="shared" si="65"/>
        <v>0</v>
      </c>
      <c r="BB34" s="2">
        <f t="shared" si="65"/>
        <v>0</v>
      </c>
      <c r="BC34" s="2">
        <f t="shared" si="65"/>
        <v>0</v>
      </c>
      <c r="BD34" s="2">
        <f t="shared" si="65"/>
        <v>0</v>
      </c>
      <c r="BE34" s="2">
        <f t="shared" si="65"/>
        <v>0</v>
      </c>
      <c r="BF34" s="2">
        <f t="shared" si="65"/>
        <v>0</v>
      </c>
      <c r="BG34" s="2">
        <f t="shared" si="65"/>
        <v>0</v>
      </c>
      <c r="BH34" s="2">
        <f t="shared" si="65"/>
        <v>0</v>
      </c>
      <c r="BI34" s="2">
        <f t="shared" si="65"/>
        <v>0</v>
      </c>
      <c r="BJ34" s="2">
        <f t="shared" si="65"/>
        <v>0</v>
      </c>
      <c r="BK34" s="2">
        <f t="shared" si="65"/>
        <v>0</v>
      </c>
      <c r="BL34" s="2">
        <f t="shared" si="65"/>
        <v>0</v>
      </c>
      <c r="BM34" s="2">
        <f t="shared" si="65"/>
        <v>0</v>
      </c>
      <c r="BN34" s="2">
        <f t="shared" si="65"/>
        <v>0</v>
      </c>
      <c r="BO34" s="2">
        <f t="shared" ref="BO34" si="66">SUM(BO3:BO33)</f>
        <v>0</v>
      </c>
    </row>
    <row r="35" spans="1:93" x14ac:dyDescent="0.25">
      <c r="A35" s="2" t="s">
        <v>164</v>
      </c>
      <c r="B35" s="35">
        <v>3000</v>
      </c>
      <c r="C35" s="35">
        <v>35000</v>
      </c>
      <c r="D35" s="35">
        <v>12000</v>
      </c>
      <c r="E35" s="35">
        <v>13000</v>
      </c>
      <c r="F35" s="35">
        <v>13000</v>
      </c>
      <c r="G35" s="35">
        <v>4000</v>
      </c>
      <c r="H35" s="35">
        <v>30000</v>
      </c>
      <c r="I35" s="35">
        <v>30000</v>
      </c>
      <c r="J35" s="35">
        <v>10000</v>
      </c>
      <c r="K35" s="35">
        <v>5000</v>
      </c>
      <c r="L35" s="35">
        <v>75000</v>
      </c>
      <c r="M35" s="35">
        <v>60000</v>
      </c>
      <c r="N35" s="35">
        <v>100000</v>
      </c>
      <c r="O35" s="35">
        <v>100000</v>
      </c>
      <c r="P35" s="35">
        <v>100000</v>
      </c>
      <c r="Q35" s="35">
        <v>5000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</row>
    <row r="36" spans="1:93" x14ac:dyDescent="0.25">
      <c r="B36" s="35">
        <f>B34*B35</f>
        <v>450000</v>
      </c>
      <c r="C36" s="35">
        <f t="shared" ref="C36:BN36" si="67">C34*C35</f>
        <v>3150000</v>
      </c>
      <c r="D36" s="35">
        <f t="shared" si="67"/>
        <v>1200000</v>
      </c>
      <c r="E36" s="35">
        <f t="shared" si="67"/>
        <v>650000</v>
      </c>
      <c r="F36" s="35">
        <f t="shared" si="67"/>
        <v>650000</v>
      </c>
      <c r="G36" s="35">
        <f t="shared" si="67"/>
        <v>160000</v>
      </c>
      <c r="H36" s="35">
        <f t="shared" si="67"/>
        <v>450000</v>
      </c>
      <c r="I36" s="35">
        <f t="shared" si="67"/>
        <v>450000</v>
      </c>
      <c r="J36" s="35">
        <f t="shared" si="67"/>
        <v>90000</v>
      </c>
      <c r="K36" s="35">
        <f t="shared" si="67"/>
        <v>225000</v>
      </c>
      <c r="L36" s="35">
        <f t="shared" si="67"/>
        <v>7500000</v>
      </c>
      <c r="M36" s="35">
        <f t="shared" si="67"/>
        <v>360000.00000000017</v>
      </c>
      <c r="N36" s="35">
        <f t="shared" si="67"/>
        <v>1500000</v>
      </c>
      <c r="O36" s="35">
        <f t="shared" si="67"/>
        <v>1500000</v>
      </c>
      <c r="P36" s="35">
        <f t="shared" si="67"/>
        <v>1500000</v>
      </c>
      <c r="Q36" s="35">
        <f t="shared" si="67"/>
        <v>1800000</v>
      </c>
      <c r="R36" s="35">
        <f t="shared" si="67"/>
        <v>0</v>
      </c>
      <c r="S36" s="35">
        <f t="shared" si="67"/>
        <v>0</v>
      </c>
      <c r="T36" s="35">
        <f t="shared" si="67"/>
        <v>0</v>
      </c>
      <c r="U36" s="35">
        <f t="shared" si="67"/>
        <v>0</v>
      </c>
      <c r="V36" s="35">
        <f t="shared" si="67"/>
        <v>0</v>
      </c>
      <c r="W36" s="35">
        <f t="shared" si="67"/>
        <v>0</v>
      </c>
      <c r="X36" s="35">
        <f t="shared" si="67"/>
        <v>0</v>
      </c>
      <c r="Y36" s="35">
        <f t="shared" si="67"/>
        <v>0</v>
      </c>
      <c r="Z36" s="35">
        <f t="shared" si="67"/>
        <v>0</v>
      </c>
      <c r="AA36" s="35">
        <f t="shared" si="67"/>
        <v>0</v>
      </c>
      <c r="AB36" s="35">
        <f t="shared" si="67"/>
        <v>0</v>
      </c>
      <c r="AC36" s="35">
        <f t="shared" si="67"/>
        <v>0</v>
      </c>
      <c r="AD36" s="35">
        <f t="shared" si="67"/>
        <v>0</v>
      </c>
      <c r="AE36" s="35">
        <f t="shared" si="67"/>
        <v>0</v>
      </c>
      <c r="AF36" s="35">
        <f t="shared" si="67"/>
        <v>0</v>
      </c>
      <c r="AG36" s="35">
        <f t="shared" si="67"/>
        <v>0</v>
      </c>
      <c r="AH36" s="35">
        <f t="shared" si="67"/>
        <v>0</v>
      </c>
      <c r="AI36" s="35">
        <f t="shared" si="67"/>
        <v>0</v>
      </c>
      <c r="AJ36" s="35">
        <f t="shared" si="67"/>
        <v>0</v>
      </c>
      <c r="AK36" s="35">
        <f t="shared" si="67"/>
        <v>0</v>
      </c>
      <c r="AL36" s="35">
        <f t="shared" si="67"/>
        <v>0</v>
      </c>
      <c r="AM36" s="35">
        <f t="shared" si="67"/>
        <v>0</v>
      </c>
      <c r="AN36" s="35">
        <f t="shared" si="67"/>
        <v>0</v>
      </c>
      <c r="AO36" s="35">
        <f t="shared" si="67"/>
        <v>0</v>
      </c>
      <c r="AP36" s="35">
        <f t="shared" si="67"/>
        <v>0</v>
      </c>
      <c r="AQ36" s="35">
        <f t="shared" si="67"/>
        <v>0</v>
      </c>
      <c r="AR36" s="35">
        <f t="shared" si="67"/>
        <v>0</v>
      </c>
      <c r="AS36" s="35">
        <f t="shared" si="67"/>
        <v>0</v>
      </c>
      <c r="AT36" s="35">
        <f t="shared" si="67"/>
        <v>0</v>
      </c>
      <c r="AU36" s="35">
        <f t="shared" si="67"/>
        <v>0</v>
      </c>
      <c r="AV36" s="35">
        <f t="shared" si="67"/>
        <v>0</v>
      </c>
      <c r="AW36" s="35">
        <f t="shared" si="67"/>
        <v>0</v>
      </c>
      <c r="AX36" s="35">
        <f t="shared" si="67"/>
        <v>0</v>
      </c>
      <c r="AY36" s="35">
        <f t="shared" si="67"/>
        <v>0</v>
      </c>
      <c r="AZ36" s="35">
        <f t="shared" si="67"/>
        <v>0</v>
      </c>
      <c r="BA36" s="35">
        <f t="shared" si="67"/>
        <v>0</v>
      </c>
      <c r="BB36" s="35">
        <f t="shared" si="67"/>
        <v>0</v>
      </c>
      <c r="BC36" s="35">
        <f t="shared" si="67"/>
        <v>0</v>
      </c>
      <c r="BD36" s="35">
        <f t="shared" si="67"/>
        <v>0</v>
      </c>
      <c r="BE36" s="35">
        <f t="shared" si="67"/>
        <v>0</v>
      </c>
      <c r="BF36" s="35">
        <f t="shared" si="67"/>
        <v>0</v>
      </c>
      <c r="BG36" s="35">
        <f t="shared" si="67"/>
        <v>0</v>
      </c>
      <c r="BH36" s="35">
        <f t="shared" si="67"/>
        <v>0</v>
      </c>
      <c r="BI36" s="35">
        <f t="shared" si="67"/>
        <v>0</v>
      </c>
      <c r="BJ36" s="35">
        <f t="shared" si="67"/>
        <v>0</v>
      </c>
      <c r="BK36" s="35">
        <f t="shared" si="67"/>
        <v>0</v>
      </c>
      <c r="BL36" s="35">
        <f t="shared" si="67"/>
        <v>0</v>
      </c>
      <c r="BM36" s="35">
        <f t="shared" si="67"/>
        <v>0</v>
      </c>
      <c r="BN36" s="35">
        <f t="shared" si="67"/>
        <v>0</v>
      </c>
      <c r="BO36" s="35">
        <f t="shared" ref="BO36:BQ36" si="68">BO34*BO35</f>
        <v>0</v>
      </c>
      <c r="BP36" s="35">
        <f t="shared" si="68"/>
        <v>0</v>
      </c>
      <c r="BQ36" s="35">
        <f t="shared" si="68"/>
        <v>0</v>
      </c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</row>
    <row r="41" spans="1:93" x14ac:dyDescent="0.25">
      <c r="H41" s="108">
        <f>SUM(B36:CM36)</f>
        <v>21635000</v>
      </c>
      <c r="I41" s="109"/>
      <c r="J41" s="109"/>
      <c r="K41" s="109"/>
      <c r="L41" s="109"/>
      <c r="M41" s="109"/>
      <c r="N41" s="109"/>
      <c r="O41" s="109"/>
    </row>
    <row r="42" spans="1:93" x14ac:dyDescent="0.25">
      <c r="H42" s="109"/>
      <c r="I42" s="109"/>
      <c r="J42" s="109"/>
      <c r="K42" s="109"/>
      <c r="L42" s="109"/>
      <c r="M42" s="109"/>
      <c r="N42" s="109"/>
      <c r="O42" s="109"/>
    </row>
    <row r="43" spans="1:93" x14ac:dyDescent="0.25">
      <c r="H43" s="109"/>
      <c r="I43" s="109"/>
      <c r="J43" s="109"/>
      <c r="K43" s="109"/>
      <c r="L43" s="109"/>
      <c r="M43" s="109"/>
      <c r="N43" s="109"/>
      <c r="O43" s="109"/>
    </row>
  </sheetData>
  <mergeCells count="2">
    <mergeCell ref="A1:K1"/>
    <mergeCell ref="H41:O43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E66E-31E4-48AC-902C-C779987B8887}">
  <dimension ref="A1:L29"/>
  <sheetViews>
    <sheetView topLeftCell="A13" workbookViewId="0">
      <selection activeCell="I13" sqref="I13"/>
    </sheetView>
  </sheetViews>
  <sheetFormatPr defaultRowHeight="15" x14ac:dyDescent="0.25"/>
  <cols>
    <col min="1" max="4" width="12.140625" customWidth="1"/>
    <col min="5" max="5" width="5.5703125" customWidth="1"/>
    <col min="6" max="6" width="13.85546875" customWidth="1"/>
    <col min="7" max="9" width="12.140625" customWidth="1"/>
    <col min="10" max="10" width="5.7109375" customWidth="1"/>
    <col min="13" max="13" width="9.85546875" bestFit="1" customWidth="1"/>
  </cols>
  <sheetData>
    <row r="1" spans="1:10" x14ac:dyDescent="0.25">
      <c r="A1" s="104" t="s">
        <v>134</v>
      </c>
      <c r="B1" s="104"/>
      <c r="C1" s="104"/>
      <c r="D1" s="104"/>
      <c r="E1" s="104"/>
      <c r="F1" s="105" t="s">
        <v>135</v>
      </c>
      <c r="G1" s="105"/>
      <c r="H1" s="105"/>
      <c r="I1" s="105"/>
      <c r="J1" s="105"/>
    </row>
    <row r="2" spans="1:10" x14ac:dyDescent="0.25">
      <c r="A2" s="73"/>
      <c r="B2" s="73" t="s">
        <v>151</v>
      </c>
      <c r="C2" s="73" t="s">
        <v>152</v>
      </c>
      <c r="D2" s="73" t="s">
        <v>153</v>
      </c>
      <c r="E2" s="73"/>
      <c r="F2" s="74"/>
      <c r="G2" s="74" t="s">
        <v>154</v>
      </c>
      <c r="H2" s="74" t="s">
        <v>105</v>
      </c>
      <c r="I2" s="74" t="s">
        <v>153</v>
      </c>
      <c r="J2" s="74"/>
    </row>
    <row r="3" spans="1:10" x14ac:dyDescent="0.25">
      <c r="A3" s="68" t="s">
        <v>129</v>
      </c>
      <c r="B3" s="69">
        <v>6000000</v>
      </c>
      <c r="C3" s="69"/>
      <c r="D3" s="69">
        <f t="shared" ref="D3:D24" si="0">B3-C3</f>
        <v>6000000</v>
      </c>
      <c r="E3" s="69"/>
      <c r="F3" s="42" t="s">
        <v>188</v>
      </c>
      <c r="G3" s="42">
        <v>1200000</v>
      </c>
      <c r="H3" s="42">
        <v>1200000</v>
      </c>
      <c r="I3" s="42">
        <f t="shared" ref="I3:I24" si="1">G3-H3</f>
        <v>0</v>
      </c>
      <c r="J3" s="42"/>
    </row>
    <row r="4" spans="1:10" x14ac:dyDescent="0.25">
      <c r="A4" s="68" t="s">
        <v>140</v>
      </c>
      <c r="B4" s="69">
        <v>8000000</v>
      </c>
      <c r="C4" s="69"/>
      <c r="D4" s="69">
        <f t="shared" si="0"/>
        <v>8000000</v>
      </c>
      <c r="E4" s="69"/>
      <c r="F4" s="42" t="s">
        <v>185</v>
      </c>
      <c r="G4" s="42">
        <v>800000</v>
      </c>
      <c r="H4" s="42"/>
      <c r="I4" s="42">
        <f t="shared" si="1"/>
        <v>800000</v>
      </c>
      <c r="J4" s="42"/>
    </row>
    <row r="5" spans="1:10" x14ac:dyDescent="0.25">
      <c r="A5" s="69"/>
      <c r="B5" s="69"/>
      <c r="C5" s="69"/>
      <c r="D5" s="69">
        <f t="shared" si="0"/>
        <v>0</v>
      </c>
      <c r="E5" s="69"/>
      <c r="F5" s="42" t="s">
        <v>182</v>
      </c>
      <c r="G5" s="42">
        <v>500000</v>
      </c>
      <c r="H5" s="42"/>
      <c r="I5" s="42">
        <f t="shared" si="1"/>
        <v>500000</v>
      </c>
      <c r="J5" s="42"/>
    </row>
    <row r="6" spans="1:10" x14ac:dyDescent="0.25">
      <c r="A6" s="69"/>
      <c r="B6" s="69"/>
      <c r="C6" s="69"/>
      <c r="D6" s="69">
        <f t="shared" si="0"/>
        <v>0</v>
      </c>
      <c r="E6" s="69"/>
      <c r="F6" s="42" t="s">
        <v>183</v>
      </c>
      <c r="G6" s="42">
        <v>800000</v>
      </c>
      <c r="H6" s="42">
        <v>100000</v>
      </c>
      <c r="I6" s="42">
        <f t="shared" si="1"/>
        <v>700000</v>
      </c>
      <c r="J6" s="42"/>
    </row>
    <row r="7" spans="1:10" x14ac:dyDescent="0.25">
      <c r="A7" s="68"/>
      <c r="B7" s="69"/>
      <c r="C7" s="69"/>
      <c r="D7" s="69"/>
      <c r="E7" s="69"/>
      <c r="F7" s="42" t="s">
        <v>155</v>
      </c>
      <c r="G7" s="42">
        <v>2600000</v>
      </c>
      <c r="H7" s="42">
        <v>200000</v>
      </c>
      <c r="I7" s="42">
        <f t="shared" si="1"/>
        <v>2400000</v>
      </c>
      <c r="J7" s="42"/>
    </row>
    <row r="8" spans="1:10" x14ac:dyDescent="0.25">
      <c r="A8" s="68" t="s">
        <v>92</v>
      </c>
      <c r="B8" s="69">
        <v>700000</v>
      </c>
      <c r="C8" s="69"/>
      <c r="D8" s="69">
        <f t="shared" si="0"/>
        <v>700000</v>
      </c>
      <c r="E8" s="69"/>
      <c r="F8" s="42" t="s">
        <v>131</v>
      </c>
      <c r="G8" s="42">
        <v>1800000</v>
      </c>
      <c r="H8" s="42">
        <v>500000</v>
      </c>
      <c r="I8" s="42">
        <f t="shared" si="1"/>
        <v>1300000</v>
      </c>
      <c r="J8" s="42"/>
    </row>
    <row r="9" spans="1:10" x14ac:dyDescent="0.25">
      <c r="A9" s="68" t="s">
        <v>138</v>
      </c>
      <c r="B9" s="69">
        <v>1135000</v>
      </c>
      <c r="C9" s="69"/>
      <c r="D9" s="69">
        <f t="shared" si="0"/>
        <v>1135000</v>
      </c>
      <c r="E9" s="69"/>
      <c r="F9" s="42" t="s">
        <v>148</v>
      </c>
      <c r="G9" s="42">
        <v>1800000</v>
      </c>
      <c r="H9" s="42">
        <v>500000</v>
      </c>
      <c r="I9" s="42">
        <f t="shared" si="1"/>
        <v>1300000</v>
      </c>
      <c r="J9" s="42"/>
    </row>
    <row r="10" spans="1:10" x14ac:dyDescent="0.25">
      <c r="A10" s="68"/>
      <c r="B10" s="69"/>
      <c r="C10" s="69"/>
      <c r="D10" s="69">
        <f t="shared" si="0"/>
        <v>0</v>
      </c>
      <c r="E10" s="69"/>
      <c r="F10" s="42" t="s">
        <v>149</v>
      </c>
      <c r="G10" s="42">
        <v>8500000</v>
      </c>
      <c r="H10" s="42">
        <v>500000</v>
      </c>
      <c r="I10" s="42">
        <f t="shared" si="1"/>
        <v>8000000</v>
      </c>
      <c r="J10" s="42"/>
    </row>
    <row r="11" spans="1:10" x14ac:dyDescent="0.25">
      <c r="A11" s="68" t="s">
        <v>99</v>
      </c>
      <c r="B11" s="69">
        <v>350000</v>
      </c>
      <c r="C11" s="69"/>
      <c r="D11" s="69">
        <f t="shared" si="0"/>
        <v>350000</v>
      </c>
      <c r="E11" s="69"/>
      <c r="F11" s="42" t="s">
        <v>189</v>
      </c>
      <c r="G11" s="42">
        <v>300000</v>
      </c>
      <c r="H11" s="42">
        <v>300000</v>
      </c>
      <c r="I11" s="42">
        <f t="shared" si="1"/>
        <v>0</v>
      </c>
      <c r="J11" s="42"/>
    </row>
    <row r="12" spans="1:10" x14ac:dyDescent="0.25">
      <c r="A12" s="68" t="s">
        <v>150</v>
      </c>
      <c r="B12" s="69">
        <v>350000</v>
      </c>
      <c r="C12" s="69"/>
      <c r="D12" s="69">
        <f t="shared" si="0"/>
        <v>350000</v>
      </c>
      <c r="E12" s="69"/>
      <c r="F12" s="42"/>
      <c r="G12" s="42"/>
      <c r="H12" s="42"/>
      <c r="I12" s="42">
        <f t="shared" si="1"/>
        <v>0</v>
      </c>
      <c r="J12" s="42"/>
    </row>
    <row r="13" spans="1:10" x14ac:dyDescent="0.25">
      <c r="A13" s="68"/>
      <c r="B13" s="69"/>
      <c r="C13" s="69"/>
      <c r="D13" s="69"/>
      <c r="E13" s="69"/>
      <c r="F13" s="42"/>
      <c r="G13" s="42"/>
      <c r="H13" s="42"/>
      <c r="I13" s="42">
        <f t="shared" si="1"/>
        <v>0</v>
      </c>
      <c r="J13" s="42"/>
    </row>
    <row r="14" spans="1:10" x14ac:dyDescent="0.25">
      <c r="A14" s="68"/>
      <c r="B14" s="69"/>
      <c r="C14" s="69"/>
      <c r="D14" s="69"/>
      <c r="E14" s="69"/>
      <c r="F14" s="42" t="s">
        <v>141</v>
      </c>
      <c r="G14" s="42">
        <v>2425000</v>
      </c>
      <c r="H14" s="42">
        <v>2425000</v>
      </c>
      <c r="I14" s="42">
        <f t="shared" si="1"/>
        <v>0</v>
      </c>
      <c r="J14" s="42"/>
    </row>
    <row r="15" spans="1:10" x14ac:dyDescent="0.25">
      <c r="A15" s="68"/>
      <c r="B15" s="69"/>
      <c r="C15" s="69"/>
      <c r="D15" s="69">
        <f t="shared" si="0"/>
        <v>0</v>
      </c>
      <c r="E15" s="69"/>
      <c r="F15" s="42" t="s">
        <v>142</v>
      </c>
      <c r="G15" s="42">
        <v>1298000</v>
      </c>
      <c r="H15" s="42"/>
      <c r="I15" s="42">
        <f t="shared" si="1"/>
        <v>1298000</v>
      </c>
      <c r="J15" s="42"/>
    </row>
    <row r="16" spans="1:10" x14ac:dyDescent="0.25">
      <c r="A16" s="68"/>
      <c r="B16" s="69"/>
      <c r="C16" s="69"/>
      <c r="D16" s="69">
        <f t="shared" si="0"/>
        <v>0</v>
      </c>
      <c r="E16" s="69"/>
      <c r="F16" s="42" t="s">
        <v>143</v>
      </c>
      <c r="G16" s="42">
        <v>834000</v>
      </c>
      <c r="H16" s="42"/>
      <c r="I16" s="42">
        <f t="shared" si="1"/>
        <v>834000</v>
      </c>
      <c r="J16" s="42"/>
    </row>
    <row r="17" spans="1:12" x14ac:dyDescent="0.25">
      <c r="A17" s="68" t="s">
        <v>184</v>
      </c>
      <c r="B17" s="69" t="s">
        <v>186</v>
      </c>
      <c r="C17" s="69"/>
      <c r="D17" s="69"/>
      <c r="E17" s="69"/>
      <c r="F17" s="42" t="s">
        <v>144</v>
      </c>
      <c r="G17" s="42">
        <v>1220000</v>
      </c>
      <c r="H17" s="42"/>
      <c r="I17" s="42">
        <f t="shared" si="1"/>
        <v>1220000</v>
      </c>
      <c r="J17" s="42"/>
    </row>
    <row r="18" spans="1:12" x14ac:dyDescent="0.25">
      <c r="A18" s="68"/>
      <c r="B18" s="69"/>
      <c r="C18" s="69"/>
      <c r="D18" s="69">
        <f t="shared" si="0"/>
        <v>0</v>
      </c>
      <c r="E18" s="69"/>
      <c r="F18" s="42" t="s">
        <v>89</v>
      </c>
      <c r="G18" s="42">
        <v>419000</v>
      </c>
      <c r="H18" s="42"/>
      <c r="I18" s="42">
        <f t="shared" si="1"/>
        <v>419000</v>
      </c>
      <c r="J18" s="42"/>
    </row>
    <row r="19" spans="1:12" x14ac:dyDescent="0.25">
      <c r="A19" s="68"/>
      <c r="B19" s="69"/>
      <c r="C19" s="69"/>
      <c r="D19" s="69">
        <f t="shared" si="0"/>
        <v>0</v>
      </c>
      <c r="E19" s="69"/>
      <c r="F19" s="42"/>
      <c r="G19" s="42"/>
      <c r="H19" s="42"/>
      <c r="I19" s="42">
        <f t="shared" si="1"/>
        <v>0</v>
      </c>
      <c r="J19" s="42"/>
      <c r="L19" t="s">
        <v>84</v>
      </c>
    </row>
    <row r="20" spans="1:12" x14ac:dyDescent="0.25">
      <c r="A20" s="68"/>
      <c r="B20" s="69"/>
      <c r="C20" s="69"/>
      <c r="D20" s="69">
        <f t="shared" si="0"/>
        <v>0</v>
      </c>
      <c r="E20" s="69"/>
      <c r="F20" s="42" t="s">
        <v>145</v>
      </c>
      <c r="G20" s="42">
        <v>12000</v>
      </c>
      <c r="H20" s="42"/>
      <c r="I20" s="42">
        <f t="shared" si="1"/>
        <v>12000</v>
      </c>
      <c r="J20" s="42"/>
    </row>
    <row r="21" spans="1:12" x14ac:dyDescent="0.25">
      <c r="A21" s="68"/>
      <c r="B21" s="69"/>
      <c r="C21" s="69"/>
      <c r="D21" s="69">
        <f t="shared" si="0"/>
        <v>0</v>
      </c>
      <c r="E21" s="69"/>
      <c r="F21" s="42" t="s">
        <v>146</v>
      </c>
      <c r="G21" s="42">
        <v>258000</v>
      </c>
      <c r="H21" s="42"/>
      <c r="I21" s="42">
        <f t="shared" si="1"/>
        <v>258000</v>
      </c>
      <c r="J21" s="42"/>
    </row>
    <row r="22" spans="1:12" x14ac:dyDescent="0.25">
      <c r="A22" s="68"/>
      <c r="B22" s="69"/>
      <c r="C22" s="69"/>
      <c r="D22" s="69">
        <f t="shared" si="0"/>
        <v>0</v>
      </c>
      <c r="E22" s="69"/>
      <c r="F22" s="42" t="s">
        <v>147</v>
      </c>
      <c r="G22" s="42">
        <v>680000</v>
      </c>
      <c r="H22" s="42"/>
      <c r="I22" s="42">
        <f t="shared" si="1"/>
        <v>680000</v>
      </c>
      <c r="J22" s="42"/>
    </row>
    <row r="23" spans="1:12" x14ac:dyDescent="0.25">
      <c r="A23" s="68"/>
      <c r="B23" s="69"/>
      <c r="C23" s="69"/>
      <c r="D23" s="69">
        <f t="shared" si="0"/>
        <v>0</v>
      </c>
      <c r="E23" s="69"/>
      <c r="F23" s="42" t="s">
        <v>158</v>
      </c>
      <c r="G23" s="42">
        <v>367000</v>
      </c>
      <c r="H23" s="42">
        <v>85000</v>
      </c>
      <c r="I23" s="42">
        <f t="shared" si="1"/>
        <v>282000</v>
      </c>
      <c r="J23" s="42"/>
    </row>
    <row r="24" spans="1:12" x14ac:dyDescent="0.25">
      <c r="A24" s="68"/>
      <c r="B24" s="69"/>
      <c r="C24" s="69"/>
      <c r="D24" s="69">
        <f t="shared" si="0"/>
        <v>0</v>
      </c>
      <c r="E24" s="69"/>
      <c r="F24" s="42"/>
      <c r="G24" s="42"/>
      <c r="H24" s="42"/>
      <c r="I24" s="42">
        <f t="shared" si="1"/>
        <v>0</v>
      </c>
      <c r="J24" s="42"/>
    </row>
    <row r="25" spans="1:12" x14ac:dyDescent="0.25">
      <c r="A25" t="s">
        <v>43</v>
      </c>
      <c r="B25" s="35">
        <f>SUM(B3:B24)</f>
        <v>16535000</v>
      </c>
      <c r="C25" s="35">
        <f>SUM(C3:C24)</f>
        <v>0</v>
      </c>
      <c r="D25" s="35">
        <f>SUM(D3:D24)</f>
        <v>16535000</v>
      </c>
      <c r="E25" s="35"/>
      <c r="F25" s="35"/>
      <c r="G25" s="35">
        <f>SUM(G3:G24)</f>
        <v>25813000</v>
      </c>
      <c r="H25" s="35">
        <f>SUM(H3:H24)</f>
        <v>5810000</v>
      </c>
      <c r="I25" s="35">
        <f>SUM(I3:I24)</f>
        <v>20003000</v>
      </c>
      <c r="J25" s="35"/>
    </row>
    <row r="28" spans="1:12" x14ac:dyDescent="0.25">
      <c r="D28" s="106">
        <f>B25-I25</f>
        <v>-3468000</v>
      </c>
      <c r="E28" s="107"/>
      <c r="F28" s="107"/>
      <c r="G28" s="107"/>
    </row>
    <row r="29" spans="1:12" x14ac:dyDescent="0.25">
      <c r="D29" s="107"/>
      <c r="E29" s="107"/>
      <c r="F29" s="107"/>
      <c r="G29" s="107"/>
    </row>
  </sheetData>
  <mergeCells count="3">
    <mergeCell ref="A1:E1"/>
    <mergeCell ref="F1:J1"/>
    <mergeCell ref="D28:G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5895-0234-4A80-A14E-050D3124BD48}">
  <dimension ref="A1:N33"/>
  <sheetViews>
    <sheetView zoomScale="130" zoomScaleNormal="130" workbookViewId="0">
      <selection activeCell="I12" sqref="I12"/>
    </sheetView>
  </sheetViews>
  <sheetFormatPr defaultRowHeight="15" x14ac:dyDescent="0.25"/>
  <cols>
    <col min="1" max="1" width="4.42578125" style="75" customWidth="1"/>
    <col min="2" max="2" width="24.5703125" customWidth="1"/>
    <col min="3" max="3" width="15.5703125" style="40" customWidth="1"/>
    <col min="4" max="4" width="14.140625" customWidth="1"/>
    <col min="5" max="5" width="12.28515625" bestFit="1" customWidth="1"/>
    <col min="7" max="7" width="13.28515625" customWidth="1"/>
  </cols>
  <sheetData>
    <row r="1" spans="1:14" ht="54" customHeight="1" x14ac:dyDescent="0.9">
      <c r="A1" s="110" t="s">
        <v>190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4" x14ac:dyDescent="0.25">
      <c r="A2" s="75">
        <v>1</v>
      </c>
      <c r="B2" t="s">
        <v>191</v>
      </c>
      <c r="C2" s="40">
        <f>2027014.22+701552.12+3321.32</f>
        <v>2731887.6599999997</v>
      </c>
      <c r="D2" s="40"/>
      <c r="E2" s="40">
        <f>C2+D2</f>
        <v>2731887.6599999997</v>
      </c>
      <c r="G2" s="40"/>
    </row>
    <row r="3" spans="1:14" x14ac:dyDescent="0.25">
      <c r="A3" s="75">
        <v>2</v>
      </c>
      <c r="B3" t="s">
        <v>192</v>
      </c>
      <c r="D3" s="40">
        <v>419750</v>
      </c>
      <c r="E3" s="40">
        <f t="shared" ref="E3:E24" si="0">C3+D3</f>
        <v>419750</v>
      </c>
      <c r="G3" s="40">
        <v>415432</v>
      </c>
    </row>
    <row r="4" spans="1:14" x14ac:dyDescent="0.25">
      <c r="A4" s="75">
        <v>3</v>
      </c>
      <c r="B4" t="s">
        <v>193</v>
      </c>
      <c r="D4" s="40">
        <v>285200</v>
      </c>
      <c r="E4" s="40">
        <f t="shared" si="0"/>
        <v>285200</v>
      </c>
      <c r="G4" s="40">
        <v>79600</v>
      </c>
    </row>
    <row r="5" spans="1:14" x14ac:dyDescent="0.25">
      <c r="A5" s="75">
        <v>4</v>
      </c>
      <c r="B5" t="s">
        <v>194</v>
      </c>
      <c r="D5" s="40"/>
      <c r="E5" s="40">
        <f t="shared" si="0"/>
        <v>0</v>
      </c>
      <c r="G5" s="40">
        <v>1238890.1000000001</v>
      </c>
    </row>
    <row r="6" spans="1:14" x14ac:dyDescent="0.25">
      <c r="A6" s="75">
        <v>5</v>
      </c>
      <c r="B6" t="s">
        <v>195</v>
      </c>
      <c r="D6" s="40"/>
      <c r="E6" s="40">
        <f t="shared" si="0"/>
        <v>0</v>
      </c>
      <c r="G6" s="40">
        <v>796714.23</v>
      </c>
    </row>
    <row r="7" spans="1:14" x14ac:dyDescent="0.25">
      <c r="A7" s="75">
        <v>6</v>
      </c>
      <c r="B7" t="s">
        <v>196</v>
      </c>
      <c r="D7" s="40"/>
      <c r="E7" s="40">
        <f t="shared" si="0"/>
        <v>0</v>
      </c>
      <c r="G7" s="40">
        <v>240584.79</v>
      </c>
    </row>
    <row r="8" spans="1:14" x14ac:dyDescent="0.25">
      <c r="A8" s="75">
        <v>7</v>
      </c>
      <c r="B8" t="s">
        <v>197</v>
      </c>
      <c r="D8" s="40">
        <v>360000</v>
      </c>
      <c r="E8" s="40">
        <f t="shared" si="0"/>
        <v>360000</v>
      </c>
      <c r="G8" s="40">
        <v>359396.67</v>
      </c>
    </row>
    <row r="9" spans="1:14" x14ac:dyDescent="0.25">
      <c r="A9" s="75">
        <v>8</v>
      </c>
      <c r="B9" t="s">
        <v>198</v>
      </c>
      <c r="D9" s="40"/>
      <c r="E9" s="40">
        <f t="shared" si="0"/>
        <v>0</v>
      </c>
      <c r="G9" s="40">
        <v>28800</v>
      </c>
    </row>
    <row r="10" spans="1:14" x14ac:dyDescent="0.25">
      <c r="A10" s="75">
        <v>9</v>
      </c>
      <c r="B10" t="s">
        <v>199</v>
      </c>
      <c r="D10" s="40">
        <v>328916.67</v>
      </c>
      <c r="E10" s="40">
        <f t="shared" si="0"/>
        <v>328916.67</v>
      </c>
      <c r="G10" s="40">
        <v>328916.67</v>
      </c>
    </row>
    <row r="11" spans="1:14" x14ac:dyDescent="0.25">
      <c r="A11" s="75">
        <v>10</v>
      </c>
      <c r="B11" t="s">
        <v>200</v>
      </c>
      <c r="D11" s="40"/>
      <c r="E11" s="40">
        <f t="shared" si="0"/>
        <v>0</v>
      </c>
      <c r="G11" s="40">
        <v>318000</v>
      </c>
    </row>
    <row r="12" spans="1:14" x14ac:dyDescent="0.25">
      <c r="A12" s="75">
        <v>11</v>
      </c>
      <c r="B12" t="s">
        <v>201</v>
      </c>
      <c r="C12" s="40">
        <v>450000</v>
      </c>
      <c r="D12" s="40"/>
      <c r="E12" s="40">
        <f t="shared" si="0"/>
        <v>450000</v>
      </c>
      <c r="G12" s="40"/>
    </row>
    <row r="13" spans="1:14" x14ac:dyDescent="0.25">
      <c r="A13" s="75">
        <v>12</v>
      </c>
      <c r="B13" t="s">
        <v>202</v>
      </c>
      <c r="C13" s="40">
        <v>1220000</v>
      </c>
      <c r="D13" s="40"/>
      <c r="E13" s="40">
        <f t="shared" si="0"/>
        <v>1220000</v>
      </c>
      <c r="G13" s="40"/>
    </row>
    <row r="14" spans="1:14" x14ac:dyDescent="0.25">
      <c r="A14" s="75">
        <v>13</v>
      </c>
      <c r="B14" t="s">
        <v>207</v>
      </c>
      <c r="C14" s="40">
        <v>150000</v>
      </c>
      <c r="D14" s="40"/>
      <c r="E14" s="40">
        <f t="shared" si="0"/>
        <v>150000</v>
      </c>
      <c r="G14" s="40"/>
    </row>
    <row r="15" spans="1:14" x14ac:dyDescent="0.25">
      <c r="A15" s="75">
        <v>14</v>
      </c>
      <c r="B15" t="s">
        <v>114</v>
      </c>
      <c r="D15" s="40"/>
      <c r="E15" s="40">
        <f t="shared" si="0"/>
        <v>0</v>
      </c>
      <c r="G15" s="40">
        <v>687000</v>
      </c>
    </row>
    <row r="16" spans="1:14" x14ac:dyDescent="0.25">
      <c r="A16" s="75">
        <v>15</v>
      </c>
      <c r="D16" s="40"/>
      <c r="E16" s="40">
        <f t="shared" si="0"/>
        <v>0</v>
      </c>
      <c r="G16" s="40"/>
    </row>
    <row r="17" spans="1:9" x14ac:dyDescent="0.25">
      <c r="A17" s="75">
        <v>16</v>
      </c>
      <c r="D17" s="40"/>
      <c r="E17" s="40">
        <f t="shared" si="0"/>
        <v>0</v>
      </c>
      <c r="G17" s="40"/>
    </row>
    <row r="18" spans="1:9" x14ac:dyDescent="0.25">
      <c r="A18" s="75">
        <v>17</v>
      </c>
      <c r="B18" t="s">
        <v>90</v>
      </c>
      <c r="C18" s="40">
        <v>2000000</v>
      </c>
      <c r="D18" s="40"/>
      <c r="E18" s="40">
        <f t="shared" si="0"/>
        <v>2000000</v>
      </c>
      <c r="G18" s="40"/>
    </row>
    <row r="19" spans="1:9" x14ac:dyDescent="0.25">
      <c r="A19" s="75">
        <v>18</v>
      </c>
      <c r="B19" t="s">
        <v>203</v>
      </c>
      <c r="D19" s="40"/>
      <c r="E19" s="40">
        <f t="shared" si="0"/>
        <v>0</v>
      </c>
      <c r="G19" s="40">
        <v>1010000</v>
      </c>
    </row>
    <row r="20" spans="1:9" x14ac:dyDescent="0.25">
      <c r="A20" s="75">
        <v>19</v>
      </c>
      <c r="B20" t="s">
        <v>204</v>
      </c>
      <c r="C20" s="40">
        <v>100000</v>
      </c>
      <c r="D20" s="40"/>
      <c r="E20" s="40">
        <f t="shared" si="0"/>
        <v>100000</v>
      </c>
      <c r="G20" s="40"/>
    </row>
    <row r="21" spans="1:9" x14ac:dyDescent="0.25">
      <c r="A21" s="75">
        <v>20</v>
      </c>
      <c r="B21" t="s">
        <v>205</v>
      </c>
      <c r="C21" s="40">
        <v>150000</v>
      </c>
      <c r="D21" s="40"/>
      <c r="E21" s="40">
        <f t="shared" si="0"/>
        <v>150000</v>
      </c>
      <c r="G21" s="40"/>
    </row>
    <row r="22" spans="1:9" x14ac:dyDescent="0.25">
      <c r="A22" s="75">
        <v>21</v>
      </c>
      <c r="B22" t="s">
        <v>206</v>
      </c>
      <c r="C22" s="40">
        <f>85000*2</f>
        <v>170000</v>
      </c>
      <c r="D22" s="40">
        <v>85000</v>
      </c>
      <c r="E22" s="40">
        <f t="shared" si="0"/>
        <v>255000</v>
      </c>
      <c r="G22" s="40"/>
    </row>
    <row r="23" spans="1:9" x14ac:dyDescent="0.25">
      <c r="A23" s="75">
        <v>22</v>
      </c>
      <c r="B23" t="s">
        <v>208</v>
      </c>
      <c r="D23" s="40"/>
      <c r="E23" s="40">
        <f t="shared" si="0"/>
        <v>0</v>
      </c>
      <c r="G23" s="40">
        <v>255000</v>
      </c>
    </row>
    <row r="24" spans="1:9" x14ac:dyDescent="0.25">
      <c r="A24" s="75">
        <v>23</v>
      </c>
      <c r="B24" t="s">
        <v>213</v>
      </c>
      <c r="C24" s="40">
        <v>650000</v>
      </c>
      <c r="D24" s="40"/>
      <c r="E24" s="40">
        <f t="shared" si="0"/>
        <v>650000</v>
      </c>
      <c r="G24" s="40"/>
    </row>
    <row r="25" spans="1:9" x14ac:dyDescent="0.25">
      <c r="B25" t="s">
        <v>214</v>
      </c>
      <c r="G25" s="40">
        <v>504000</v>
      </c>
    </row>
    <row r="26" spans="1:9" x14ac:dyDescent="0.25">
      <c r="E26" s="101">
        <f>SUM(E2:E25)</f>
        <v>9100754.3300000001</v>
      </c>
      <c r="F26" s="102"/>
      <c r="G26" s="102"/>
      <c r="H26" s="102"/>
      <c r="I26" s="102"/>
    </row>
    <row r="27" spans="1:9" x14ac:dyDescent="0.25">
      <c r="E27" s="102"/>
      <c r="F27" s="102"/>
      <c r="G27" s="102"/>
      <c r="H27" s="102"/>
      <c r="I27" s="102"/>
    </row>
    <row r="29" spans="1:9" ht="15" customHeight="1" x14ac:dyDescent="0.25">
      <c r="E29" s="101">
        <f>4598000+6323425</f>
        <v>10921425</v>
      </c>
      <c r="F29" s="102"/>
      <c r="G29" s="102"/>
      <c r="H29" s="102"/>
      <c r="I29" s="102"/>
    </row>
    <row r="30" spans="1:9" ht="15" customHeight="1" x14ac:dyDescent="0.25">
      <c r="E30" s="102"/>
      <c r="F30" s="102"/>
      <c r="G30" s="102"/>
      <c r="H30" s="102"/>
      <c r="I30" s="102"/>
    </row>
    <row r="32" spans="1:9" x14ac:dyDescent="0.25">
      <c r="E32" s="101">
        <f>E26-E29</f>
        <v>-1820670.67</v>
      </c>
      <c r="F32" s="102"/>
      <c r="G32" s="102"/>
      <c r="H32" s="102"/>
      <c r="I32" s="102"/>
    </row>
    <row r="33" spans="5:9" x14ac:dyDescent="0.25">
      <c r="E33" s="102"/>
      <c r="F33" s="102"/>
      <c r="G33" s="102"/>
      <c r="H33" s="102"/>
      <c r="I33" s="102"/>
    </row>
  </sheetData>
  <mergeCells count="4">
    <mergeCell ref="E26:I27"/>
    <mergeCell ref="E29:I30"/>
    <mergeCell ref="E32:I33"/>
    <mergeCell ref="A1:N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C28A-6956-4ADC-9D0D-D15A36F5ECE4}">
  <dimension ref="D3:D5"/>
  <sheetViews>
    <sheetView workbookViewId="0">
      <selection activeCell="D3" sqref="D3"/>
    </sheetView>
  </sheetViews>
  <sheetFormatPr defaultRowHeight="15" x14ac:dyDescent="0.25"/>
  <sheetData>
    <row r="3" spans="4:4" x14ac:dyDescent="0.25">
      <c r="D3">
        <v>18138132</v>
      </c>
    </row>
    <row r="4" spans="4:4" x14ac:dyDescent="0.25">
      <c r="D4">
        <v>1218212</v>
      </c>
    </row>
    <row r="5" spans="4:4" x14ac:dyDescent="0.25">
      <c r="D5">
        <f>D3-D4</f>
        <v>16919920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3FD5-B502-4C74-8414-136FA6C483FE}">
  <dimension ref="A1:J20"/>
  <sheetViews>
    <sheetView workbookViewId="0">
      <selection activeCell="H6" sqref="H6"/>
    </sheetView>
  </sheetViews>
  <sheetFormatPr defaultRowHeight="15" x14ac:dyDescent="0.25"/>
  <cols>
    <col min="1" max="1" width="11.85546875" customWidth="1"/>
    <col min="2" max="2" width="14.5703125" customWidth="1"/>
    <col min="3" max="10" width="14.28515625" customWidth="1"/>
    <col min="12" max="12" width="12.7109375" bestFit="1" customWidth="1"/>
  </cols>
  <sheetData>
    <row r="1" spans="1:10" x14ac:dyDescent="0.25">
      <c r="C1" s="2" t="s">
        <v>18</v>
      </c>
      <c r="D1" s="2" t="s">
        <v>19</v>
      </c>
      <c r="E1" s="2" t="s">
        <v>20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5">
      <c r="A2" t="s">
        <v>37</v>
      </c>
      <c r="B2" s="25">
        <v>110000000</v>
      </c>
      <c r="C2" s="25"/>
      <c r="D2" s="25"/>
      <c r="E2" s="25">
        <f>31394+50000+939689.89</f>
        <v>1021083.89</v>
      </c>
      <c r="F2" s="25">
        <v>2425290.66</v>
      </c>
      <c r="G2" s="25">
        <v>2425290.66</v>
      </c>
      <c r="H2" s="25">
        <v>2425290.66</v>
      </c>
      <c r="I2" s="25">
        <v>2425290.66</v>
      </c>
      <c r="J2" s="25">
        <v>2425290.66</v>
      </c>
    </row>
    <row r="3" spans="1:10" x14ac:dyDescent="0.25">
      <c r="A3" t="s">
        <v>38</v>
      </c>
      <c r="B3" s="25">
        <v>31100000</v>
      </c>
      <c r="C3" s="25">
        <v>1138932.29</v>
      </c>
      <c r="D3" s="25">
        <f>1468097.11+64936.55</f>
        <v>1533033.6600000001</v>
      </c>
      <c r="E3" s="25">
        <f>1490967.06+42018.63</f>
        <v>1532985.69</v>
      </c>
      <c r="F3" s="25">
        <v>1492896</v>
      </c>
      <c r="G3" s="25">
        <v>1497377.08</v>
      </c>
      <c r="H3" s="25">
        <v>1475732.97</v>
      </c>
      <c r="I3" s="25">
        <v>1438169.18</v>
      </c>
      <c r="J3" s="25">
        <v>1436259.16</v>
      </c>
    </row>
    <row r="4" spans="1:10" x14ac:dyDescent="0.25">
      <c r="A4" t="s">
        <v>39</v>
      </c>
      <c r="B4" s="25">
        <v>20000000</v>
      </c>
      <c r="C4" s="25">
        <v>732432.71</v>
      </c>
      <c r="D4" s="25">
        <f>944114.27+41759.84</f>
        <v>985874.11</v>
      </c>
      <c r="E4" s="25">
        <f>958821.61+27021.62</f>
        <v>985843.23</v>
      </c>
      <c r="F4" s="25">
        <v>960062.09</v>
      </c>
      <c r="G4" s="25">
        <v>962943.8</v>
      </c>
      <c r="H4" s="25">
        <v>949024.75</v>
      </c>
      <c r="I4" s="25">
        <v>924867.96</v>
      </c>
      <c r="J4" s="25">
        <v>923639.65</v>
      </c>
    </row>
    <row r="5" spans="1:10" x14ac:dyDescent="0.25">
      <c r="A5" t="s">
        <v>40</v>
      </c>
      <c r="B5" s="25">
        <v>28010000</v>
      </c>
      <c r="C5" s="25">
        <v>1504605.87</v>
      </c>
      <c r="D5" s="25">
        <v>1504605.87</v>
      </c>
      <c r="E5" s="25">
        <v>1504605.87</v>
      </c>
      <c r="F5" s="25">
        <v>1504605.87</v>
      </c>
      <c r="G5" s="25">
        <v>1501436.43</v>
      </c>
      <c r="H5" s="25">
        <v>1501436.43</v>
      </c>
      <c r="I5" s="25">
        <v>1501436.43</v>
      </c>
      <c r="J5" s="25">
        <v>1501436.43</v>
      </c>
    </row>
    <row r="6" spans="1:10" x14ac:dyDescent="0.25">
      <c r="B6" s="25"/>
      <c r="C6" s="25"/>
      <c r="D6" s="25"/>
      <c r="E6" s="25"/>
      <c r="F6" s="25"/>
      <c r="G6" s="25"/>
      <c r="H6" s="25"/>
      <c r="I6" s="25"/>
      <c r="J6" s="25"/>
    </row>
    <row r="7" spans="1:10" x14ac:dyDescent="0.25">
      <c r="A7" t="s">
        <v>45</v>
      </c>
      <c r="B7" s="26">
        <f>SUM(B2:B6)</f>
        <v>189110000</v>
      </c>
      <c r="C7" s="26">
        <f t="shared" ref="C7:J7" si="0">SUM(C2:C6)</f>
        <v>3375970.87</v>
      </c>
      <c r="D7" s="26">
        <f t="shared" si="0"/>
        <v>4023513.64</v>
      </c>
      <c r="E7" s="26">
        <f t="shared" si="0"/>
        <v>5044518.68</v>
      </c>
      <c r="F7" s="26">
        <f t="shared" si="0"/>
        <v>6382854.6200000001</v>
      </c>
      <c r="G7" s="26">
        <f t="shared" si="0"/>
        <v>6387047.9699999997</v>
      </c>
      <c r="H7" s="26">
        <f>SUM(H2:H6)</f>
        <v>6351484.8099999996</v>
      </c>
      <c r="I7" s="26">
        <f t="shared" si="0"/>
        <v>6289764.2299999995</v>
      </c>
      <c r="J7" s="26">
        <f t="shared" si="0"/>
        <v>6286625.9000000004</v>
      </c>
    </row>
    <row r="8" spans="1:10" x14ac:dyDescent="0.25">
      <c r="B8" s="30"/>
    </row>
    <row r="9" spans="1:10" x14ac:dyDescent="0.25">
      <c r="B9" s="30"/>
    </row>
    <row r="10" spans="1:10" x14ac:dyDescent="0.25">
      <c r="A10" s="31" t="s">
        <v>41</v>
      </c>
      <c r="B10" s="32"/>
      <c r="C10" s="32">
        <v>4107435</v>
      </c>
      <c r="D10" s="32">
        <f>3718663+500000</f>
        <v>4218663</v>
      </c>
      <c r="E10" s="32">
        <v>4238664</v>
      </c>
      <c r="F10" s="32">
        <v>4274643</v>
      </c>
      <c r="G10" s="32">
        <v>4274643</v>
      </c>
      <c r="H10" s="32">
        <v>4274643</v>
      </c>
      <c r="I10" s="32"/>
      <c r="J10" s="32"/>
    </row>
    <row r="11" spans="1:10" x14ac:dyDescent="0.25">
      <c r="A11" s="31" t="s">
        <v>42</v>
      </c>
      <c r="B11" s="32"/>
      <c r="C11" s="32">
        <v>517880</v>
      </c>
      <c r="D11" s="32">
        <v>517880</v>
      </c>
      <c r="E11" s="32">
        <v>517880</v>
      </c>
      <c r="F11" s="32">
        <v>517880</v>
      </c>
      <c r="G11" s="32">
        <v>517880</v>
      </c>
      <c r="H11" s="32">
        <v>500000</v>
      </c>
      <c r="I11" s="32"/>
      <c r="J11" s="32"/>
    </row>
    <row r="12" spans="1:10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0" x14ac:dyDescent="0.25">
      <c r="A13" s="31" t="s">
        <v>43</v>
      </c>
      <c r="B13" s="32"/>
      <c r="C13" s="32">
        <f>C11+C10</f>
        <v>4625315</v>
      </c>
      <c r="D13" s="32">
        <f t="shared" ref="D13:J13" si="1">D11+D10</f>
        <v>4736543</v>
      </c>
      <c r="E13" s="32">
        <f t="shared" si="1"/>
        <v>4756544</v>
      </c>
      <c r="F13" s="32">
        <f t="shared" si="1"/>
        <v>4792523</v>
      </c>
      <c r="G13" s="32">
        <f t="shared" si="1"/>
        <v>4792523</v>
      </c>
      <c r="H13" s="32">
        <f>H11+H10</f>
        <v>4774643</v>
      </c>
      <c r="I13" s="32">
        <f>I11+I10</f>
        <v>0</v>
      </c>
      <c r="J13" s="32">
        <f t="shared" si="1"/>
        <v>0</v>
      </c>
    </row>
    <row r="15" spans="1:10" x14ac:dyDescent="0.25">
      <c r="A15" s="33" t="s">
        <v>41</v>
      </c>
      <c r="B15" s="32"/>
      <c r="C15" s="32"/>
      <c r="D15" s="32"/>
      <c r="E15" s="32">
        <v>2750000</v>
      </c>
      <c r="F15" s="32">
        <f>1465323+1465232*0.2</f>
        <v>1758369.4</v>
      </c>
      <c r="G15" s="32"/>
      <c r="H15" s="32"/>
      <c r="I15" s="32"/>
      <c r="J15" s="32"/>
    </row>
    <row r="16" spans="1:10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</row>
    <row r="18" spans="1:10" x14ac:dyDescent="0.25">
      <c r="A18" s="33" t="s">
        <v>44</v>
      </c>
      <c r="B18" s="32">
        <f>B13+B15</f>
        <v>0</v>
      </c>
      <c r="C18" s="32">
        <f t="shared" ref="C18:J18" si="2">C13+C15</f>
        <v>4625315</v>
      </c>
      <c r="D18" s="32">
        <f t="shared" si="2"/>
        <v>4736543</v>
      </c>
      <c r="E18" s="32">
        <f t="shared" si="2"/>
        <v>7506544</v>
      </c>
      <c r="F18" s="32">
        <f t="shared" si="2"/>
        <v>6550892.4000000004</v>
      </c>
      <c r="G18" s="32">
        <f t="shared" si="2"/>
        <v>4792523</v>
      </c>
      <c r="H18" s="32">
        <f t="shared" si="2"/>
        <v>4774643</v>
      </c>
      <c r="I18" s="32">
        <f t="shared" si="2"/>
        <v>0</v>
      </c>
      <c r="J18" s="32">
        <f t="shared" si="2"/>
        <v>0</v>
      </c>
    </row>
    <row r="20" spans="1:10" x14ac:dyDescent="0.25">
      <c r="A20" t="s">
        <v>6</v>
      </c>
      <c r="B20" s="25"/>
      <c r="C20" s="25">
        <f>C18-C7</f>
        <v>1249344.1299999999</v>
      </c>
      <c r="D20" s="25">
        <f t="shared" ref="D20:J20" si="3">D18-D7</f>
        <v>713029.35999999987</v>
      </c>
      <c r="E20" s="25">
        <f t="shared" si="3"/>
        <v>2462025.3200000003</v>
      </c>
      <c r="F20" s="25">
        <f t="shared" si="3"/>
        <v>168037.78000000026</v>
      </c>
      <c r="G20" s="25">
        <f t="shared" si="3"/>
        <v>-1594524.9699999997</v>
      </c>
      <c r="H20" s="25">
        <f t="shared" si="3"/>
        <v>-1576841.8099999996</v>
      </c>
      <c r="I20" s="25">
        <f t="shared" si="3"/>
        <v>-6289764.2299999995</v>
      </c>
      <c r="J20" s="25">
        <f t="shared" si="3"/>
        <v>-6286625.9000000004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943-1388-457F-95C2-FABD660E2C28}">
  <dimension ref="A1:L36"/>
  <sheetViews>
    <sheetView topLeftCell="A7" zoomScale="130" zoomScaleNormal="130" workbookViewId="0">
      <selection activeCell="B11" sqref="B11"/>
    </sheetView>
  </sheetViews>
  <sheetFormatPr defaultRowHeight="15" x14ac:dyDescent="0.25"/>
  <cols>
    <col min="1" max="1" width="4.42578125" style="75" customWidth="1"/>
    <col min="2" max="2" width="23.7109375" customWidth="1"/>
    <col min="3" max="3" width="15.5703125" style="40" customWidth="1"/>
    <col min="4" max="4" width="14.140625" customWidth="1"/>
    <col min="5" max="5" width="14" customWidth="1"/>
  </cols>
  <sheetData>
    <row r="1" spans="1:12" ht="61.5" x14ac:dyDescent="0.9">
      <c r="A1" s="110" t="s">
        <v>209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x14ac:dyDescent="0.25">
      <c r="A2" s="75">
        <v>1</v>
      </c>
      <c r="B2" t="s">
        <v>191</v>
      </c>
      <c r="C2" s="40">
        <v>2425290.66</v>
      </c>
      <c r="D2" s="40"/>
      <c r="E2" s="40">
        <f t="shared" ref="E2:E27" si="0">C2+D2</f>
        <v>2425290.66</v>
      </c>
    </row>
    <row r="3" spans="1:12" x14ac:dyDescent="0.25">
      <c r="A3" s="75">
        <v>2</v>
      </c>
      <c r="B3" t="s">
        <v>192</v>
      </c>
      <c r="C3" s="40">
        <v>419750</v>
      </c>
      <c r="D3" s="40"/>
      <c r="E3" s="40">
        <f t="shared" si="0"/>
        <v>419750</v>
      </c>
    </row>
    <row r="4" spans="1:12" x14ac:dyDescent="0.25">
      <c r="A4" s="75">
        <v>3</v>
      </c>
      <c r="B4" t="s">
        <v>193</v>
      </c>
      <c r="C4" s="40">
        <v>285200</v>
      </c>
      <c r="D4" s="40"/>
      <c r="E4" s="40">
        <f t="shared" si="0"/>
        <v>285200</v>
      </c>
    </row>
    <row r="5" spans="1:12" x14ac:dyDescent="0.25">
      <c r="A5" s="75">
        <v>4</v>
      </c>
      <c r="B5" t="s">
        <v>194</v>
      </c>
      <c r="D5" s="40"/>
      <c r="E5" s="40">
        <f t="shared" ref="E5:E24" si="1">C5+D5</f>
        <v>0</v>
      </c>
    </row>
    <row r="6" spans="1:12" x14ac:dyDescent="0.25">
      <c r="A6" s="77">
        <v>5</v>
      </c>
      <c r="B6" t="s">
        <v>195</v>
      </c>
      <c r="D6" s="40"/>
      <c r="E6" s="40">
        <f t="shared" si="0"/>
        <v>0</v>
      </c>
    </row>
    <row r="7" spans="1:12" x14ac:dyDescent="0.25">
      <c r="A7" s="77">
        <v>6</v>
      </c>
      <c r="B7" t="s">
        <v>196</v>
      </c>
      <c r="D7" s="40"/>
      <c r="E7" s="40">
        <f t="shared" si="0"/>
        <v>0</v>
      </c>
    </row>
    <row r="8" spans="1:12" x14ac:dyDescent="0.25">
      <c r="A8" s="77">
        <v>7</v>
      </c>
      <c r="B8" t="s">
        <v>197</v>
      </c>
      <c r="C8" s="40">
        <v>360000</v>
      </c>
      <c r="D8" s="40"/>
      <c r="E8" s="40">
        <f t="shared" si="0"/>
        <v>360000</v>
      </c>
    </row>
    <row r="9" spans="1:12" x14ac:dyDescent="0.25">
      <c r="A9" s="77">
        <v>8</v>
      </c>
      <c r="B9" t="s">
        <v>198</v>
      </c>
      <c r="C9" s="40">
        <v>28800</v>
      </c>
      <c r="D9" s="40"/>
      <c r="E9" s="40">
        <f t="shared" si="1"/>
        <v>28800</v>
      </c>
    </row>
    <row r="10" spans="1:12" x14ac:dyDescent="0.25">
      <c r="A10" s="77">
        <v>9</v>
      </c>
      <c r="B10" t="s">
        <v>199</v>
      </c>
      <c r="C10" s="40">
        <v>328916.67</v>
      </c>
      <c r="D10" s="40"/>
      <c r="E10" s="40">
        <f t="shared" si="0"/>
        <v>328916.67</v>
      </c>
    </row>
    <row r="11" spans="1:12" x14ac:dyDescent="0.25">
      <c r="A11" s="77">
        <v>10</v>
      </c>
      <c r="B11" t="s">
        <v>218</v>
      </c>
      <c r="C11" s="40">
        <v>47040</v>
      </c>
      <c r="D11" s="40"/>
      <c r="E11" s="40">
        <f t="shared" si="0"/>
        <v>47040</v>
      </c>
    </row>
    <row r="12" spans="1:12" x14ac:dyDescent="0.25">
      <c r="A12" s="77">
        <v>11</v>
      </c>
      <c r="B12" t="s">
        <v>220</v>
      </c>
      <c r="C12" s="40">
        <v>67000</v>
      </c>
      <c r="D12" s="40"/>
      <c r="E12" s="40">
        <f t="shared" si="0"/>
        <v>67000</v>
      </c>
    </row>
    <row r="13" spans="1:12" x14ac:dyDescent="0.25">
      <c r="A13" s="77">
        <v>12</v>
      </c>
      <c r="B13" t="s">
        <v>219</v>
      </c>
      <c r="C13" s="40">
        <v>366666</v>
      </c>
      <c r="D13" s="40"/>
      <c r="E13" s="40">
        <f t="shared" si="0"/>
        <v>366666</v>
      </c>
    </row>
    <row r="14" spans="1:12" x14ac:dyDescent="0.25">
      <c r="A14" s="77">
        <v>13</v>
      </c>
      <c r="B14" t="s">
        <v>200</v>
      </c>
      <c r="C14" s="40">
        <v>90000</v>
      </c>
      <c r="D14" s="40"/>
      <c r="E14" s="40">
        <f t="shared" si="0"/>
        <v>90000</v>
      </c>
    </row>
    <row r="15" spans="1:12" x14ac:dyDescent="0.25">
      <c r="A15" s="77">
        <v>14</v>
      </c>
      <c r="B15" t="s">
        <v>201</v>
      </c>
      <c r="D15" s="40"/>
      <c r="E15" s="40">
        <f t="shared" si="0"/>
        <v>0</v>
      </c>
    </row>
    <row r="16" spans="1:12" x14ac:dyDescent="0.25">
      <c r="A16" s="77">
        <v>15</v>
      </c>
      <c r="B16" t="s">
        <v>221</v>
      </c>
      <c r="C16" s="40">
        <v>450000</v>
      </c>
      <c r="D16" s="40"/>
      <c r="E16" s="40">
        <f t="shared" si="1"/>
        <v>450000</v>
      </c>
    </row>
    <row r="17" spans="1:9" x14ac:dyDescent="0.25">
      <c r="A17" s="77">
        <v>16</v>
      </c>
      <c r="B17" t="s">
        <v>207</v>
      </c>
      <c r="C17" s="40">
        <v>75000</v>
      </c>
      <c r="D17" s="40"/>
      <c r="E17" s="40">
        <f t="shared" si="0"/>
        <v>75000</v>
      </c>
    </row>
    <row r="18" spans="1:9" x14ac:dyDescent="0.25">
      <c r="A18" s="77">
        <v>17</v>
      </c>
      <c r="B18" t="s">
        <v>114</v>
      </c>
      <c r="C18" s="40">
        <v>687000</v>
      </c>
      <c r="D18" s="40"/>
      <c r="E18" s="40">
        <f t="shared" si="0"/>
        <v>687000</v>
      </c>
    </row>
    <row r="19" spans="1:9" x14ac:dyDescent="0.25">
      <c r="A19" s="77">
        <v>18</v>
      </c>
      <c r="B19" t="s">
        <v>217</v>
      </c>
      <c r="C19" s="40">
        <v>600000</v>
      </c>
      <c r="D19" s="40"/>
      <c r="E19" s="40">
        <f t="shared" si="0"/>
        <v>600000</v>
      </c>
    </row>
    <row r="20" spans="1:9" x14ac:dyDescent="0.25">
      <c r="A20" s="77">
        <v>19</v>
      </c>
      <c r="B20" s="40"/>
      <c r="D20" s="40"/>
      <c r="E20" s="40">
        <f t="shared" si="1"/>
        <v>0</v>
      </c>
    </row>
    <row r="21" spans="1:9" x14ac:dyDescent="0.25">
      <c r="A21" s="77">
        <v>20</v>
      </c>
      <c r="B21" s="40"/>
      <c r="D21" s="40"/>
      <c r="E21" s="40">
        <f t="shared" si="0"/>
        <v>0</v>
      </c>
    </row>
    <row r="22" spans="1:9" x14ac:dyDescent="0.25">
      <c r="A22" s="77">
        <v>21</v>
      </c>
      <c r="B22" s="40"/>
      <c r="D22" s="40"/>
      <c r="E22" s="40">
        <f t="shared" si="0"/>
        <v>0</v>
      </c>
    </row>
    <row r="23" spans="1:9" x14ac:dyDescent="0.25">
      <c r="A23" s="77">
        <v>22</v>
      </c>
      <c r="B23" s="40"/>
      <c r="D23" s="40"/>
      <c r="E23" s="40">
        <f t="shared" si="0"/>
        <v>0</v>
      </c>
    </row>
    <row r="24" spans="1:9" x14ac:dyDescent="0.25">
      <c r="A24" s="77">
        <v>23</v>
      </c>
      <c r="B24" t="s">
        <v>216</v>
      </c>
      <c r="D24" s="40"/>
      <c r="E24" s="40">
        <f t="shared" si="1"/>
        <v>0</v>
      </c>
    </row>
    <row r="25" spans="1:9" x14ac:dyDescent="0.25">
      <c r="A25" s="77">
        <v>24</v>
      </c>
      <c r="B25" t="s">
        <v>215</v>
      </c>
      <c r="D25" s="40"/>
      <c r="E25" s="40">
        <f t="shared" si="0"/>
        <v>0</v>
      </c>
    </row>
    <row r="26" spans="1:9" x14ac:dyDescent="0.25">
      <c r="A26" s="77">
        <v>25</v>
      </c>
      <c r="B26" t="s">
        <v>208</v>
      </c>
      <c r="C26" s="40">
        <v>170000</v>
      </c>
      <c r="D26" s="40"/>
      <c r="E26" s="40">
        <f t="shared" si="0"/>
        <v>170000</v>
      </c>
    </row>
    <row r="27" spans="1:9" x14ac:dyDescent="0.25">
      <c r="A27" s="77">
        <v>26</v>
      </c>
      <c r="D27" s="40"/>
      <c r="E27" s="40">
        <f t="shared" si="0"/>
        <v>0</v>
      </c>
    </row>
    <row r="29" spans="1:9" x14ac:dyDescent="0.25">
      <c r="E29" s="101">
        <f>SUM(E2:E28)</f>
        <v>6400663.3300000001</v>
      </c>
      <c r="F29" s="102"/>
      <c r="G29" s="102"/>
      <c r="H29" s="102"/>
      <c r="I29" s="102"/>
    </row>
    <row r="30" spans="1:9" x14ac:dyDescent="0.25">
      <c r="E30" s="102"/>
      <c r="F30" s="102"/>
      <c r="G30" s="102"/>
      <c r="H30" s="102"/>
      <c r="I30" s="102"/>
    </row>
    <row r="32" spans="1:9" ht="15" customHeight="1" x14ac:dyDescent="0.25">
      <c r="E32" s="101">
        <v>0</v>
      </c>
      <c r="F32" s="102"/>
      <c r="G32" s="102"/>
      <c r="H32" s="102"/>
      <c r="I32" s="102"/>
    </row>
    <row r="33" spans="5:9" ht="15" customHeight="1" x14ac:dyDescent="0.25">
      <c r="E33" s="102"/>
      <c r="F33" s="102"/>
      <c r="G33" s="102"/>
      <c r="H33" s="102"/>
      <c r="I33" s="102"/>
    </row>
    <row r="35" spans="5:9" x14ac:dyDescent="0.25">
      <c r="E35" s="101">
        <f>E29-E32</f>
        <v>6400663.3300000001</v>
      </c>
      <c r="F35" s="102"/>
      <c r="G35" s="102"/>
      <c r="H35" s="102"/>
      <c r="I35" s="102"/>
    </row>
    <row r="36" spans="5:9" x14ac:dyDescent="0.25">
      <c r="E36" s="102"/>
      <c r="F36" s="102"/>
      <c r="G36" s="102"/>
      <c r="H36" s="102"/>
      <c r="I36" s="102"/>
    </row>
  </sheetData>
  <mergeCells count="4">
    <mergeCell ref="A1:L1"/>
    <mergeCell ref="E29:I30"/>
    <mergeCell ref="E32:I33"/>
    <mergeCell ref="E35:I3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8B02-5B8A-4CA3-8114-A52C55DC4D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E55-EE62-4436-9EDF-F6779BD838AA}">
  <dimension ref="A1:L33"/>
  <sheetViews>
    <sheetView workbookViewId="0">
      <selection activeCell="D27" sqref="D27"/>
    </sheetView>
  </sheetViews>
  <sheetFormatPr defaultRowHeight="15" x14ac:dyDescent="0.25"/>
  <cols>
    <col min="1" max="1" width="4.42578125" style="75" customWidth="1"/>
    <col min="2" max="2" width="23.7109375" customWidth="1"/>
    <col min="3" max="3" width="15.5703125" style="40" customWidth="1"/>
    <col min="4" max="4" width="14.140625" customWidth="1"/>
    <col min="5" max="5" width="14" customWidth="1"/>
  </cols>
  <sheetData>
    <row r="1" spans="1:12" ht="61.5" x14ac:dyDescent="0.9">
      <c r="A1" s="110" t="s">
        <v>210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x14ac:dyDescent="0.25">
      <c r="A2" s="75">
        <v>1</v>
      </c>
      <c r="B2" t="s">
        <v>191</v>
      </c>
      <c r="C2" s="40">
        <v>2425290.66</v>
      </c>
      <c r="D2" s="40"/>
      <c r="E2" s="40">
        <f>C2+D2</f>
        <v>2425290.66</v>
      </c>
    </row>
    <row r="3" spans="1:12" x14ac:dyDescent="0.25">
      <c r="A3" s="75">
        <v>2</v>
      </c>
      <c r="B3" t="s">
        <v>192</v>
      </c>
      <c r="C3" s="40">
        <v>419750</v>
      </c>
      <c r="D3" s="40"/>
      <c r="E3" s="40">
        <f t="shared" ref="E3:E24" si="0">C3+D3</f>
        <v>419750</v>
      </c>
    </row>
    <row r="4" spans="1:12" x14ac:dyDescent="0.25">
      <c r="A4" s="75">
        <v>3</v>
      </c>
      <c r="B4" t="s">
        <v>193</v>
      </c>
      <c r="C4" s="40">
        <v>285200</v>
      </c>
      <c r="D4" s="40"/>
      <c r="E4" s="40">
        <f t="shared" si="0"/>
        <v>285200</v>
      </c>
    </row>
    <row r="5" spans="1:12" x14ac:dyDescent="0.25">
      <c r="A5" s="75">
        <v>4</v>
      </c>
      <c r="B5" t="s">
        <v>194</v>
      </c>
      <c r="C5" s="40">
        <v>1199416.3</v>
      </c>
      <c r="D5" s="40"/>
      <c r="E5" s="40">
        <f t="shared" si="0"/>
        <v>1199416.3</v>
      </c>
    </row>
    <row r="6" spans="1:12" x14ac:dyDescent="0.25">
      <c r="A6" s="75">
        <v>5</v>
      </c>
      <c r="B6" t="s">
        <v>195</v>
      </c>
      <c r="C6" s="40">
        <v>771329.14</v>
      </c>
      <c r="D6" s="40"/>
      <c r="E6" s="40">
        <f t="shared" si="0"/>
        <v>771329.14</v>
      </c>
    </row>
    <row r="7" spans="1:12" x14ac:dyDescent="0.25">
      <c r="A7" s="75">
        <v>6</v>
      </c>
      <c r="B7" t="s">
        <v>196</v>
      </c>
      <c r="C7" s="40">
        <v>232855.33</v>
      </c>
      <c r="D7" s="40"/>
      <c r="E7" s="40">
        <f t="shared" si="0"/>
        <v>232855.33</v>
      </c>
    </row>
    <row r="8" spans="1:12" x14ac:dyDescent="0.25">
      <c r="A8" s="75">
        <v>7</v>
      </c>
      <c r="B8" t="s">
        <v>197</v>
      </c>
      <c r="C8" s="40">
        <v>360000</v>
      </c>
      <c r="D8" s="40"/>
      <c r="E8" s="40">
        <f t="shared" si="0"/>
        <v>360000</v>
      </c>
    </row>
    <row r="9" spans="1:12" x14ac:dyDescent="0.25">
      <c r="A9" s="75">
        <v>8</v>
      </c>
      <c r="B9" t="s">
        <v>198</v>
      </c>
      <c r="C9" s="40">
        <v>28800</v>
      </c>
      <c r="D9" s="40"/>
      <c r="E9" s="40">
        <f t="shared" si="0"/>
        <v>28800</v>
      </c>
    </row>
    <row r="10" spans="1:12" x14ac:dyDescent="0.25">
      <c r="A10" s="75">
        <v>9</v>
      </c>
      <c r="B10" t="s">
        <v>199</v>
      </c>
      <c r="C10" s="40">
        <v>328916.67</v>
      </c>
      <c r="D10" s="40"/>
      <c r="E10" s="40">
        <f t="shared" si="0"/>
        <v>328916.67</v>
      </c>
    </row>
    <row r="11" spans="1:12" x14ac:dyDescent="0.25">
      <c r="A11" s="75">
        <v>10</v>
      </c>
      <c r="B11" t="s">
        <v>200</v>
      </c>
      <c r="C11" s="40">
        <v>258000</v>
      </c>
      <c r="D11" s="40"/>
      <c r="E11" s="40">
        <f t="shared" si="0"/>
        <v>258000</v>
      </c>
    </row>
    <row r="12" spans="1:12" x14ac:dyDescent="0.25">
      <c r="A12" s="75">
        <v>11</v>
      </c>
      <c r="B12" t="s">
        <v>201</v>
      </c>
      <c r="C12" s="40">
        <v>438000</v>
      </c>
      <c r="D12" s="40"/>
      <c r="E12" s="40">
        <f t="shared" si="0"/>
        <v>438000</v>
      </c>
    </row>
    <row r="13" spans="1:12" x14ac:dyDescent="0.25">
      <c r="A13" s="75">
        <v>12</v>
      </c>
      <c r="B13" t="s">
        <v>202</v>
      </c>
      <c r="C13" s="40">
        <v>1220000</v>
      </c>
      <c r="D13" s="40"/>
      <c r="E13" s="40">
        <f t="shared" si="0"/>
        <v>1220000</v>
      </c>
    </row>
    <row r="14" spans="1:12" x14ac:dyDescent="0.25">
      <c r="A14" s="75">
        <v>13</v>
      </c>
      <c r="B14" t="s">
        <v>207</v>
      </c>
      <c r="C14" s="40">
        <v>75000</v>
      </c>
      <c r="D14" s="40"/>
      <c r="E14" s="40">
        <f t="shared" si="0"/>
        <v>75000</v>
      </c>
    </row>
    <row r="15" spans="1:12" x14ac:dyDescent="0.25">
      <c r="A15" s="75">
        <v>14</v>
      </c>
      <c r="B15" t="s">
        <v>114</v>
      </c>
      <c r="C15" s="40">
        <v>687000</v>
      </c>
      <c r="D15" s="40"/>
      <c r="E15" s="40">
        <f t="shared" si="0"/>
        <v>687000</v>
      </c>
    </row>
    <row r="16" spans="1:12" x14ac:dyDescent="0.25">
      <c r="A16" s="75">
        <v>15</v>
      </c>
      <c r="D16" s="40"/>
      <c r="E16" s="40">
        <f t="shared" si="0"/>
        <v>0</v>
      </c>
    </row>
    <row r="17" spans="1:9" x14ac:dyDescent="0.25">
      <c r="A17" s="75">
        <v>16</v>
      </c>
      <c r="D17" s="40"/>
      <c r="E17" s="40">
        <f t="shared" si="0"/>
        <v>0</v>
      </c>
    </row>
    <row r="18" spans="1:9" x14ac:dyDescent="0.25">
      <c r="A18" s="75">
        <v>17</v>
      </c>
      <c r="D18" s="40"/>
      <c r="E18" s="40">
        <f t="shared" si="0"/>
        <v>0</v>
      </c>
    </row>
    <row r="19" spans="1:9" x14ac:dyDescent="0.25">
      <c r="A19" s="75">
        <v>18</v>
      </c>
      <c r="D19" s="40"/>
      <c r="E19" s="40">
        <f t="shared" si="0"/>
        <v>0</v>
      </c>
    </row>
    <row r="20" spans="1:9" x14ac:dyDescent="0.25">
      <c r="A20" s="75">
        <v>19</v>
      </c>
      <c r="D20" s="40"/>
      <c r="E20" s="40">
        <f t="shared" si="0"/>
        <v>0</v>
      </c>
    </row>
    <row r="21" spans="1:9" x14ac:dyDescent="0.25">
      <c r="A21" s="75">
        <v>20</v>
      </c>
      <c r="D21" s="40"/>
      <c r="E21" s="40">
        <f t="shared" si="0"/>
        <v>0</v>
      </c>
    </row>
    <row r="22" spans="1:9" x14ac:dyDescent="0.25">
      <c r="A22" s="75">
        <v>21</v>
      </c>
      <c r="D22" s="40"/>
      <c r="E22" s="40">
        <f t="shared" si="0"/>
        <v>0</v>
      </c>
    </row>
    <row r="23" spans="1:9" x14ac:dyDescent="0.25">
      <c r="A23" s="75">
        <v>22</v>
      </c>
      <c r="B23" t="s">
        <v>208</v>
      </c>
      <c r="C23" s="40">
        <v>170000</v>
      </c>
      <c r="D23" s="40"/>
      <c r="E23" s="40">
        <f t="shared" si="0"/>
        <v>170000</v>
      </c>
    </row>
    <row r="24" spans="1:9" x14ac:dyDescent="0.25">
      <c r="A24" s="75">
        <v>23</v>
      </c>
      <c r="B24" t="s">
        <v>212</v>
      </c>
      <c r="C24" s="40">
        <v>200000</v>
      </c>
      <c r="D24" s="40"/>
      <c r="E24" s="40">
        <f t="shared" si="0"/>
        <v>200000</v>
      </c>
    </row>
    <row r="26" spans="1:9" x14ac:dyDescent="0.25">
      <c r="E26" s="101">
        <f>SUM(E2:E25)</f>
        <v>9099558.0999999996</v>
      </c>
      <c r="F26" s="102"/>
      <c r="G26" s="102"/>
      <c r="H26" s="102"/>
      <c r="I26" s="102"/>
    </row>
    <row r="27" spans="1:9" x14ac:dyDescent="0.25">
      <c r="E27" s="102"/>
      <c r="F27" s="102"/>
      <c r="G27" s="102"/>
      <c r="H27" s="102"/>
      <c r="I27" s="102"/>
    </row>
    <row r="29" spans="1:9" ht="15" customHeight="1" x14ac:dyDescent="0.25">
      <c r="E29" s="101">
        <v>0</v>
      </c>
      <c r="F29" s="102"/>
      <c r="G29" s="102"/>
      <c r="H29" s="102"/>
      <c r="I29" s="102"/>
    </row>
    <row r="30" spans="1:9" ht="15" customHeight="1" x14ac:dyDescent="0.25">
      <c r="E30" s="102"/>
      <c r="F30" s="102"/>
      <c r="G30" s="102"/>
      <c r="H30" s="102"/>
      <c r="I30" s="102"/>
    </row>
    <row r="32" spans="1:9" x14ac:dyDescent="0.25">
      <c r="E32" s="101">
        <f>E26-E29</f>
        <v>9099558.0999999996</v>
      </c>
      <c r="F32" s="102"/>
      <c r="G32" s="102"/>
      <c r="H32" s="102"/>
      <c r="I32" s="102"/>
    </row>
    <row r="33" spans="5:9" x14ac:dyDescent="0.25">
      <c r="E33" s="102"/>
      <c r="F33" s="102"/>
      <c r="G33" s="102"/>
      <c r="H33" s="102"/>
      <c r="I33" s="102"/>
    </row>
  </sheetData>
  <mergeCells count="4">
    <mergeCell ref="A1:L1"/>
    <mergeCell ref="E26:I27"/>
    <mergeCell ref="E29:I30"/>
    <mergeCell ref="E32:I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2375-AE5D-4896-8E7B-906F255FE763}">
  <dimension ref="A1:L32"/>
  <sheetViews>
    <sheetView topLeftCell="A7" workbookViewId="0">
      <selection activeCell="J20" sqref="J20"/>
    </sheetView>
  </sheetViews>
  <sheetFormatPr defaultRowHeight="15" x14ac:dyDescent="0.25"/>
  <cols>
    <col min="1" max="1" width="4.42578125" style="75" customWidth="1"/>
    <col min="2" max="2" width="23.7109375" customWidth="1"/>
    <col min="3" max="3" width="15.5703125" style="40" customWidth="1"/>
    <col min="4" max="4" width="14.140625" customWidth="1"/>
    <col min="5" max="5" width="14" customWidth="1"/>
    <col min="9" max="9" width="12.7109375" customWidth="1"/>
  </cols>
  <sheetData>
    <row r="1" spans="1:12" ht="61.5" x14ac:dyDescent="0.9">
      <c r="A1" s="110" t="s">
        <v>211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x14ac:dyDescent="0.25">
      <c r="A2" s="75">
        <v>1</v>
      </c>
      <c r="B2" t="s">
        <v>191</v>
      </c>
      <c r="C2" s="40">
        <v>2425290.66</v>
      </c>
      <c r="D2" s="40"/>
      <c r="E2" s="40">
        <f>C2+D2</f>
        <v>2425290.66</v>
      </c>
    </row>
    <row r="3" spans="1:12" x14ac:dyDescent="0.25">
      <c r="A3" s="75">
        <v>2</v>
      </c>
      <c r="B3" t="s">
        <v>192</v>
      </c>
      <c r="C3" s="40">
        <v>419750</v>
      </c>
      <c r="D3" s="40"/>
      <c r="E3" s="40">
        <f t="shared" ref="E3:E23" si="0">C3+D3</f>
        <v>419750</v>
      </c>
      <c r="H3">
        <v>1.1499999999999999</v>
      </c>
      <c r="I3" s="40">
        <v>3142000</v>
      </c>
    </row>
    <row r="4" spans="1:12" x14ac:dyDescent="0.25">
      <c r="A4" s="75">
        <v>3</v>
      </c>
      <c r="B4" t="s">
        <v>193</v>
      </c>
      <c r="C4" s="40">
        <v>285200</v>
      </c>
      <c r="D4" s="40"/>
      <c r="E4" s="40">
        <f t="shared" si="0"/>
        <v>285200</v>
      </c>
      <c r="I4" s="40"/>
    </row>
    <row r="5" spans="1:12" x14ac:dyDescent="0.25">
      <c r="A5" s="75">
        <v>4</v>
      </c>
      <c r="B5" t="s">
        <v>194</v>
      </c>
      <c r="C5" s="40">
        <v>1169292.6000000001</v>
      </c>
      <c r="D5" s="40"/>
      <c r="E5" s="40">
        <f t="shared" si="0"/>
        <v>1169292.6000000001</v>
      </c>
      <c r="H5">
        <v>1.5</v>
      </c>
      <c r="I5" s="40">
        <f>I3*H5*H3</f>
        <v>5419950</v>
      </c>
    </row>
    <row r="6" spans="1:12" x14ac:dyDescent="0.25">
      <c r="A6" s="75">
        <v>5</v>
      </c>
      <c r="B6" t="s">
        <v>195</v>
      </c>
      <c r="C6" s="40">
        <v>752085.59</v>
      </c>
      <c r="D6" s="40"/>
      <c r="E6" s="40">
        <f t="shared" si="0"/>
        <v>752085.59</v>
      </c>
      <c r="H6">
        <v>0.7</v>
      </c>
      <c r="I6" s="40">
        <f>I5*H6</f>
        <v>3793964.9999999995</v>
      </c>
    </row>
    <row r="7" spans="1:12" x14ac:dyDescent="0.25">
      <c r="A7" s="75">
        <v>6</v>
      </c>
      <c r="B7" t="s">
        <v>196</v>
      </c>
      <c r="C7" s="40">
        <v>226392.98</v>
      </c>
      <c r="D7" s="40"/>
      <c r="E7" s="40">
        <f t="shared" si="0"/>
        <v>226392.98</v>
      </c>
      <c r="H7">
        <v>0.6</v>
      </c>
      <c r="I7" s="40">
        <f>I5*H7</f>
        <v>3251970</v>
      </c>
    </row>
    <row r="8" spans="1:12" x14ac:dyDescent="0.25">
      <c r="A8" s="75">
        <v>7</v>
      </c>
      <c r="B8" t="s">
        <v>197</v>
      </c>
      <c r="C8" s="40">
        <v>360000</v>
      </c>
      <c r="D8" s="40"/>
      <c r="E8" s="40">
        <f t="shared" si="0"/>
        <v>360000</v>
      </c>
      <c r="I8" s="40">
        <v>413000</v>
      </c>
    </row>
    <row r="9" spans="1:12" x14ac:dyDescent="0.25">
      <c r="A9" s="75">
        <v>8</v>
      </c>
      <c r="B9" t="s">
        <v>198</v>
      </c>
      <c r="C9" s="40">
        <v>28800</v>
      </c>
      <c r="D9" s="40"/>
      <c r="E9" s="40">
        <f t="shared" si="0"/>
        <v>28800</v>
      </c>
      <c r="I9" s="40"/>
    </row>
    <row r="10" spans="1:12" x14ac:dyDescent="0.25">
      <c r="A10" s="75">
        <v>9</v>
      </c>
      <c r="B10" t="s">
        <v>200</v>
      </c>
      <c r="C10" s="40">
        <v>258000</v>
      </c>
      <c r="D10" s="40"/>
      <c r="E10" s="40">
        <f t="shared" si="0"/>
        <v>258000</v>
      </c>
      <c r="I10" s="40"/>
    </row>
    <row r="11" spans="1:12" x14ac:dyDescent="0.25">
      <c r="A11" s="75">
        <v>10</v>
      </c>
      <c r="B11" t="s">
        <v>201</v>
      </c>
      <c r="C11" s="40">
        <v>438000</v>
      </c>
      <c r="D11" s="40"/>
      <c r="E11" s="40">
        <f t="shared" si="0"/>
        <v>438000</v>
      </c>
      <c r="I11" s="40">
        <f>SUM(I5:I10)</f>
        <v>12878885</v>
      </c>
    </row>
    <row r="12" spans="1:12" x14ac:dyDescent="0.25">
      <c r="A12" s="75">
        <v>11</v>
      </c>
      <c r="B12" t="s">
        <v>222</v>
      </c>
      <c r="C12" s="40">
        <v>900000</v>
      </c>
      <c r="D12" s="40"/>
      <c r="E12" s="40">
        <f t="shared" si="0"/>
        <v>900000</v>
      </c>
      <c r="I12" s="40"/>
    </row>
    <row r="13" spans="1:12" x14ac:dyDescent="0.25">
      <c r="A13" s="75">
        <v>12</v>
      </c>
      <c r="B13" t="s">
        <v>207</v>
      </c>
      <c r="C13" s="40">
        <v>300000</v>
      </c>
      <c r="D13" s="40"/>
      <c r="E13" s="40">
        <f t="shared" si="0"/>
        <v>300000</v>
      </c>
      <c r="H13">
        <v>0.13</v>
      </c>
      <c r="I13" s="40">
        <f>I11-I11*H13</f>
        <v>11204629.949999999</v>
      </c>
    </row>
    <row r="14" spans="1:12" x14ac:dyDescent="0.25">
      <c r="A14" s="75">
        <v>13</v>
      </c>
      <c r="B14" t="s">
        <v>114</v>
      </c>
      <c r="C14" s="40">
        <v>687000</v>
      </c>
      <c r="D14" s="40"/>
      <c r="E14" s="40">
        <f t="shared" si="0"/>
        <v>687000</v>
      </c>
      <c r="I14" s="40"/>
    </row>
    <row r="15" spans="1:12" x14ac:dyDescent="0.25">
      <c r="A15" s="75">
        <v>14</v>
      </c>
      <c r="D15" s="40"/>
      <c r="E15" s="40">
        <f t="shared" si="0"/>
        <v>0</v>
      </c>
    </row>
    <row r="16" spans="1:12" x14ac:dyDescent="0.25">
      <c r="A16" s="75">
        <v>15</v>
      </c>
      <c r="D16" s="40"/>
      <c r="E16" s="40">
        <f t="shared" si="0"/>
        <v>0</v>
      </c>
    </row>
    <row r="17" spans="1:9" x14ac:dyDescent="0.25">
      <c r="A17" s="75">
        <v>16</v>
      </c>
      <c r="D17" s="40"/>
      <c r="E17" s="40">
        <f t="shared" si="0"/>
        <v>0</v>
      </c>
    </row>
    <row r="18" spans="1:9" x14ac:dyDescent="0.25">
      <c r="A18" s="75">
        <v>17</v>
      </c>
      <c r="D18" s="40"/>
      <c r="E18" s="40">
        <f t="shared" si="0"/>
        <v>0</v>
      </c>
    </row>
    <row r="19" spans="1:9" x14ac:dyDescent="0.25">
      <c r="A19" s="75">
        <v>18</v>
      </c>
      <c r="D19" s="40"/>
      <c r="E19" s="40">
        <f t="shared" si="0"/>
        <v>0</v>
      </c>
    </row>
    <row r="20" spans="1:9" x14ac:dyDescent="0.25">
      <c r="A20" s="75">
        <v>19</v>
      </c>
      <c r="D20" s="40"/>
      <c r="E20" s="40">
        <f t="shared" si="0"/>
        <v>0</v>
      </c>
    </row>
    <row r="21" spans="1:9" x14ac:dyDescent="0.25">
      <c r="A21" s="75">
        <v>20</v>
      </c>
      <c r="D21" s="40"/>
      <c r="E21" s="40">
        <f t="shared" si="0"/>
        <v>0</v>
      </c>
    </row>
    <row r="22" spans="1:9" x14ac:dyDescent="0.25">
      <c r="A22" s="75">
        <v>21</v>
      </c>
      <c r="B22" t="s">
        <v>208</v>
      </c>
      <c r="C22" s="40">
        <v>170000</v>
      </c>
      <c r="D22" s="40"/>
      <c r="E22" s="40">
        <f t="shared" si="0"/>
        <v>170000</v>
      </c>
    </row>
    <row r="23" spans="1:9" x14ac:dyDescent="0.25">
      <c r="A23" s="75">
        <v>22</v>
      </c>
      <c r="B23" t="s">
        <v>212</v>
      </c>
      <c r="C23" s="40">
        <v>130000</v>
      </c>
      <c r="D23" s="40"/>
      <c r="E23" s="40">
        <f t="shared" si="0"/>
        <v>130000</v>
      </c>
    </row>
    <row r="25" spans="1:9" x14ac:dyDescent="0.25">
      <c r="E25" s="101">
        <f>SUM(E2:E24)</f>
        <v>8549811.8300000001</v>
      </c>
      <c r="F25" s="102"/>
      <c r="G25" s="102"/>
      <c r="H25" s="102"/>
      <c r="I25" s="102"/>
    </row>
    <row r="26" spans="1:9" x14ac:dyDescent="0.25">
      <c r="E26" s="102"/>
      <c r="F26" s="102"/>
      <c r="G26" s="102"/>
      <c r="H26" s="102"/>
      <c r="I26" s="102"/>
    </row>
    <row r="28" spans="1:9" x14ac:dyDescent="0.25">
      <c r="E28" s="101">
        <v>0</v>
      </c>
      <c r="F28" s="102"/>
      <c r="G28" s="102"/>
      <c r="H28" s="102"/>
      <c r="I28" s="102"/>
    </row>
    <row r="29" spans="1:9" ht="15" customHeight="1" x14ac:dyDescent="0.25">
      <c r="E29" s="102"/>
      <c r="F29" s="102"/>
      <c r="G29" s="102"/>
      <c r="H29" s="102"/>
      <c r="I29" s="102"/>
    </row>
    <row r="30" spans="1:9" ht="15" customHeight="1" x14ac:dyDescent="0.25"/>
    <row r="31" spans="1:9" x14ac:dyDescent="0.25">
      <c r="E31" s="101">
        <f>E25-E28</f>
        <v>8549811.8300000001</v>
      </c>
      <c r="F31" s="102"/>
      <c r="G31" s="102"/>
      <c r="H31" s="102"/>
      <c r="I31" s="102"/>
    </row>
    <row r="32" spans="1:9" x14ac:dyDescent="0.25">
      <c r="E32" s="102"/>
      <c r="F32" s="102"/>
      <c r="G32" s="102"/>
      <c r="H32" s="102"/>
      <c r="I32" s="102"/>
    </row>
  </sheetData>
  <mergeCells count="4">
    <mergeCell ref="A1:L1"/>
    <mergeCell ref="E25:I26"/>
    <mergeCell ref="E28:I29"/>
    <mergeCell ref="E31:I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A5EF-EE18-43FD-BAC5-E6116DD4264A}">
  <dimension ref="A1:V24"/>
  <sheetViews>
    <sheetView tabSelected="1" topLeftCell="A13" workbookViewId="0">
      <selection activeCell="C22" sqref="C22"/>
    </sheetView>
  </sheetViews>
  <sheetFormatPr defaultRowHeight="15" x14ac:dyDescent="0.25"/>
  <cols>
    <col min="1" max="1" width="3.7109375" style="2" customWidth="1"/>
    <col min="2" max="2" width="22" style="34" customWidth="1"/>
    <col min="3" max="3" width="9.140625" style="35"/>
    <col min="4" max="22" width="11.7109375" customWidth="1"/>
  </cols>
  <sheetData>
    <row r="1" spans="1:22" x14ac:dyDescent="0.25">
      <c r="C1" s="112">
        <v>2023</v>
      </c>
      <c r="D1" s="112"/>
      <c r="E1" s="96">
        <v>2024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>
        <v>2025</v>
      </c>
      <c r="R1" s="96"/>
      <c r="S1" s="96"/>
    </row>
    <row r="2" spans="1:22" s="78" customFormat="1" x14ac:dyDescent="0.25">
      <c r="A2" s="2"/>
      <c r="B2" s="2"/>
      <c r="C2" s="111" t="s">
        <v>13</v>
      </c>
      <c r="D2" s="78" t="s">
        <v>14</v>
      </c>
      <c r="E2" s="111" t="s">
        <v>15</v>
      </c>
      <c r="F2" s="78" t="s">
        <v>16</v>
      </c>
      <c r="G2" s="111" t="s">
        <v>17</v>
      </c>
      <c r="H2" s="78" t="s">
        <v>18</v>
      </c>
      <c r="I2" s="111" t="s">
        <v>19</v>
      </c>
      <c r="J2" s="78" t="s">
        <v>20</v>
      </c>
      <c r="K2" s="111" t="s">
        <v>9</v>
      </c>
      <c r="L2" s="78" t="s">
        <v>10</v>
      </c>
      <c r="M2" s="111" t="s">
        <v>223</v>
      </c>
      <c r="N2" s="78" t="s">
        <v>224</v>
      </c>
      <c r="O2" s="111" t="s">
        <v>13</v>
      </c>
      <c r="P2" s="78" t="s">
        <v>14</v>
      </c>
      <c r="Q2" s="111" t="s">
        <v>15</v>
      </c>
      <c r="R2" s="78" t="s">
        <v>16</v>
      </c>
      <c r="S2" s="111" t="s">
        <v>17</v>
      </c>
      <c r="T2" s="111" t="s">
        <v>18</v>
      </c>
      <c r="U2" s="111" t="s">
        <v>19</v>
      </c>
      <c r="V2" s="111" t="s">
        <v>20</v>
      </c>
    </row>
    <row r="3" spans="1:22" x14ac:dyDescent="0.25">
      <c r="A3" s="2">
        <v>1</v>
      </c>
      <c r="B3" s="34" t="s">
        <v>37</v>
      </c>
      <c r="C3" s="35">
        <f>624737.11+1404493.44+13802.41</f>
        <v>2043032.9599999997</v>
      </c>
      <c r="D3" s="35">
        <v>2425000</v>
      </c>
      <c r="E3" s="35">
        <v>2425000</v>
      </c>
      <c r="F3" s="35">
        <v>2425000</v>
      </c>
      <c r="G3" s="35">
        <v>2425000</v>
      </c>
      <c r="H3" s="35">
        <v>2425000</v>
      </c>
      <c r="I3" s="35">
        <v>2425000</v>
      </c>
      <c r="J3" s="35">
        <v>2425000</v>
      </c>
      <c r="K3" s="35">
        <v>2425000</v>
      </c>
      <c r="L3" s="35">
        <v>2425000</v>
      </c>
      <c r="M3" s="35">
        <v>2425000</v>
      </c>
      <c r="N3" s="35">
        <v>2425000</v>
      </c>
      <c r="O3" s="35">
        <v>2425000</v>
      </c>
      <c r="P3" s="35">
        <v>2425000</v>
      </c>
      <c r="Q3" s="35">
        <v>2425000</v>
      </c>
      <c r="R3" s="35">
        <v>2425000</v>
      </c>
      <c r="S3" s="35">
        <v>2425000</v>
      </c>
      <c r="T3" s="35">
        <v>2425000</v>
      </c>
      <c r="U3" s="35">
        <v>2425000</v>
      </c>
      <c r="V3" s="35">
        <v>2425000</v>
      </c>
    </row>
    <row r="4" spans="1:22" x14ac:dyDescent="0.25">
      <c r="A4" s="2">
        <v>2</v>
      </c>
      <c r="B4" s="34" t="s">
        <v>225</v>
      </c>
      <c r="C4" s="35">
        <v>0</v>
      </c>
      <c r="D4" s="35">
        <v>1169492.6000000001</v>
      </c>
      <c r="E4" s="35">
        <v>1160579.1599999999</v>
      </c>
      <c r="F4" s="35">
        <v>1140205.58</v>
      </c>
      <c r="G4" s="35">
        <v>1105188.5</v>
      </c>
      <c r="H4" s="35">
        <v>1101368.44</v>
      </c>
      <c r="I4" s="35">
        <v>1073991.45</v>
      </c>
      <c r="J4" s="35">
        <v>1061257.96</v>
      </c>
      <c r="K4" s="35">
        <v>1035790.99</v>
      </c>
      <c r="L4" s="35">
        <v>1021784.15</v>
      </c>
      <c r="M4" s="35">
        <v>1003320.59</v>
      </c>
      <c r="N4" s="35">
        <v>978490.3</v>
      </c>
      <c r="O4" s="35">
        <v>962573.43</v>
      </c>
      <c r="P4" s="35">
        <v>940926.51</v>
      </c>
      <c r="Q4" s="35">
        <v>923099.63</v>
      </c>
      <c r="R4" s="35">
        <v>903362.71</v>
      </c>
      <c r="S4" s="35">
        <v>890625.2</v>
      </c>
    </row>
    <row r="5" spans="1:22" x14ac:dyDescent="0.25">
      <c r="A5" s="2">
        <v>3</v>
      </c>
      <c r="B5" s="34" t="s">
        <v>226</v>
      </c>
      <c r="D5" s="35">
        <v>752084.64</v>
      </c>
      <c r="E5" s="35">
        <v>746352.53</v>
      </c>
      <c r="F5" s="35">
        <v>733250.57</v>
      </c>
      <c r="G5" s="35">
        <v>710731.55</v>
      </c>
      <c r="H5" s="35">
        <v>708274.95</v>
      </c>
      <c r="I5" s="35">
        <v>690669.18</v>
      </c>
      <c r="J5" s="35">
        <v>682480.45</v>
      </c>
      <c r="K5" s="35">
        <v>666102.99</v>
      </c>
      <c r="L5" s="35">
        <v>657095.39</v>
      </c>
      <c r="M5" s="35">
        <v>645221.74</v>
      </c>
      <c r="N5" s="35">
        <v>629253.71</v>
      </c>
      <c r="O5" s="35">
        <v>619017.80000000005</v>
      </c>
      <c r="P5" s="35">
        <v>605096.97</v>
      </c>
      <c r="Q5" s="35">
        <v>593632.74</v>
      </c>
      <c r="R5" s="35">
        <v>580940.22</v>
      </c>
      <c r="S5" s="35">
        <v>570301.9</v>
      </c>
    </row>
    <row r="6" spans="1:22" x14ac:dyDescent="0.25">
      <c r="A6" s="2">
        <v>4</v>
      </c>
      <c r="B6" s="34" t="s">
        <v>227</v>
      </c>
      <c r="D6" s="35">
        <v>225483.38</v>
      </c>
      <c r="E6" s="35">
        <v>224872.43</v>
      </c>
      <c r="F6" s="35">
        <v>220944.34</v>
      </c>
      <c r="G6" s="35">
        <v>212961.45</v>
      </c>
      <c r="H6" s="35">
        <v>213088.16</v>
      </c>
      <c r="I6" s="35">
        <v>207386.1</v>
      </c>
      <c r="J6" s="35">
        <v>205231.97</v>
      </c>
      <c r="K6" s="35">
        <v>200036.77</v>
      </c>
      <c r="L6" s="35">
        <v>197375.79</v>
      </c>
      <c r="M6" s="35">
        <v>193447.7</v>
      </c>
      <c r="N6" s="35">
        <v>188505.92</v>
      </c>
      <c r="O6" s="35">
        <v>185591.52</v>
      </c>
      <c r="P6" s="35">
        <v>180776.45</v>
      </c>
      <c r="Q6" s="35">
        <v>177862.05</v>
      </c>
      <c r="R6" s="35">
        <v>173807.25</v>
      </c>
      <c r="S6" s="35">
        <v>168612.06</v>
      </c>
      <c r="T6" s="35">
        <v>166204.49</v>
      </c>
      <c r="U6" s="35">
        <v>161769.56</v>
      </c>
      <c r="V6" s="35">
        <v>158593.71</v>
      </c>
    </row>
    <row r="7" spans="1:22" x14ac:dyDescent="0.25">
      <c r="A7" s="2">
        <v>5</v>
      </c>
      <c r="B7" s="34" t="s">
        <v>136</v>
      </c>
      <c r="D7" s="35">
        <v>258000</v>
      </c>
      <c r="E7" s="35">
        <v>258000</v>
      </c>
      <c r="F7" s="35">
        <v>258000</v>
      </c>
      <c r="G7" s="35">
        <v>258000</v>
      </c>
      <c r="H7" s="35">
        <v>258000</v>
      </c>
      <c r="I7" s="35">
        <v>258000</v>
      </c>
      <c r="J7" s="35">
        <v>258000</v>
      </c>
      <c r="K7" s="35">
        <v>258000</v>
      </c>
      <c r="L7" s="35">
        <v>258000</v>
      </c>
      <c r="M7" s="35">
        <v>258000</v>
      </c>
      <c r="N7" s="35">
        <v>258000</v>
      </c>
      <c r="O7" s="35">
        <v>258000</v>
      </c>
      <c r="P7" s="35">
        <v>258000</v>
      </c>
      <c r="Q7" s="35">
        <v>258000</v>
      </c>
      <c r="R7" s="35">
        <v>258000</v>
      </c>
      <c r="S7" s="35">
        <v>258000</v>
      </c>
      <c r="T7" s="35">
        <v>258000</v>
      </c>
      <c r="U7" s="35">
        <v>258000</v>
      </c>
      <c r="V7" s="35">
        <v>258000</v>
      </c>
    </row>
    <row r="8" spans="1:22" x14ac:dyDescent="0.25">
      <c r="A8" s="2">
        <v>6</v>
      </c>
      <c r="B8" s="34" t="s">
        <v>228</v>
      </c>
      <c r="D8" s="35">
        <v>221873.99</v>
      </c>
      <c r="E8" s="35">
        <v>401328.88</v>
      </c>
      <c r="F8" s="35">
        <v>457305.07</v>
      </c>
      <c r="G8" s="35">
        <v>457305.07</v>
      </c>
      <c r="H8" s="35">
        <v>457305.07</v>
      </c>
      <c r="I8" s="35">
        <v>457305.07</v>
      </c>
      <c r="J8" s="35">
        <v>457305.07</v>
      </c>
      <c r="K8" s="35">
        <v>457305.07</v>
      </c>
      <c r="L8" s="35">
        <v>457305.07</v>
      </c>
      <c r="M8" s="35">
        <v>457305.07</v>
      </c>
      <c r="N8" s="35">
        <v>457305.07</v>
      </c>
      <c r="O8" s="35">
        <v>457305.07</v>
      </c>
      <c r="P8" s="35">
        <v>457305.07</v>
      </c>
      <c r="Q8" s="35">
        <v>457305.07</v>
      </c>
      <c r="R8" s="35">
        <v>457305.07</v>
      </c>
      <c r="S8" s="35">
        <v>457305.07</v>
      </c>
      <c r="T8" s="35">
        <v>457305.07</v>
      </c>
      <c r="U8" s="35">
        <v>457305.07</v>
      </c>
      <c r="V8" s="35">
        <v>457305.07</v>
      </c>
    </row>
    <row r="9" spans="1:22" x14ac:dyDescent="0.25">
      <c r="A9" s="2">
        <v>7</v>
      </c>
      <c r="B9" s="34" t="s">
        <v>229</v>
      </c>
      <c r="D9" s="35">
        <v>67000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22" x14ac:dyDescent="0.25">
      <c r="A10" s="2">
        <v>8</v>
      </c>
      <c r="B10" s="34" t="s">
        <v>230</v>
      </c>
      <c r="C10" s="35">
        <v>326666.67</v>
      </c>
      <c r="D10" s="35">
        <v>366666.66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22" x14ac:dyDescent="0.25">
      <c r="A11" s="2">
        <v>9</v>
      </c>
      <c r="B11" s="34" t="s">
        <v>231</v>
      </c>
      <c r="C11" s="35">
        <v>359324.7</v>
      </c>
      <c r="D11" s="35">
        <v>360000</v>
      </c>
      <c r="E11" s="35">
        <v>360000</v>
      </c>
      <c r="F11" s="35">
        <v>360000</v>
      </c>
      <c r="G11" s="35">
        <v>360000</v>
      </c>
      <c r="H11" s="35">
        <v>360000</v>
      </c>
      <c r="I11" s="35">
        <v>360000</v>
      </c>
      <c r="J11" s="35">
        <v>360000</v>
      </c>
      <c r="K11" s="35"/>
      <c r="L11" s="35"/>
      <c r="M11" s="35"/>
      <c r="N11" s="35"/>
      <c r="O11" s="35"/>
      <c r="P11" s="35"/>
      <c r="Q11" s="35"/>
      <c r="R11" s="35"/>
      <c r="S11" s="35"/>
    </row>
    <row r="12" spans="1:22" x14ac:dyDescent="0.25">
      <c r="A12" s="2">
        <v>10</v>
      </c>
      <c r="B12" s="34" t="s">
        <v>232</v>
      </c>
      <c r="D12" s="35">
        <v>28800</v>
      </c>
      <c r="E12" s="35">
        <v>28800</v>
      </c>
      <c r="F12" s="35">
        <v>28800</v>
      </c>
      <c r="G12" s="35">
        <v>28800</v>
      </c>
      <c r="H12" s="35">
        <v>28800</v>
      </c>
      <c r="I12" s="35">
        <v>28800</v>
      </c>
      <c r="J12" s="35">
        <v>28800</v>
      </c>
      <c r="K12" s="35"/>
      <c r="L12" s="35"/>
      <c r="M12" s="35"/>
      <c r="N12" s="35"/>
      <c r="O12" s="35"/>
      <c r="P12" s="35"/>
      <c r="Q12" s="35"/>
      <c r="R12" s="35"/>
      <c r="S12" s="35"/>
    </row>
    <row r="13" spans="1:22" x14ac:dyDescent="0.25">
      <c r="A13" s="2">
        <v>11</v>
      </c>
      <c r="B13" s="34" t="s">
        <v>233</v>
      </c>
      <c r="C13" s="35">
        <v>318796.63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</row>
    <row r="14" spans="1:22" x14ac:dyDescent="0.25">
      <c r="A14" s="2">
        <v>12</v>
      </c>
      <c r="B14" s="34" t="s">
        <v>234</v>
      </c>
      <c r="D14" s="35">
        <v>419932</v>
      </c>
      <c r="E14" s="35">
        <v>419750</v>
      </c>
      <c r="F14" s="35">
        <v>419750</v>
      </c>
      <c r="G14" s="35">
        <v>419750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22" x14ac:dyDescent="0.25">
      <c r="A15" s="2">
        <v>13</v>
      </c>
      <c r="B15" s="34" t="s">
        <v>235</v>
      </c>
      <c r="D15" s="35">
        <f>285200+85000</f>
        <v>370200</v>
      </c>
      <c r="E15" s="35">
        <f t="shared" ref="E15:H15" si="0">285200+85000</f>
        <v>370200</v>
      </c>
      <c r="F15" s="35">
        <f t="shared" si="0"/>
        <v>370200</v>
      </c>
      <c r="G15" s="35">
        <f t="shared" si="0"/>
        <v>370200</v>
      </c>
      <c r="H15" s="35">
        <f t="shared" si="0"/>
        <v>370200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2" x14ac:dyDescent="0.25">
      <c r="A16" s="2">
        <v>14</v>
      </c>
      <c r="B16" s="34" t="s">
        <v>114</v>
      </c>
      <c r="D16" s="35">
        <v>687000</v>
      </c>
      <c r="E16" s="35">
        <v>687000</v>
      </c>
      <c r="F16" s="35">
        <v>687000</v>
      </c>
      <c r="G16" s="35">
        <v>687000</v>
      </c>
      <c r="H16" s="35">
        <v>687000</v>
      </c>
      <c r="I16" s="35">
        <v>687000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22" x14ac:dyDescent="0.25">
      <c r="A17" s="2">
        <v>15</v>
      </c>
      <c r="B17" s="34" t="s">
        <v>236</v>
      </c>
      <c r="D17" s="35">
        <v>600000</v>
      </c>
      <c r="E17" s="35">
        <v>900000</v>
      </c>
      <c r="F17" s="35">
        <v>900000</v>
      </c>
      <c r="G17" s="35">
        <v>900000</v>
      </c>
      <c r="H17" s="35">
        <v>900000</v>
      </c>
      <c r="I17" s="35">
        <v>900000</v>
      </c>
      <c r="J17" s="35">
        <v>900000</v>
      </c>
      <c r="K17" s="35">
        <v>900000</v>
      </c>
      <c r="L17" s="35">
        <v>900000</v>
      </c>
      <c r="M17" s="35">
        <v>900000</v>
      </c>
      <c r="N17" s="35">
        <v>900000</v>
      </c>
      <c r="O17" s="35">
        <v>900000</v>
      </c>
      <c r="P17" s="35">
        <v>900000</v>
      </c>
      <c r="Q17" s="35">
        <v>900000</v>
      </c>
      <c r="R17" s="35">
        <v>900000</v>
      </c>
      <c r="S17" s="35">
        <v>900000</v>
      </c>
      <c r="T17" s="35">
        <v>900000</v>
      </c>
      <c r="U17" s="35">
        <v>900000</v>
      </c>
      <c r="V17" s="35">
        <v>900000</v>
      </c>
    </row>
    <row r="18" spans="1:22" x14ac:dyDescent="0.25">
      <c r="A18" s="2">
        <v>16</v>
      </c>
      <c r="B18" s="34" t="s">
        <v>237</v>
      </c>
      <c r="D18" s="35">
        <v>450000</v>
      </c>
      <c r="E18" s="35">
        <v>450000</v>
      </c>
      <c r="F18" s="35">
        <v>450000</v>
      </c>
      <c r="G18" s="35">
        <v>450000</v>
      </c>
      <c r="H18" s="35">
        <v>450000</v>
      </c>
      <c r="I18" s="35">
        <v>450000</v>
      </c>
      <c r="J18" s="35">
        <v>450000</v>
      </c>
      <c r="K18" s="35">
        <v>450000</v>
      </c>
      <c r="L18" s="35">
        <v>450000</v>
      </c>
      <c r="M18" s="35">
        <v>450000</v>
      </c>
      <c r="N18" s="35">
        <v>450000</v>
      </c>
      <c r="O18" s="35">
        <v>450000</v>
      </c>
      <c r="P18" s="35">
        <v>450000</v>
      </c>
      <c r="Q18" s="35">
        <v>450000</v>
      </c>
      <c r="R18" s="35">
        <v>450000</v>
      </c>
      <c r="S18" s="35">
        <v>450000</v>
      </c>
      <c r="T18" s="35">
        <v>450000</v>
      </c>
      <c r="U18" s="35">
        <v>450000</v>
      </c>
      <c r="V18" s="35">
        <v>450000</v>
      </c>
    </row>
    <row r="19" spans="1:22" x14ac:dyDescent="0.25">
      <c r="A19" s="2">
        <v>17</v>
      </c>
      <c r="B19" s="34" t="s">
        <v>207</v>
      </c>
      <c r="D19" s="35">
        <v>271342.46999999997</v>
      </c>
      <c r="E19" s="35">
        <f>D19-2400</f>
        <v>268942.46999999997</v>
      </c>
      <c r="F19" s="35">
        <f t="shared" ref="F19:V19" si="1">E19-2400</f>
        <v>266542.46999999997</v>
      </c>
      <c r="G19" s="35">
        <f t="shared" si="1"/>
        <v>264142.46999999997</v>
      </c>
      <c r="H19" s="35">
        <f t="shared" si="1"/>
        <v>261742.46999999997</v>
      </c>
      <c r="I19" s="35">
        <f t="shared" si="1"/>
        <v>259342.46999999997</v>
      </c>
      <c r="J19" s="35">
        <f t="shared" si="1"/>
        <v>256942.46999999997</v>
      </c>
      <c r="K19" s="35">
        <f t="shared" si="1"/>
        <v>254542.46999999997</v>
      </c>
      <c r="L19" s="35">
        <f t="shared" si="1"/>
        <v>252142.46999999997</v>
      </c>
      <c r="M19" s="35">
        <f t="shared" si="1"/>
        <v>249742.46999999997</v>
      </c>
      <c r="N19" s="35">
        <f t="shared" si="1"/>
        <v>247342.46999999997</v>
      </c>
      <c r="O19" s="35">
        <f t="shared" si="1"/>
        <v>244942.46999999997</v>
      </c>
      <c r="P19" s="35">
        <f t="shared" si="1"/>
        <v>242542.46999999997</v>
      </c>
      <c r="Q19" s="35">
        <f t="shared" si="1"/>
        <v>240142.46999999997</v>
      </c>
      <c r="R19" s="35">
        <f t="shared" si="1"/>
        <v>237742.46999999997</v>
      </c>
      <c r="S19" s="35">
        <f t="shared" si="1"/>
        <v>235342.46999999997</v>
      </c>
      <c r="T19" s="35">
        <f t="shared" si="1"/>
        <v>232942.46999999997</v>
      </c>
      <c r="U19" s="35">
        <f t="shared" si="1"/>
        <v>230542.46999999997</v>
      </c>
      <c r="V19" s="35">
        <f t="shared" si="1"/>
        <v>228142.46999999997</v>
      </c>
    </row>
    <row r="20" spans="1:22" x14ac:dyDescent="0.25">
      <c r="A20" s="2">
        <v>18</v>
      </c>
      <c r="B20" s="34" t="s">
        <v>238</v>
      </c>
      <c r="D20" s="35">
        <v>164369.04</v>
      </c>
      <c r="E20" s="35">
        <v>164369.04</v>
      </c>
      <c r="F20" s="35">
        <v>164369.04</v>
      </c>
      <c r="G20" s="35">
        <v>164369.04</v>
      </c>
      <c r="H20" s="35">
        <v>164369.04</v>
      </c>
      <c r="I20" s="35">
        <v>164369.04</v>
      </c>
      <c r="J20" s="35">
        <v>136427.56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22" x14ac:dyDescent="0.25">
      <c r="A21" s="2">
        <v>19</v>
      </c>
      <c r="B21" s="34" t="s">
        <v>212</v>
      </c>
      <c r="D21" s="35">
        <v>120000</v>
      </c>
      <c r="E21" s="35">
        <v>120000</v>
      </c>
      <c r="F21" s="35">
        <v>120000</v>
      </c>
      <c r="G21" s="35">
        <v>120000</v>
      </c>
      <c r="H21" s="35">
        <v>120000</v>
      </c>
      <c r="I21" s="35">
        <v>120000</v>
      </c>
      <c r="J21" s="35">
        <v>120000</v>
      </c>
      <c r="K21" s="35">
        <v>120000</v>
      </c>
      <c r="L21" s="35">
        <v>120000</v>
      </c>
      <c r="M21" s="35">
        <v>120000</v>
      </c>
      <c r="N21" s="35">
        <v>120000</v>
      </c>
      <c r="O21" s="35">
        <v>120000</v>
      </c>
      <c r="P21" s="35">
        <v>120000</v>
      </c>
      <c r="Q21" s="35">
        <v>120000</v>
      </c>
      <c r="R21" s="35">
        <v>120000</v>
      </c>
      <c r="S21" s="35">
        <v>120000</v>
      </c>
      <c r="T21" s="35">
        <v>120000</v>
      </c>
      <c r="U21" s="35">
        <v>120000</v>
      </c>
      <c r="V21" s="35">
        <v>120000</v>
      </c>
    </row>
    <row r="22" spans="1:22" x14ac:dyDescent="0.25">
      <c r="C22" s="35">
        <f>SUM(C3:C21)</f>
        <v>3047820.96</v>
      </c>
      <c r="D22" s="35">
        <f t="shared" ref="D22:V22" si="2">SUM(D3:D21)</f>
        <v>8957244.7799999993</v>
      </c>
      <c r="E22" s="35">
        <f t="shared" si="2"/>
        <v>8985194.5099999998</v>
      </c>
      <c r="F22" s="35">
        <f t="shared" si="2"/>
        <v>9001367.0700000003</v>
      </c>
      <c r="G22" s="35">
        <f t="shared" si="2"/>
        <v>8933448.0800000001</v>
      </c>
      <c r="H22" s="35">
        <f t="shared" si="2"/>
        <v>8505148.129999999</v>
      </c>
      <c r="I22" s="35">
        <f t="shared" si="2"/>
        <v>8081863.3100000005</v>
      </c>
      <c r="J22" s="35">
        <f t="shared" si="2"/>
        <v>7341445.4799999995</v>
      </c>
      <c r="K22" s="35">
        <f t="shared" si="2"/>
        <v>6766778.29</v>
      </c>
      <c r="L22" s="35">
        <f t="shared" si="2"/>
        <v>6738702.8700000001</v>
      </c>
      <c r="M22" s="35">
        <f t="shared" si="2"/>
        <v>6702037.5700000003</v>
      </c>
      <c r="N22" s="35">
        <f t="shared" si="2"/>
        <v>6653897.4699999997</v>
      </c>
      <c r="O22" s="35">
        <f t="shared" si="2"/>
        <v>6622430.29</v>
      </c>
      <c r="P22" s="35">
        <f t="shared" si="2"/>
        <v>6579647.4699999997</v>
      </c>
      <c r="Q22" s="35">
        <f t="shared" si="2"/>
        <v>6545041.96</v>
      </c>
      <c r="R22" s="35">
        <f t="shared" si="2"/>
        <v>6506157.7199999997</v>
      </c>
      <c r="S22" s="35">
        <f t="shared" si="2"/>
        <v>6475186.7000000002</v>
      </c>
      <c r="T22" s="35">
        <f t="shared" si="2"/>
        <v>5009452.03</v>
      </c>
      <c r="U22" s="35">
        <f t="shared" si="2"/>
        <v>5002617.0999999996</v>
      </c>
      <c r="V22" s="35">
        <f t="shared" si="2"/>
        <v>4997041.2499999991</v>
      </c>
    </row>
    <row r="24" spans="1:22" x14ac:dyDescent="0.25">
      <c r="D24" s="35">
        <f>D22+C22</f>
        <v>12005065.739999998</v>
      </c>
      <c r="E24" s="35">
        <f>E22+D24</f>
        <v>20990260.25</v>
      </c>
      <c r="F24" s="35">
        <f t="shared" ref="F24:V24" si="3">F22+E24</f>
        <v>29991627.32</v>
      </c>
      <c r="G24" s="35">
        <f t="shared" si="3"/>
        <v>38925075.399999999</v>
      </c>
      <c r="H24" s="35">
        <f t="shared" si="3"/>
        <v>47430223.530000001</v>
      </c>
      <c r="I24" s="35">
        <f t="shared" si="3"/>
        <v>55512086.840000004</v>
      </c>
      <c r="J24" s="35">
        <f t="shared" si="3"/>
        <v>62853532.32</v>
      </c>
      <c r="K24" s="35">
        <f t="shared" si="3"/>
        <v>69620310.609999999</v>
      </c>
      <c r="L24" s="35">
        <f t="shared" si="3"/>
        <v>76359013.480000004</v>
      </c>
      <c r="M24" s="35">
        <f t="shared" si="3"/>
        <v>83061051.050000012</v>
      </c>
      <c r="N24" s="35">
        <f t="shared" si="3"/>
        <v>89714948.520000011</v>
      </c>
      <c r="O24" s="35">
        <f t="shared" si="3"/>
        <v>96337378.810000017</v>
      </c>
      <c r="P24" s="35">
        <f t="shared" si="3"/>
        <v>102917026.28000002</v>
      </c>
      <c r="Q24" s="35">
        <f t="shared" si="3"/>
        <v>109462068.24000001</v>
      </c>
      <c r="R24" s="35">
        <f t="shared" si="3"/>
        <v>115968225.96000001</v>
      </c>
      <c r="S24" s="35">
        <f t="shared" si="3"/>
        <v>122443412.66000001</v>
      </c>
      <c r="T24" s="35">
        <f t="shared" si="3"/>
        <v>127452864.69000001</v>
      </c>
      <c r="U24" s="35">
        <f t="shared" si="3"/>
        <v>132455481.79000001</v>
      </c>
      <c r="V24" s="35">
        <f t="shared" si="3"/>
        <v>137452523.03999999</v>
      </c>
    </row>
  </sheetData>
  <mergeCells count="3">
    <mergeCell ref="C1:D1"/>
    <mergeCell ref="E1:P1"/>
    <mergeCell ref="Q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F7DD-FE30-42B7-BBBE-97880F98328C}">
  <dimension ref="D1:J17"/>
  <sheetViews>
    <sheetView workbookViewId="0">
      <selection activeCell="G15" sqref="G15"/>
    </sheetView>
  </sheetViews>
  <sheetFormatPr defaultRowHeight="15" x14ac:dyDescent="0.25"/>
  <cols>
    <col min="5" max="5" width="14.42578125" customWidth="1"/>
    <col min="8" max="8" width="15.5703125" style="35" customWidth="1"/>
    <col min="10" max="10" width="11" customWidth="1"/>
  </cols>
  <sheetData>
    <row r="1" spans="4:10" x14ac:dyDescent="0.25">
      <c r="E1" s="35">
        <f>3142000</f>
        <v>3142000</v>
      </c>
      <c r="H1" s="35">
        <f>3142000+100000</f>
        <v>3242000</v>
      </c>
    </row>
    <row r="2" spans="4:10" x14ac:dyDescent="0.25">
      <c r="E2" s="35"/>
    </row>
    <row r="3" spans="4:10" x14ac:dyDescent="0.25">
      <c r="D3">
        <v>1.5</v>
      </c>
      <c r="E3" s="35">
        <f>E1*D3</f>
        <v>4713000</v>
      </c>
      <c r="G3">
        <v>1.8</v>
      </c>
      <c r="H3" s="35">
        <f>H1*G3</f>
        <v>5835600</v>
      </c>
      <c r="J3" s="35">
        <f>E3-H3</f>
        <v>-1122600</v>
      </c>
    </row>
    <row r="4" spans="4:10" x14ac:dyDescent="0.25">
      <c r="D4">
        <v>0.7</v>
      </c>
      <c r="E4" s="35">
        <f>E3*D4</f>
        <v>3299100</v>
      </c>
      <c r="G4">
        <v>0.7</v>
      </c>
      <c r="H4" s="35">
        <f>H3*G4</f>
        <v>4084919.9999999995</v>
      </c>
      <c r="J4" s="35">
        <f t="shared" ref="J4:J13" si="0">E4-H4</f>
        <v>-785819.99999999953</v>
      </c>
    </row>
    <row r="5" spans="4:10" x14ac:dyDescent="0.25">
      <c r="D5">
        <v>0.6</v>
      </c>
      <c r="E5" s="35">
        <f>E3*D5</f>
        <v>2827800</v>
      </c>
      <c r="G5">
        <v>0.6</v>
      </c>
      <c r="H5" s="35">
        <f>H3*G5</f>
        <v>3501360</v>
      </c>
      <c r="J5" s="35">
        <f t="shared" si="0"/>
        <v>-673560</v>
      </c>
    </row>
    <row r="6" spans="4:10" x14ac:dyDescent="0.25">
      <c r="E6" s="35">
        <v>413000</v>
      </c>
      <c r="H6" s="35">
        <v>413000</v>
      </c>
      <c r="J6" s="35">
        <f t="shared" si="0"/>
        <v>0</v>
      </c>
    </row>
    <row r="7" spans="4:10" x14ac:dyDescent="0.25">
      <c r="E7" s="35"/>
      <c r="J7" s="35">
        <f t="shared" si="0"/>
        <v>0</v>
      </c>
    </row>
    <row r="8" spans="4:10" x14ac:dyDescent="0.25">
      <c r="E8" s="35">
        <f>SUM(E3:E7)</f>
        <v>11252900</v>
      </c>
      <c r="H8" s="35">
        <f>SUM(H3:H7)</f>
        <v>13834880</v>
      </c>
      <c r="J8" s="35">
        <f t="shared" si="0"/>
        <v>-2581980</v>
      </c>
    </row>
    <row r="9" spans="4:10" x14ac:dyDescent="0.25">
      <c r="D9">
        <v>13</v>
      </c>
      <c r="E9" s="35">
        <f>E8*D9/100</f>
        <v>1462877</v>
      </c>
      <c r="G9">
        <v>13</v>
      </c>
      <c r="H9" s="35">
        <f>H8*G9/100</f>
        <v>1798534.4</v>
      </c>
      <c r="J9" s="35">
        <f t="shared" si="0"/>
        <v>-335657.39999999991</v>
      </c>
    </row>
    <row r="10" spans="4:10" x14ac:dyDescent="0.25">
      <c r="E10" s="35"/>
      <c r="J10" s="35">
        <f t="shared" si="0"/>
        <v>0</v>
      </c>
    </row>
    <row r="11" spans="4:10" x14ac:dyDescent="0.25">
      <c r="E11" s="35">
        <f>E8-E9</f>
        <v>9790023</v>
      </c>
      <c r="H11" s="35">
        <f>H8-H9</f>
        <v>12036345.6</v>
      </c>
      <c r="J11" s="35">
        <f t="shared" si="0"/>
        <v>-2246322.5999999996</v>
      </c>
    </row>
    <row r="12" spans="4:10" x14ac:dyDescent="0.25">
      <c r="J12" s="35">
        <f t="shared" si="0"/>
        <v>0</v>
      </c>
    </row>
    <row r="13" spans="4:10" x14ac:dyDescent="0.25">
      <c r="E13" s="35">
        <f>H11-E11</f>
        <v>2246322.5999999996</v>
      </c>
      <c r="J13" s="35">
        <f t="shared" si="0"/>
        <v>2246322.5999999996</v>
      </c>
    </row>
    <row r="17" spans="9:9" x14ac:dyDescent="0.25">
      <c r="I17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FE40-D826-4C54-A8C9-5BEB4A40AEDD}">
  <dimension ref="A1:N22"/>
  <sheetViews>
    <sheetView workbookViewId="0">
      <selection activeCell="D4" sqref="D4"/>
    </sheetView>
  </sheetViews>
  <sheetFormatPr defaultRowHeight="15" x14ac:dyDescent="0.25"/>
  <cols>
    <col min="1" max="1" width="4" style="17" customWidth="1"/>
    <col min="2" max="2" width="4.28515625" customWidth="1"/>
    <col min="3" max="3" width="18.7109375" style="16" customWidth="1"/>
    <col min="4" max="4" width="14.140625" style="17" customWidth="1"/>
    <col min="5" max="5" width="7.140625" customWidth="1"/>
    <col min="6" max="6" width="9.28515625" customWidth="1"/>
  </cols>
  <sheetData>
    <row r="1" spans="1:14" x14ac:dyDescent="0.25">
      <c r="A1" s="20"/>
      <c r="B1" s="21"/>
      <c r="C1" s="22" t="s">
        <v>36</v>
      </c>
      <c r="D1" s="21" t="s">
        <v>27</v>
      </c>
      <c r="E1" s="21"/>
      <c r="F1" s="21"/>
      <c r="G1" s="14"/>
      <c r="H1" s="14"/>
      <c r="I1" s="14"/>
      <c r="J1" s="14"/>
    </row>
    <row r="2" spans="1:14" x14ac:dyDescent="0.25">
      <c r="A2" s="20"/>
      <c r="B2" s="21"/>
      <c r="C2" s="22" t="s">
        <v>28</v>
      </c>
      <c r="D2" s="23">
        <v>55000000</v>
      </c>
      <c r="E2" s="24" t="s">
        <v>34</v>
      </c>
      <c r="F2" s="21"/>
      <c r="G2" s="14"/>
      <c r="H2" s="14"/>
      <c r="I2" s="14"/>
      <c r="J2" s="14"/>
    </row>
    <row r="3" spans="1:14" ht="15.75" x14ac:dyDescent="0.25">
      <c r="A3" s="20"/>
      <c r="B3" s="21"/>
      <c r="C3" s="22" t="s">
        <v>35</v>
      </c>
      <c r="D3" s="26">
        <v>145000000</v>
      </c>
      <c r="E3" s="22" t="s">
        <v>34</v>
      </c>
      <c r="F3" s="21"/>
      <c r="G3" s="19"/>
      <c r="H3" s="14"/>
      <c r="I3" s="14"/>
      <c r="J3" s="14"/>
      <c r="K3" s="13"/>
      <c r="L3" s="13"/>
    </row>
    <row r="4" spans="1:14" ht="15.75" x14ac:dyDescent="0.25">
      <c r="A4" s="20"/>
      <c r="B4" s="21"/>
      <c r="C4" s="22" t="s">
        <v>29</v>
      </c>
      <c r="D4" s="25">
        <v>165000000</v>
      </c>
      <c r="E4" s="22" t="s">
        <v>34</v>
      </c>
      <c r="F4" s="21"/>
      <c r="G4" s="14"/>
      <c r="H4" s="14"/>
      <c r="I4" s="14"/>
      <c r="J4" s="14"/>
      <c r="K4" s="13"/>
      <c r="L4" s="13"/>
    </row>
    <row r="5" spans="1:14" ht="15.75" x14ac:dyDescent="0.25">
      <c r="A5" s="20" t="s">
        <v>31</v>
      </c>
      <c r="B5" s="21">
        <v>25</v>
      </c>
      <c r="C5" s="22" t="s">
        <v>30</v>
      </c>
      <c r="D5" s="25">
        <f>D4*B5/100</f>
        <v>41250000</v>
      </c>
      <c r="E5" s="22" t="s">
        <v>34</v>
      </c>
      <c r="F5" s="21"/>
      <c r="G5" s="14"/>
      <c r="H5" s="14"/>
      <c r="I5" s="14"/>
      <c r="J5" s="14"/>
      <c r="K5" s="13"/>
      <c r="L5" s="13"/>
    </row>
    <row r="6" spans="1:14" ht="15.75" x14ac:dyDescent="0.25">
      <c r="A6" s="20" t="s">
        <v>31</v>
      </c>
      <c r="B6" s="21">
        <f>100-B5</f>
        <v>75</v>
      </c>
      <c r="C6" s="22" t="s">
        <v>32</v>
      </c>
      <c r="D6" s="25">
        <f>D4-D5</f>
        <v>123750000</v>
      </c>
      <c r="E6" s="22" t="s">
        <v>34</v>
      </c>
      <c r="F6" s="21"/>
      <c r="G6" s="14"/>
      <c r="H6" s="14"/>
      <c r="I6" s="14"/>
      <c r="J6" s="14"/>
      <c r="K6" s="13"/>
      <c r="L6" s="13"/>
    </row>
    <row r="7" spans="1:14" ht="15.75" x14ac:dyDescent="0.25">
      <c r="A7" s="27" t="s">
        <v>31</v>
      </c>
      <c r="B7" s="28">
        <v>12</v>
      </c>
      <c r="C7" s="29" t="s">
        <v>33</v>
      </c>
      <c r="D7" s="26">
        <f>(D4-D2)*B7/100</f>
        <v>13200000</v>
      </c>
      <c r="E7" s="29" t="s">
        <v>34</v>
      </c>
      <c r="F7" s="21"/>
      <c r="G7" s="14"/>
      <c r="H7" s="14"/>
      <c r="I7" s="14"/>
      <c r="J7" s="14"/>
      <c r="K7" s="13"/>
      <c r="L7" s="13"/>
    </row>
    <row r="8" spans="1:14" ht="15.75" x14ac:dyDescent="0.25">
      <c r="A8" s="20"/>
      <c r="B8" s="21"/>
      <c r="C8" s="22"/>
      <c r="D8" s="25"/>
      <c r="E8" s="22"/>
      <c r="F8" s="21"/>
      <c r="G8" s="14"/>
      <c r="H8" s="14"/>
      <c r="I8" s="14"/>
      <c r="J8" s="14"/>
      <c r="K8" s="13"/>
      <c r="L8" s="13"/>
    </row>
    <row r="9" spans="1:14" ht="15.75" x14ac:dyDescent="0.25">
      <c r="A9" s="20"/>
      <c r="B9" s="21"/>
      <c r="C9" s="22"/>
      <c r="D9" s="25">
        <f>D4-D3</f>
        <v>20000000</v>
      </c>
      <c r="E9" s="22"/>
      <c r="F9" s="21"/>
      <c r="G9" s="14"/>
      <c r="H9" s="14"/>
      <c r="I9" s="14"/>
      <c r="J9" s="14"/>
      <c r="K9" s="13"/>
      <c r="L9" s="13"/>
    </row>
    <row r="10" spans="1:14" ht="15.75" x14ac:dyDescent="0.25">
      <c r="A10" s="20"/>
      <c r="B10" s="21"/>
      <c r="C10" s="22" t="s">
        <v>6</v>
      </c>
      <c r="D10" s="25">
        <f>D4-D3-D7</f>
        <v>6800000</v>
      </c>
      <c r="E10" s="22" t="s">
        <v>34</v>
      </c>
      <c r="F10" s="21"/>
      <c r="G10" s="14"/>
      <c r="H10" s="14"/>
      <c r="I10" s="14"/>
      <c r="J10" s="14"/>
      <c r="K10" s="13"/>
      <c r="L10" s="14"/>
      <c r="M10" s="14"/>
      <c r="N10" s="14"/>
    </row>
    <row r="11" spans="1:14" ht="15.75" x14ac:dyDescent="0.25">
      <c r="A11" s="20"/>
      <c r="B11" s="21"/>
      <c r="C11" s="22"/>
      <c r="D11" s="25"/>
      <c r="E11" s="21"/>
      <c r="F11" s="21"/>
      <c r="G11" s="14"/>
      <c r="H11" s="14"/>
      <c r="I11" s="14"/>
      <c r="J11" s="14"/>
      <c r="K11" s="13"/>
      <c r="L11" s="14"/>
      <c r="M11" s="14"/>
      <c r="N11" s="14"/>
    </row>
    <row r="12" spans="1:14" ht="15.75" x14ac:dyDescent="0.25">
      <c r="A12" s="20"/>
      <c r="B12" s="21"/>
      <c r="C12" s="22"/>
      <c r="D12" s="25">
        <v>30000000</v>
      </c>
      <c r="E12" s="21"/>
      <c r="F12" s="21"/>
      <c r="G12" s="14"/>
      <c r="H12" s="14"/>
      <c r="I12" s="14"/>
      <c r="J12" s="14"/>
      <c r="K12" s="13"/>
      <c r="L12" s="14"/>
      <c r="M12" s="14"/>
      <c r="N12" s="14"/>
    </row>
    <row r="13" spans="1:14" ht="15.75" x14ac:dyDescent="0.25">
      <c r="A13" s="20"/>
      <c r="B13" s="21"/>
      <c r="C13" s="22"/>
      <c r="D13" s="25">
        <v>13000000</v>
      </c>
      <c r="E13" s="21"/>
      <c r="F13" s="21"/>
      <c r="G13" s="14"/>
      <c r="H13" s="14"/>
      <c r="I13" s="14"/>
      <c r="J13" s="14"/>
      <c r="K13" s="13"/>
      <c r="L13" s="13"/>
    </row>
    <row r="14" spans="1:14" ht="15.75" x14ac:dyDescent="0.25">
      <c r="B14" s="14"/>
      <c r="C14" s="15"/>
      <c r="D14" s="18"/>
      <c r="E14" s="14"/>
      <c r="F14" s="14"/>
      <c r="G14" s="14"/>
      <c r="H14" s="14"/>
      <c r="I14" s="14"/>
      <c r="J14" s="14"/>
      <c r="K14" s="13"/>
      <c r="L14" s="13"/>
    </row>
    <row r="15" spans="1:14" ht="15.75" x14ac:dyDescent="0.25">
      <c r="B15" s="17"/>
      <c r="C15" s="17"/>
      <c r="E15" s="17"/>
      <c r="F15" s="14"/>
      <c r="G15" s="14"/>
      <c r="H15" s="14"/>
      <c r="I15" s="14"/>
      <c r="J15" s="14"/>
      <c r="K15" s="13"/>
      <c r="L15" s="13"/>
    </row>
    <row r="16" spans="1:14" ht="15.75" x14ac:dyDescent="0.25">
      <c r="B16" s="17"/>
      <c r="C16" s="17"/>
      <c r="E16" s="17"/>
      <c r="F16" s="14"/>
      <c r="G16" s="14"/>
      <c r="H16" s="14"/>
      <c r="I16" s="14"/>
      <c r="J16" s="14"/>
      <c r="K16" s="13"/>
      <c r="L16" s="13"/>
    </row>
    <row r="17" spans="2:12" ht="15.75" x14ac:dyDescent="0.25">
      <c r="B17" s="17"/>
      <c r="C17" s="17"/>
      <c r="E17" s="17"/>
      <c r="F17" s="14"/>
      <c r="G17" s="14"/>
      <c r="H17" s="14"/>
      <c r="I17" s="14"/>
      <c r="J17" s="14"/>
      <c r="K17" s="13"/>
      <c r="L17" s="13"/>
    </row>
    <row r="18" spans="2:12" ht="15.75" x14ac:dyDescent="0.25">
      <c r="B18" s="14"/>
      <c r="C18" s="15"/>
      <c r="D18" s="18"/>
      <c r="E18" s="14"/>
      <c r="F18" s="14"/>
      <c r="G18" s="14"/>
      <c r="H18" s="14"/>
      <c r="I18" s="14"/>
      <c r="J18" s="14"/>
      <c r="K18" s="13"/>
      <c r="L18" s="13"/>
    </row>
    <row r="19" spans="2:12" ht="15.75" x14ac:dyDescent="0.25">
      <c r="B19" s="14"/>
      <c r="C19" s="15"/>
      <c r="D19" s="18"/>
      <c r="E19" s="14"/>
      <c r="F19" s="14"/>
      <c r="G19" s="14"/>
      <c r="H19" s="14"/>
      <c r="I19" s="14"/>
      <c r="J19" s="14"/>
      <c r="K19" s="13"/>
      <c r="L19" s="13"/>
    </row>
    <row r="20" spans="2:12" ht="15.75" x14ac:dyDescent="0.25">
      <c r="B20" s="14"/>
      <c r="C20" s="15"/>
      <c r="D20" s="18"/>
      <c r="E20" s="14"/>
      <c r="F20" s="14"/>
      <c r="G20" s="14"/>
      <c r="H20" s="14"/>
      <c r="I20" s="14"/>
      <c r="J20" s="14"/>
      <c r="K20" s="13"/>
      <c r="L20" s="13"/>
    </row>
    <row r="21" spans="2:12" ht="15.75" x14ac:dyDescent="0.25">
      <c r="B21" s="14"/>
      <c r="C21" s="15"/>
      <c r="D21" s="18"/>
      <c r="E21" s="14"/>
      <c r="F21" s="14"/>
      <c r="G21" s="14"/>
      <c r="H21" s="14"/>
      <c r="I21" s="14"/>
      <c r="J21" s="14"/>
      <c r="K21" s="13"/>
      <c r="L21" s="13"/>
    </row>
    <row r="22" spans="2:12" ht="15.75" x14ac:dyDescent="0.25">
      <c r="B22" s="14"/>
      <c r="C22" s="15"/>
      <c r="D22" s="18"/>
      <c r="E22" s="14"/>
      <c r="F22" s="14"/>
      <c r="G22" s="14"/>
      <c r="H22" s="14"/>
      <c r="I22" s="14"/>
      <c r="J22" s="14"/>
      <c r="K22" s="13"/>
      <c r="L22" s="1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E75B-EB5A-4CFD-910C-03143F71C6AB}">
  <dimension ref="A1:K20"/>
  <sheetViews>
    <sheetView workbookViewId="0">
      <selection activeCell="G14" sqref="G14"/>
    </sheetView>
  </sheetViews>
  <sheetFormatPr defaultRowHeight="15" x14ac:dyDescent="0.25"/>
  <cols>
    <col min="1" max="1" width="15.28515625" style="16" customWidth="1"/>
    <col min="2" max="2" width="13.28515625" style="17" customWidth="1"/>
    <col min="6" max="6" width="14.5703125" customWidth="1"/>
    <col min="7" max="7" width="12.7109375" style="17" bestFit="1" customWidth="1"/>
  </cols>
  <sheetData>
    <row r="1" spans="1:11" x14ac:dyDescent="0.25">
      <c r="A1" s="90" t="s">
        <v>58</v>
      </c>
      <c r="B1" s="91"/>
      <c r="C1" s="91"/>
      <c r="D1" s="91"/>
      <c r="E1" s="92"/>
      <c r="F1" s="93" t="s">
        <v>59</v>
      </c>
      <c r="G1" s="94"/>
      <c r="H1" s="94"/>
      <c r="I1" s="94"/>
      <c r="J1" s="94"/>
      <c r="K1" s="95"/>
    </row>
    <row r="2" spans="1:11" x14ac:dyDescent="0.25">
      <c r="A2" s="29" t="s">
        <v>51</v>
      </c>
      <c r="B2" s="37">
        <v>30000000</v>
      </c>
      <c r="C2" s="37"/>
      <c r="D2" s="37"/>
      <c r="E2" s="37"/>
      <c r="F2" s="36" t="s">
        <v>60</v>
      </c>
      <c r="G2" s="32">
        <v>500000</v>
      </c>
      <c r="H2" s="36"/>
      <c r="I2" s="36"/>
      <c r="J2" s="36"/>
      <c r="K2" s="36"/>
    </row>
    <row r="3" spans="1:11" x14ac:dyDescent="0.25">
      <c r="A3" s="29" t="s">
        <v>57</v>
      </c>
      <c r="B3" s="37">
        <v>2000000</v>
      </c>
      <c r="C3" s="37"/>
      <c r="D3" s="37"/>
      <c r="E3" s="37"/>
      <c r="F3" s="36"/>
      <c r="G3" s="39"/>
      <c r="H3" s="39"/>
      <c r="I3" s="39"/>
      <c r="J3" s="39"/>
      <c r="K3" s="39"/>
    </row>
    <row r="4" spans="1:11" x14ac:dyDescent="0.25">
      <c r="A4" s="29" t="s">
        <v>52</v>
      </c>
      <c r="B4" s="37">
        <v>2200000</v>
      </c>
      <c r="C4" s="37"/>
      <c r="D4" s="37"/>
      <c r="E4" s="37"/>
      <c r="F4" s="36"/>
      <c r="G4" s="39"/>
      <c r="H4" s="39"/>
      <c r="I4" s="39"/>
      <c r="J4" s="39"/>
      <c r="K4" s="39"/>
    </row>
    <row r="5" spans="1:11" x14ac:dyDescent="0.25">
      <c r="A5" s="29" t="s">
        <v>53</v>
      </c>
      <c r="B5" s="37">
        <v>1000000</v>
      </c>
      <c r="C5" s="37"/>
      <c r="D5" s="37"/>
      <c r="E5" s="37"/>
      <c r="F5" s="36"/>
      <c r="G5" s="39"/>
      <c r="H5" s="39"/>
      <c r="I5" s="39"/>
      <c r="J5" s="39"/>
      <c r="K5" s="39"/>
    </row>
    <row r="6" spans="1:11" x14ac:dyDescent="0.25">
      <c r="A6" s="29"/>
      <c r="B6" s="37"/>
      <c r="C6" s="37"/>
      <c r="D6" s="37"/>
      <c r="E6" s="37"/>
      <c r="F6" s="36"/>
      <c r="G6" s="39"/>
      <c r="H6" s="39"/>
      <c r="I6" s="39"/>
      <c r="J6" s="39"/>
      <c r="K6" s="39"/>
    </row>
    <row r="7" spans="1:11" x14ac:dyDescent="0.25">
      <c r="A7" s="29"/>
      <c r="B7" s="37"/>
      <c r="C7" s="37"/>
      <c r="D7" s="37"/>
      <c r="E7" s="37"/>
      <c r="F7" s="36"/>
      <c r="G7" s="39"/>
      <c r="H7" s="39"/>
      <c r="I7" s="39"/>
      <c r="J7" s="39"/>
      <c r="K7" s="39"/>
    </row>
    <row r="8" spans="1:11" x14ac:dyDescent="0.25">
      <c r="A8" s="29"/>
      <c r="B8" s="37"/>
      <c r="C8" s="37"/>
      <c r="D8" s="37"/>
      <c r="E8" s="37"/>
      <c r="F8" s="36"/>
      <c r="G8" s="39"/>
      <c r="H8" s="39"/>
      <c r="I8" s="39"/>
      <c r="J8" s="39"/>
      <c r="K8" s="39"/>
    </row>
    <row r="9" spans="1:11" x14ac:dyDescent="0.25">
      <c r="A9" s="29"/>
      <c r="B9" s="37"/>
      <c r="C9" s="37"/>
      <c r="D9" s="37"/>
      <c r="E9" s="37"/>
      <c r="F9" s="36"/>
      <c r="G9" s="39"/>
      <c r="H9" s="39"/>
      <c r="I9" s="39"/>
      <c r="J9" s="39"/>
      <c r="K9" s="39"/>
    </row>
    <row r="10" spans="1:11" x14ac:dyDescent="0.25">
      <c r="A10" s="29"/>
      <c r="B10" s="37"/>
      <c r="C10" s="37"/>
      <c r="D10" s="37"/>
      <c r="E10" s="37"/>
      <c r="F10" s="36"/>
      <c r="G10" s="39"/>
      <c r="H10" s="39"/>
      <c r="I10" s="39"/>
      <c r="J10" s="39"/>
      <c r="K10" s="39"/>
    </row>
    <row r="11" spans="1:11" x14ac:dyDescent="0.25">
      <c r="A11" s="29"/>
      <c r="B11" s="37"/>
      <c r="C11" s="37"/>
      <c r="D11" s="37"/>
      <c r="E11" s="37"/>
      <c r="F11" s="36" t="s">
        <v>61</v>
      </c>
      <c r="G11" s="39">
        <v>12500000</v>
      </c>
      <c r="H11" s="39"/>
      <c r="I11" s="39"/>
      <c r="J11" s="39"/>
      <c r="K11" s="39"/>
    </row>
    <row r="12" spans="1:11" x14ac:dyDescent="0.25">
      <c r="A12" s="29"/>
      <c r="B12" s="37"/>
      <c r="C12" s="37"/>
      <c r="D12" s="37"/>
      <c r="E12" s="37"/>
      <c r="F12" s="36" t="s">
        <v>62</v>
      </c>
      <c r="G12" s="39">
        <v>10000000</v>
      </c>
      <c r="H12" s="39"/>
      <c r="I12" s="39"/>
      <c r="J12" s="39"/>
      <c r="K12" s="39"/>
    </row>
    <row r="13" spans="1:11" x14ac:dyDescent="0.25">
      <c r="A13" s="29"/>
      <c r="B13" s="37"/>
      <c r="C13" s="37"/>
      <c r="D13" s="37"/>
      <c r="E13" s="37"/>
      <c r="F13" s="36" t="s">
        <v>63</v>
      </c>
      <c r="G13" s="39">
        <v>3000000</v>
      </c>
      <c r="H13" s="39"/>
      <c r="I13" s="39"/>
      <c r="J13" s="39"/>
      <c r="K13" s="39"/>
    </row>
    <row r="14" spans="1:11" x14ac:dyDescent="0.25">
      <c r="A14" s="29"/>
      <c r="B14" s="37"/>
      <c r="C14" s="37"/>
      <c r="D14" s="37"/>
      <c r="E14" s="37"/>
      <c r="F14" s="36"/>
      <c r="G14" s="39"/>
      <c r="H14" s="39"/>
      <c r="I14" s="39"/>
      <c r="J14" s="39"/>
      <c r="K14" s="39"/>
    </row>
    <row r="15" spans="1:11" x14ac:dyDescent="0.25">
      <c r="A15" s="29"/>
      <c r="B15" s="37"/>
      <c r="C15" s="37"/>
      <c r="D15" s="37"/>
      <c r="E15" s="37"/>
      <c r="F15" s="36"/>
      <c r="G15" s="39"/>
      <c r="H15" s="39"/>
      <c r="I15" s="39"/>
      <c r="J15" s="39"/>
      <c r="K15" s="39"/>
    </row>
    <row r="16" spans="1:11" x14ac:dyDescent="0.25">
      <c r="A16" s="29"/>
      <c r="B16" s="37"/>
      <c r="C16" s="37"/>
      <c r="D16" s="37"/>
      <c r="E16" s="37"/>
      <c r="F16" s="36"/>
      <c r="G16" s="39"/>
      <c r="H16" s="39"/>
      <c r="I16" s="39"/>
      <c r="J16" s="39"/>
      <c r="K16" s="39"/>
    </row>
    <row r="17" spans="1:11" x14ac:dyDescent="0.25">
      <c r="A17" s="29"/>
      <c r="B17" s="37"/>
      <c r="C17" s="37"/>
      <c r="D17" s="37"/>
      <c r="E17" s="37"/>
      <c r="F17" s="36"/>
      <c r="G17" s="39"/>
      <c r="H17" s="39"/>
      <c r="I17" s="39"/>
      <c r="J17" s="39"/>
      <c r="K17" s="39"/>
    </row>
    <row r="18" spans="1:11" x14ac:dyDescent="0.25">
      <c r="A18" s="29"/>
      <c r="B18" s="37"/>
      <c r="C18" s="37"/>
      <c r="D18" s="37"/>
      <c r="E18" s="37"/>
      <c r="F18" s="36"/>
      <c r="G18" s="39"/>
      <c r="H18" s="39"/>
      <c r="I18" s="39"/>
      <c r="J18" s="39"/>
      <c r="K18" s="39"/>
    </row>
    <row r="19" spans="1:11" x14ac:dyDescent="0.25">
      <c r="A19" s="29"/>
      <c r="B19" s="37"/>
      <c r="C19" s="37"/>
      <c r="D19" s="37"/>
      <c r="E19" s="37"/>
      <c r="F19" s="36"/>
      <c r="G19" s="39"/>
      <c r="H19" s="39"/>
      <c r="I19" s="39"/>
      <c r="J19" s="39"/>
      <c r="K19" s="39"/>
    </row>
    <row r="20" spans="1:11" x14ac:dyDescent="0.25">
      <c r="A20" s="16" t="s">
        <v>43</v>
      </c>
      <c r="B20" s="38">
        <f>SUM(B2:B19)</f>
        <v>35200000</v>
      </c>
      <c r="C20" s="38">
        <f t="shared" ref="C20:K20" si="0">SUM(C2:C19)</f>
        <v>0</v>
      </c>
      <c r="D20" s="38">
        <f t="shared" si="0"/>
        <v>0</v>
      </c>
      <c r="E20" s="38">
        <f t="shared" si="0"/>
        <v>0</v>
      </c>
      <c r="F20" s="35"/>
      <c r="G20" s="38">
        <f t="shared" si="0"/>
        <v>26000000</v>
      </c>
      <c r="H20" s="38">
        <f t="shared" si="0"/>
        <v>0</v>
      </c>
      <c r="I20" s="38">
        <f t="shared" si="0"/>
        <v>0</v>
      </c>
      <c r="J20" s="38">
        <f t="shared" si="0"/>
        <v>0</v>
      </c>
      <c r="K20" s="38">
        <f t="shared" si="0"/>
        <v>0</v>
      </c>
    </row>
  </sheetData>
  <mergeCells count="2">
    <mergeCell ref="A1:E1"/>
    <mergeCell ref="F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3260-3C66-4C9A-B8AF-B0028FDAF61F}">
  <dimension ref="A1:J12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3.42578125" customWidth="1"/>
    <col min="3" max="3" width="12.42578125" customWidth="1"/>
    <col min="4" max="4" width="17.140625" customWidth="1"/>
    <col min="5" max="5" width="15.85546875" customWidth="1"/>
    <col min="6" max="10" width="12.85546875" customWidth="1"/>
  </cols>
  <sheetData>
    <row r="1" spans="1:10" x14ac:dyDescent="0.25">
      <c r="A1" s="25">
        <v>2150000</v>
      </c>
      <c r="B1" s="25">
        <v>2300000</v>
      </c>
      <c r="C1" s="25">
        <f>B1*1.1</f>
        <v>2530000</v>
      </c>
      <c r="D1" s="25">
        <f>C1</f>
        <v>2530000</v>
      </c>
      <c r="E1" s="25">
        <v>3000000</v>
      </c>
      <c r="F1" s="25">
        <v>2530000</v>
      </c>
      <c r="G1" s="25">
        <v>2530000</v>
      </c>
      <c r="H1" s="25">
        <v>3000000</v>
      </c>
      <c r="I1" s="25">
        <v>3000004</v>
      </c>
      <c r="J1" s="25">
        <v>3000005</v>
      </c>
    </row>
    <row r="2" spans="1:10" x14ac:dyDescent="0.25">
      <c r="A2" s="25">
        <f>A1*0.7</f>
        <v>1505000</v>
      </c>
      <c r="B2" s="25">
        <f t="shared" ref="B2:E2" si="0">B1*0.7</f>
        <v>1610000</v>
      </c>
      <c r="C2" s="25">
        <f t="shared" si="0"/>
        <v>1771000</v>
      </c>
      <c r="D2" s="25">
        <f t="shared" si="0"/>
        <v>1771000</v>
      </c>
      <c r="E2" s="25">
        <f t="shared" si="0"/>
        <v>2100000</v>
      </c>
      <c r="F2" s="25">
        <f t="shared" ref="F2:J2" si="1">F1*0.7</f>
        <v>1771000</v>
      </c>
      <c r="G2" s="25">
        <f t="shared" si="1"/>
        <v>1771000</v>
      </c>
      <c r="H2" s="25">
        <f t="shared" si="1"/>
        <v>2100000</v>
      </c>
      <c r="I2" s="25">
        <f t="shared" si="1"/>
        <v>2100002.7999999998</v>
      </c>
      <c r="J2" s="25">
        <f t="shared" si="1"/>
        <v>2100003.5</v>
      </c>
    </row>
    <row r="3" spans="1:10" x14ac:dyDescent="0.25">
      <c r="A3" s="25">
        <f>A1*0.4</f>
        <v>860000</v>
      </c>
      <c r="B3" s="25">
        <f t="shared" ref="B3:C3" si="2">B1*0.4</f>
        <v>920000</v>
      </c>
      <c r="C3" s="25">
        <f t="shared" si="2"/>
        <v>1012000</v>
      </c>
      <c r="D3" s="25">
        <f>D1*0.6</f>
        <v>1518000</v>
      </c>
      <c r="E3" s="25">
        <f>E1*0.6</f>
        <v>1800000</v>
      </c>
      <c r="F3" s="25">
        <f>F1*0.8</f>
        <v>2024000</v>
      </c>
      <c r="G3" s="25">
        <f>G1*1</f>
        <v>2530000</v>
      </c>
      <c r="H3" s="25">
        <f>H1*1</f>
        <v>3000000</v>
      </c>
      <c r="I3" s="25">
        <f t="shared" ref="I3:J3" si="3">I1*0.6</f>
        <v>1800002.4</v>
      </c>
      <c r="J3" s="25">
        <f t="shared" si="3"/>
        <v>1800003</v>
      </c>
    </row>
    <row r="4" spans="1:10" x14ac:dyDescent="0.25">
      <c r="A4" s="25">
        <v>385000</v>
      </c>
      <c r="B4" s="25">
        <v>385001</v>
      </c>
      <c r="C4" s="25">
        <v>385002</v>
      </c>
      <c r="D4" s="25">
        <v>385003</v>
      </c>
      <c r="E4" s="25">
        <v>385004</v>
      </c>
      <c r="F4" s="25">
        <v>385005</v>
      </c>
      <c r="G4" s="25">
        <v>385006</v>
      </c>
      <c r="H4" s="25">
        <v>385007</v>
      </c>
      <c r="I4" s="25">
        <v>385008</v>
      </c>
      <c r="J4" s="25">
        <v>385009</v>
      </c>
    </row>
    <row r="5" spans="1:10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25">
      <c r="A6" s="25">
        <f>SUM(A1:A4)</f>
        <v>4900000</v>
      </c>
      <c r="B6" s="25">
        <f t="shared" ref="B6:E6" si="4">SUM(B1:B4)</f>
        <v>5215001</v>
      </c>
      <c r="C6" s="25">
        <f t="shared" si="4"/>
        <v>5698002</v>
      </c>
      <c r="D6" s="25">
        <f t="shared" si="4"/>
        <v>6204003</v>
      </c>
      <c r="E6" s="25">
        <f t="shared" si="4"/>
        <v>7285004</v>
      </c>
      <c r="F6" s="25">
        <f t="shared" ref="F6:J6" si="5">SUM(F1:F4)</f>
        <v>6710005</v>
      </c>
      <c r="G6" s="25">
        <f t="shared" si="5"/>
        <v>7216006</v>
      </c>
      <c r="H6" s="25">
        <f t="shared" si="5"/>
        <v>8485007</v>
      </c>
      <c r="I6" s="25">
        <f t="shared" si="5"/>
        <v>7285017.1999999993</v>
      </c>
      <c r="J6" s="25">
        <f t="shared" si="5"/>
        <v>7285020.5</v>
      </c>
    </row>
    <row r="7" spans="1:10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 x14ac:dyDescent="0.25">
      <c r="A8" s="25">
        <f>A6-A6*0.12</f>
        <v>4312000</v>
      </c>
      <c r="B8" s="25">
        <f t="shared" ref="B8:E8" si="6">B6-B6*0.12</f>
        <v>4589200.88</v>
      </c>
      <c r="C8" s="25">
        <f t="shared" si="6"/>
        <v>5014241.76</v>
      </c>
      <c r="D8" s="25">
        <f t="shared" si="6"/>
        <v>5459522.6399999997</v>
      </c>
      <c r="E8" s="25">
        <f t="shared" si="6"/>
        <v>6410803.5199999996</v>
      </c>
      <c r="F8" s="25">
        <f t="shared" ref="F8:J8" si="7">F6-F6*0.12</f>
        <v>5904804.4000000004</v>
      </c>
      <c r="G8" s="25">
        <f t="shared" si="7"/>
        <v>6350085.2800000003</v>
      </c>
      <c r="H8" s="25">
        <f t="shared" si="7"/>
        <v>7466806.1600000001</v>
      </c>
      <c r="I8" s="25">
        <f t="shared" si="7"/>
        <v>6410815.135999999</v>
      </c>
      <c r="J8" s="25">
        <f t="shared" si="7"/>
        <v>6410818.04</v>
      </c>
    </row>
    <row r="9" spans="1:10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</row>
    <row r="10" spans="1:10" x14ac:dyDescent="0.25">
      <c r="A10" s="25"/>
      <c r="B10" s="25"/>
      <c r="C10" s="25"/>
      <c r="D10" s="25">
        <f>D8*1.2</f>
        <v>6551427.1679999996</v>
      </c>
      <c r="E10" s="25">
        <f>E8*1.2</f>
        <v>7692964.2239999995</v>
      </c>
      <c r="F10" s="25">
        <f t="shared" ref="F10:J10" si="8">F8*1.2</f>
        <v>7085765.2800000003</v>
      </c>
      <c r="G10" s="25">
        <f t="shared" si="8"/>
        <v>7620102.3360000001</v>
      </c>
      <c r="H10" s="25">
        <f t="shared" si="8"/>
        <v>8960167.3919999991</v>
      </c>
      <c r="I10" s="25">
        <f t="shared" si="8"/>
        <v>7692978.1631999984</v>
      </c>
      <c r="J10" s="25">
        <f t="shared" si="8"/>
        <v>7692981.648</v>
      </c>
    </row>
    <row r="11" spans="1:10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</row>
    <row r="12" spans="1:10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A97-AD6A-4696-B194-AFDB643555A2}">
  <dimension ref="A1:H14"/>
  <sheetViews>
    <sheetView workbookViewId="0">
      <selection activeCell="C5" sqref="C5"/>
    </sheetView>
  </sheetViews>
  <sheetFormatPr defaultRowHeight="15" x14ac:dyDescent="0.25"/>
  <cols>
    <col min="1" max="1" width="12.28515625" style="34" customWidth="1"/>
    <col min="2" max="2" width="14.28515625" customWidth="1"/>
    <col min="3" max="3" width="14.28515625" style="17" customWidth="1"/>
    <col min="4" max="8" width="14.28515625" customWidth="1"/>
  </cols>
  <sheetData>
    <row r="1" spans="1:8" s="1" customFormat="1" x14ac:dyDescent="0.25">
      <c r="A1" s="21"/>
      <c r="B1" s="21" t="s">
        <v>43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</row>
    <row r="2" spans="1:8" x14ac:dyDescent="0.25">
      <c r="A2" s="22" t="s">
        <v>46</v>
      </c>
      <c r="B2" s="25">
        <v>109310520.47</v>
      </c>
      <c r="C2" s="25">
        <v>2425290.66</v>
      </c>
      <c r="D2" s="25">
        <v>2425290.66</v>
      </c>
      <c r="E2" s="25">
        <v>2425290.66</v>
      </c>
      <c r="F2" s="25">
        <v>2425290.66</v>
      </c>
      <c r="G2" s="25">
        <v>2425290.66</v>
      </c>
      <c r="H2" s="25">
        <v>2425290.66</v>
      </c>
    </row>
    <row r="3" spans="1:8" x14ac:dyDescent="0.25">
      <c r="A3" s="22" t="s">
        <v>47</v>
      </c>
      <c r="B3" s="25">
        <v>26780555</v>
      </c>
      <c r="C3" s="25">
        <v>1475732.97</v>
      </c>
      <c r="D3" s="25">
        <v>1438169.18</v>
      </c>
      <c r="E3" s="25">
        <v>1436259.16</v>
      </c>
      <c r="F3" s="25">
        <v>1398695.37</v>
      </c>
      <c r="G3" s="25">
        <v>1398058.7</v>
      </c>
      <c r="H3" s="25">
        <v>1377048.44</v>
      </c>
    </row>
    <row r="4" spans="1:8" x14ac:dyDescent="0.25">
      <c r="A4" s="22" t="s">
        <v>48</v>
      </c>
      <c r="B4" s="25">
        <v>17221740</v>
      </c>
      <c r="C4" s="25">
        <v>948533.35</v>
      </c>
      <c r="D4" s="25">
        <v>924866.28</v>
      </c>
      <c r="E4" s="25">
        <v>923638.69</v>
      </c>
      <c r="F4" s="25">
        <v>899481.92</v>
      </c>
      <c r="G4" s="25">
        <v>899072.51</v>
      </c>
      <c r="H4" s="25">
        <v>885561.1</v>
      </c>
    </row>
    <row r="5" spans="1:8" x14ac:dyDescent="0.25">
      <c r="A5" s="22" t="s">
        <v>49</v>
      </c>
      <c r="B5" s="25">
        <v>27744891.010000002</v>
      </c>
      <c r="C5" s="25">
        <v>1501436.43</v>
      </c>
      <c r="D5" s="25">
        <v>1501436.43</v>
      </c>
      <c r="E5" s="25">
        <v>1501436.43</v>
      </c>
      <c r="F5" s="25">
        <v>1501436.43</v>
      </c>
      <c r="G5" s="25">
        <v>1501436.43</v>
      </c>
      <c r="H5" s="25">
        <v>1501436.43</v>
      </c>
    </row>
    <row r="6" spans="1:8" x14ac:dyDescent="0.25">
      <c r="A6" s="22"/>
      <c r="B6" s="25"/>
      <c r="C6" s="25"/>
      <c r="D6" s="25"/>
      <c r="E6" s="25"/>
      <c r="F6" s="25"/>
      <c r="G6" s="25"/>
      <c r="H6" s="25"/>
    </row>
    <row r="7" spans="1:8" x14ac:dyDescent="0.25">
      <c r="A7" s="22"/>
      <c r="B7" s="25"/>
      <c r="C7" s="25"/>
      <c r="D7" s="25"/>
      <c r="E7" s="25"/>
      <c r="F7" s="25"/>
      <c r="G7" s="25"/>
      <c r="H7" s="25"/>
    </row>
    <row r="8" spans="1:8" x14ac:dyDescent="0.25">
      <c r="A8" s="22" t="s">
        <v>43</v>
      </c>
      <c r="B8" s="25">
        <f>SUM(B2:B7)</f>
        <v>181057706.47999999</v>
      </c>
      <c r="C8" s="25">
        <f t="shared" ref="C8:H8" si="0">SUM(C2:C7)</f>
        <v>6350993.4099999992</v>
      </c>
      <c r="D8" s="25">
        <f t="shared" si="0"/>
        <v>6289762.5499999998</v>
      </c>
      <c r="E8" s="25">
        <f t="shared" si="0"/>
        <v>6286624.9399999995</v>
      </c>
      <c r="F8" s="25">
        <f t="shared" si="0"/>
        <v>6224904.3799999999</v>
      </c>
      <c r="G8" s="25">
        <f t="shared" si="0"/>
        <v>6223858.2999999998</v>
      </c>
      <c r="H8" s="25">
        <f t="shared" si="0"/>
        <v>6189336.6299999999</v>
      </c>
    </row>
    <row r="9" spans="1:8" x14ac:dyDescent="0.25">
      <c r="A9" s="22"/>
      <c r="B9" s="25"/>
      <c r="C9" s="25"/>
      <c r="D9" s="25"/>
      <c r="E9" s="25"/>
      <c r="F9" s="25"/>
      <c r="G9" s="25"/>
      <c r="H9" s="25"/>
    </row>
    <row r="10" spans="1:8" x14ac:dyDescent="0.25">
      <c r="A10" s="22" t="s">
        <v>41</v>
      </c>
      <c r="B10" s="25"/>
      <c r="C10" s="25">
        <v>4300000</v>
      </c>
      <c r="D10" s="25">
        <v>4300000</v>
      </c>
      <c r="E10" s="25">
        <v>4300000</v>
      </c>
      <c r="F10" s="25">
        <v>4300000</v>
      </c>
      <c r="G10" s="25">
        <v>4300000</v>
      </c>
      <c r="H10" s="25">
        <v>4300000</v>
      </c>
    </row>
    <row r="11" spans="1:8" x14ac:dyDescent="0.25">
      <c r="A11" s="22" t="s">
        <v>42</v>
      </c>
      <c r="B11" s="25"/>
      <c r="C11" s="25"/>
      <c r="D11" s="25">
        <v>517000</v>
      </c>
      <c r="E11" s="25">
        <v>517000</v>
      </c>
      <c r="F11" s="25">
        <v>517000</v>
      </c>
      <c r="G11" s="25">
        <v>517000</v>
      </c>
      <c r="H11" s="25">
        <v>517000</v>
      </c>
    </row>
    <row r="12" spans="1:8" x14ac:dyDescent="0.25">
      <c r="A12" s="22"/>
      <c r="B12" s="25"/>
      <c r="C12" s="25">
        <v>500000</v>
      </c>
      <c r="D12" s="25">
        <v>1300000</v>
      </c>
      <c r="E12" s="25"/>
      <c r="F12" s="25"/>
      <c r="G12" s="25"/>
      <c r="H12" s="25"/>
    </row>
    <row r="13" spans="1:8" x14ac:dyDescent="0.25">
      <c r="A13" s="22" t="s">
        <v>43</v>
      </c>
      <c r="B13" s="25"/>
      <c r="C13" s="25">
        <f>C10+C11+C12</f>
        <v>4800000</v>
      </c>
      <c r="D13" s="25">
        <f t="shared" ref="D13:H13" si="1">D10+D11+D12</f>
        <v>6117000</v>
      </c>
      <c r="E13" s="25">
        <f t="shared" si="1"/>
        <v>4817000</v>
      </c>
      <c r="F13" s="25">
        <f t="shared" si="1"/>
        <v>4817000</v>
      </c>
      <c r="G13" s="25">
        <f t="shared" si="1"/>
        <v>4817000</v>
      </c>
      <c r="H13" s="25">
        <f t="shared" si="1"/>
        <v>4817000</v>
      </c>
    </row>
    <row r="14" spans="1:8" x14ac:dyDescent="0.25">
      <c r="A14" s="22" t="s">
        <v>6</v>
      </c>
      <c r="B14" s="25"/>
      <c r="C14" s="25">
        <f>C8-C13</f>
        <v>1550993.4099999992</v>
      </c>
      <c r="D14" s="25">
        <f t="shared" ref="D14:H14" si="2">D8-D13</f>
        <v>172762.54999999981</v>
      </c>
      <c r="E14" s="25">
        <f t="shared" si="2"/>
        <v>1469624.9399999995</v>
      </c>
      <c r="F14" s="25">
        <f t="shared" si="2"/>
        <v>1407904.38</v>
      </c>
      <c r="G14" s="25">
        <f t="shared" si="2"/>
        <v>1406858.2999999998</v>
      </c>
      <c r="H14" s="25">
        <f t="shared" si="2"/>
        <v>1372336.63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EDBD-5522-4C20-9E98-305F8F48BCEF}">
  <dimension ref="A1:I15"/>
  <sheetViews>
    <sheetView workbookViewId="0">
      <selection activeCell="C11" sqref="C11"/>
    </sheetView>
  </sheetViews>
  <sheetFormatPr defaultRowHeight="15" x14ac:dyDescent="0.25"/>
  <cols>
    <col min="1" max="1" width="11.140625" style="16" customWidth="1"/>
    <col min="2" max="3" width="12.7109375" bestFit="1" customWidth="1"/>
  </cols>
  <sheetData>
    <row r="1" spans="1:9" x14ac:dyDescent="0.25">
      <c r="A1" s="96" t="s">
        <v>50</v>
      </c>
      <c r="B1" s="96"/>
      <c r="C1" s="96"/>
      <c r="D1" s="96"/>
      <c r="E1" s="96"/>
      <c r="F1" s="96"/>
      <c r="G1" s="96"/>
      <c r="H1" s="96"/>
    </row>
    <row r="2" spans="1:9" x14ac:dyDescent="0.25">
      <c r="A2" s="22" t="s">
        <v>51</v>
      </c>
      <c r="B2" s="25">
        <v>30000000</v>
      </c>
      <c r="C2" s="25"/>
      <c r="D2" s="25"/>
      <c r="E2" s="25"/>
      <c r="F2" s="25"/>
      <c r="G2" s="25"/>
      <c r="H2" s="25"/>
      <c r="I2" s="25"/>
    </row>
    <row r="3" spans="1:9" x14ac:dyDescent="0.25">
      <c r="A3" s="22" t="s">
        <v>52</v>
      </c>
      <c r="B3" s="25">
        <f>200*10930</f>
        <v>2186000</v>
      </c>
      <c r="C3" s="25"/>
      <c r="D3" s="25"/>
      <c r="E3" s="25"/>
      <c r="F3" s="25"/>
      <c r="G3" s="25"/>
      <c r="H3" s="25"/>
      <c r="I3" s="25"/>
    </row>
    <row r="4" spans="1:9" x14ac:dyDescent="0.25">
      <c r="A4" s="22" t="s">
        <v>53</v>
      </c>
      <c r="B4" s="25">
        <v>1000000</v>
      </c>
      <c r="C4" s="25"/>
      <c r="D4" s="25"/>
      <c r="E4" s="25"/>
      <c r="F4" s="25"/>
      <c r="G4" s="25"/>
      <c r="H4" s="25"/>
      <c r="I4" s="25"/>
    </row>
    <row r="5" spans="1:9" x14ac:dyDescent="0.25">
      <c r="A5" s="22" t="s">
        <v>54</v>
      </c>
      <c r="B5" s="25">
        <v>2000000</v>
      </c>
      <c r="C5" s="25"/>
      <c r="D5" s="25"/>
      <c r="E5" s="25"/>
      <c r="F5" s="25"/>
      <c r="G5" s="25"/>
      <c r="H5" s="25"/>
      <c r="I5" s="25"/>
    </row>
    <row r="6" spans="1:9" x14ac:dyDescent="0.25">
      <c r="A6" s="22"/>
      <c r="B6" s="25"/>
      <c r="C6" s="25"/>
      <c r="D6" s="25"/>
      <c r="E6" s="25"/>
      <c r="F6" s="25"/>
      <c r="G6" s="25"/>
      <c r="H6" s="25"/>
      <c r="I6" s="25"/>
    </row>
    <row r="7" spans="1:9" x14ac:dyDescent="0.25">
      <c r="A7" s="22"/>
      <c r="B7" s="25"/>
      <c r="C7" s="25"/>
      <c r="D7" s="25"/>
      <c r="E7" s="25"/>
      <c r="F7" s="25"/>
      <c r="G7" s="25"/>
      <c r="H7" s="25"/>
      <c r="I7" s="25"/>
    </row>
    <row r="8" spans="1:9" x14ac:dyDescent="0.25">
      <c r="A8" s="22" t="s">
        <v>55</v>
      </c>
      <c r="B8" s="25"/>
      <c r="C8" s="25">
        <v>14000000</v>
      </c>
      <c r="D8" s="25"/>
      <c r="E8" s="25"/>
      <c r="F8" s="25"/>
      <c r="G8" s="25"/>
      <c r="H8" s="25"/>
      <c r="I8" s="25"/>
    </row>
    <row r="9" spans="1:9" x14ac:dyDescent="0.25">
      <c r="A9" s="22" t="s">
        <v>56</v>
      </c>
      <c r="B9" s="25"/>
      <c r="C9" s="25">
        <v>2000000</v>
      </c>
      <c r="D9" s="25"/>
      <c r="E9" s="25"/>
      <c r="F9" s="25"/>
      <c r="G9" s="25"/>
      <c r="H9" s="25"/>
      <c r="I9" s="25"/>
    </row>
    <row r="10" spans="1:9" x14ac:dyDescent="0.25">
      <c r="A10" s="22"/>
      <c r="B10" s="25"/>
      <c r="C10" s="25">
        <v>10000000</v>
      </c>
      <c r="D10" s="25"/>
      <c r="E10" s="25"/>
      <c r="F10" s="25"/>
      <c r="G10" s="25"/>
      <c r="H10" s="25"/>
      <c r="I10" s="25"/>
    </row>
    <row r="11" spans="1:9" x14ac:dyDescent="0.25">
      <c r="A11" s="22"/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22"/>
      <c r="B12" s="25"/>
      <c r="C12" s="25"/>
      <c r="D12" s="25"/>
      <c r="E12" s="25"/>
      <c r="F12" s="25"/>
      <c r="G12" s="25"/>
      <c r="H12" s="25"/>
      <c r="I12" s="25"/>
    </row>
    <row r="13" spans="1:9" x14ac:dyDescent="0.25">
      <c r="A13" s="22"/>
      <c r="B13" s="25"/>
      <c r="C13" s="25"/>
      <c r="D13" s="25"/>
      <c r="E13" s="25"/>
      <c r="F13" s="25"/>
      <c r="G13" s="25"/>
      <c r="H13" s="25"/>
      <c r="I13" s="25"/>
    </row>
    <row r="14" spans="1:9" x14ac:dyDescent="0.25">
      <c r="A14" s="22"/>
      <c r="B14" s="25"/>
      <c r="C14" s="25"/>
      <c r="D14" s="25"/>
      <c r="E14" s="25"/>
      <c r="F14" s="25"/>
      <c r="G14" s="25"/>
      <c r="H14" s="25"/>
      <c r="I14" s="25"/>
    </row>
    <row r="15" spans="1:9" x14ac:dyDescent="0.25">
      <c r="A15" s="22" t="s">
        <v>43</v>
      </c>
      <c r="B15" s="25">
        <f>SUM(B2:B14)</f>
        <v>35186000</v>
      </c>
      <c r="C15" s="25">
        <f t="shared" ref="C15:I15" si="0">SUM(C2:C14)</f>
        <v>26000000</v>
      </c>
      <c r="D15" s="25">
        <f t="shared" si="0"/>
        <v>0</v>
      </c>
      <c r="E15" s="25">
        <f t="shared" si="0"/>
        <v>0</v>
      </c>
      <c r="F15" s="25">
        <f t="shared" si="0"/>
        <v>0</v>
      </c>
      <c r="G15" s="25">
        <f t="shared" si="0"/>
        <v>0</v>
      </c>
      <c r="H15" s="25">
        <f t="shared" si="0"/>
        <v>0</v>
      </c>
      <c r="I15" s="25">
        <f t="shared" si="0"/>
        <v>0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A4A3-B7B4-4F0E-AD62-7A03FEF38E28}">
  <dimension ref="A1:L19"/>
  <sheetViews>
    <sheetView workbookViewId="0">
      <selection activeCell="F12" sqref="F12"/>
    </sheetView>
  </sheetViews>
  <sheetFormatPr defaultRowHeight="15" x14ac:dyDescent="0.25"/>
  <cols>
    <col min="2" max="2" width="13.7109375" customWidth="1"/>
    <col min="4" max="4" width="16.28515625" customWidth="1"/>
    <col min="6" max="6" width="10" bestFit="1" customWidth="1"/>
    <col min="9" max="9" width="17" customWidth="1"/>
  </cols>
  <sheetData>
    <row r="1" spans="1:12" x14ac:dyDescent="0.25">
      <c r="B1" s="40">
        <v>110000000</v>
      </c>
      <c r="C1" s="40"/>
      <c r="D1" s="40">
        <v>2425000</v>
      </c>
      <c r="E1" s="40"/>
      <c r="F1" s="40"/>
    </row>
    <row r="2" spans="1:12" x14ac:dyDescent="0.25">
      <c r="B2" s="40">
        <v>25179310.629999999</v>
      </c>
      <c r="C2" s="40"/>
      <c r="D2" s="40"/>
      <c r="E2" s="40"/>
      <c r="F2" s="40"/>
    </row>
    <row r="3" spans="1:12" x14ac:dyDescent="0.25">
      <c r="B3" s="40">
        <v>16192990.119999999</v>
      </c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x14ac:dyDescent="0.25">
      <c r="B4" s="40">
        <v>26722455.32</v>
      </c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x14ac:dyDescent="0.25">
      <c r="B5" s="40">
        <v>6000000</v>
      </c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12" x14ac:dyDescent="0.25">
      <c r="A8" t="s">
        <v>43</v>
      </c>
      <c r="B8" s="40">
        <f>SUM(B1:B7)</f>
        <v>184094756.06999999</v>
      </c>
      <c r="C8" s="40">
        <f t="shared" ref="C8:D8" si="0">SUM(C1:C7)</f>
        <v>0</v>
      </c>
      <c r="D8" s="40">
        <f t="shared" si="0"/>
        <v>2425000</v>
      </c>
      <c r="E8" s="40"/>
      <c r="F8" s="40"/>
      <c r="G8" s="40"/>
      <c r="H8" s="40"/>
      <c r="I8" s="40"/>
      <c r="J8" s="40"/>
      <c r="K8" s="40"/>
      <c r="L8" s="40"/>
    </row>
    <row r="9" spans="1:12" x14ac:dyDescent="0.25">
      <c r="A9" t="s">
        <v>64</v>
      </c>
      <c r="B9" s="40">
        <f>SUM(B2:B7)</f>
        <v>74094756.069999993</v>
      </c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x14ac:dyDescent="0.25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x14ac:dyDescent="0.25">
      <c r="B12" s="40">
        <f>G12*F12</f>
        <v>133216200</v>
      </c>
      <c r="C12" s="40"/>
      <c r="D12" s="40"/>
      <c r="E12" s="40"/>
      <c r="F12" s="40">
        <v>12000</v>
      </c>
      <c r="G12" s="40">
        <v>11101.35</v>
      </c>
      <c r="H12" s="40"/>
      <c r="I12" s="40"/>
      <c r="J12" s="40"/>
      <c r="K12" s="40"/>
      <c r="L12" s="40"/>
    </row>
    <row r="13" spans="1:12" x14ac:dyDescent="0.2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2" x14ac:dyDescent="0.25">
      <c r="B14" s="40"/>
      <c r="C14" s="40"/>
      <c r="D14" s="40"/>
      <c r="E14" s="40"/>
      <c r="F14" s="40">
        <v>31000</v>
      </c>
      <c r="G14" s="40"/>
      <c r="H14" s="40"/>
      <c r="I14" s="40"/>
      <c r="J14" s="40"/>
      <c r="K14" s="40"/>
      <c r="L14" s="40"/>
    </row>
    <row r="15" spans="1:12" x14ac:dyDescent="0.25">
      <c r="B15" s="40">
        <f>B12-B4-B3-B5-B17-B2</f>
        <v>59121443.930000007</v>
      </c>
      <c r="C15" s="40"/>
      <c r="D15" s="40"/>
      <c r="E15" s="40"/>
      <c r="F15" s="40">
        <v>14000</v>
      </c>
      <c r="G15" s="40"/>
      <c r="H15" s="40"/>
      <c r="I15" s="40"/>
      <c r="J15" s="40"/>
      <c r="K15" s="40"/>
      <c r="L15" s="40"/>
    </row>
    <row r="16" spans="1:12" x14ac:dyDescent="0.25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2:12" x14ac:dyDescent="0.25">
      <c r="B17" s="41"/>
      <c r="C17" s="40"/>
      <c r="D17" s="40"/>
      <c r="E17" s="40"/>
      <c r="F17" s="40">
        <f>SUM(F14:F16)</f>
        <v>45000</v>
      </c>
      <c r="G17" s="40">
        <v>11111</v>
      </c>
      <c r="H17" s="40"/>
      <c r="I17" s="40">
        <f>F17*G17</f>
        <v>499995000</v>
      </c>
      <c r="J17" s="40"/>
      <c r="K17" s="40"/>
      <c r="L17" s="40"/>
    </row>
    <row r="18" spans="2:12" x14ac:dyDescent="0.25">
      <c r="G18" s="40"/>
      <c r="H18" s="40"/>
      <c r="I18" s="40"/>
      <c r="J18" s="40"/>
      <c r="K18" s="40"/>
      <c r="L18" s="40"/>
    </row>
    <row r="19" spans="2:12" x14ac:dyDescent="0.25">
      <c r="G19" s="40"/>
      <c r="H19" s="40"/>
      <c r="I19" s="40"/>
      <c r="J19" s="40"/>
      <c r="K19" s="40"/>
      <c r="L1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Лист1</vt:lpstr>
      <vt:lpstr>To'lovlar</vt:lpstr>
      <vt:lpstr>Лист2</vt:lpstr>
      <vt:lpstr>49,2m2</vt:lpstr>
      <vt:lpstr>Qarzlar</vt:lpstr>
      <vt:lpstr>Лист3</vt:lpstr>
      <vt:lpstr>Лист4</vt:lpstr>
      <vt:lpstr>Лист5</vt:lpstr>
      <vt:lpstr>kriditlar</vt:lpstr>
      <vt:lpstr>yanvar to'lov</vt:lpstr>
      <vt:lpstr>May </vt:lpstr>
      <vt:lpstr>Лист7</vt:lpstr>
      <vt:lpstr>Лист8</vt:lpstr>
      <vt:lpstr>To'y</vt:lpstr>
      <vt:lpstr>to'yona</vt:lpstr>
      <vt:lpstr>Dasturxon</vt:lpstr>
      <vt:lpstr>Лист6</vt:lpstr>
      <vt:lpstr>Sentyabr</vt:lpstr>
      <vt:lpstr>Лист13</vt:lpstr>
      <vt:lpstr>Oktyabr</vt:lpstr>
      <vt:lpstr>Лист9</vt:lpstr>
      <vt:lpstr>Noyabr</vt:lpstr>
      <vt:lpstr>Dekabr</vt:lpstr>
      <vt:lpstr>XARAJATLAR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Mouse</dc:creator>
  <cp:lastModifiedBy>Mouse</cp:lastModifiedBy>
  <dcterms:created xsi:type="dcterms:W3CDTF">2021-07-04T18:27:38Z</dcterms:created>
  <dcterms:modified xsi:type="dcterms:W3CDTF">2023-12-03T19:38:20Z</dcterms:modified>
</cp:coreProperties>
</file>